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483.xml" ContentType="application/vnd.openxmlformats-officedocument.drawing+xml"/>
  <Override PartName="/xl/tables/table4.xml" ContentType="application/vnd.openxmlformats-officedocument.spreadsheetml.table+xml"/>
  <Override PartName="/xl/drawings/drawing484.xml" ContentType="application/vnd.openxmlformats-officedocument.drawing+xml"/>
  <Override PartName="/xl/tables/table5.xml" ContentType="application/vnd.openxmlformats-officedocument.spreadsheetml.table+xml"/>
  <Override PartName="/xl/drawings/drawing485.xml" ContentType="application/vnd.openxmlformats-officedocument.drawing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6CE0824B-D27D-4849-9A69-9E147DA9174D}" xr6:coauthVersionLast="47" xr6:coauthVersionMax="47" xr10:uidLastSave="{00000000-0000-0000-0000-000000000000}"/>
  <bookViews>
    <workbookView xWindow="-108" yWindow="-108" windowWidth="23256" windowHeight="12456" firstSheet="400" activeTab="403" xr2:uid="{6B393925-5723-4553-8F8B-C8144E1F4778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  <sheet name="c-504" sheetId="580" r:id="rId397"/>
    <sheet name="c-505" sheetId="581" r:id="rId398"/>
    <sheet name="Tabla_5" sheetId="582" r:id="rId399"/>
    <sheet name="Tabla_6" sheetId="583" r:id="rId400"/>
    <sheet name="c-506" sheetId="584" r:id="rId401"/>
    <sheet name="empleo_informal" sheetId="586" r:id="rId402"/>
    <sheet name="poblacion_rural" sheetId="587" r:id="rId403"/>
    <sheet name="data_panel" sheetId="589" r:id="rId404"/>
    <sheet name="La_Libertad" sheetId="590" r:id="rId405"/>
    <sheet name="Piura" sheetId="593" r:id="rId406"/>
    <sheet name="Lambayeque" sheetId="594" r:id="rId407"/>
  </sheets>
  <externalReferences>
    <externalReference r:id="rId408"/>
    <externalReference r:id="rId409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2" i="589" l="1"/>
  <c r="E62" i="589"/>
  <c r="F62" i="589"/>
  <c r="G62" i="589"/>
  <c r="C62" i="589"/>
  <c r="D61" i="589"/>
  <c r="E61" i="589"/>
  <c r="F61" i="589"/>
  <c r="G61" i="589"/>
  <c r="C61" i="589"/>
  <c r="D59" i="589"/>
  <c r="E59" i="589"/>
  <c r="F59" i="589"/>
  <c r="G59" i="589"/>
  <c r="C59" i="589"/>
  <c r="D58" i="589"/>
  <c r="E58" i="589"/>
  <c r="F58" i="589"/>
  <c r="G58" i="589"/>
  <c r="C58" i="589"/>
  <c r="D56" i="589"/>
  <c r="E56" i="589"/>
  <c r="F56" i="589"/>
  <c r="G56" i="589"/>
  <c r="C56" i="589"/>
  <c r="D55" i="589"/>
  <c r="E55" i="589"/>
  <c r="F55" i="589"/>
  <c r="G55" i="589"/>
  <c r="C55" i="589"/>
  <c r="G53" i="589"/>
  <c r="D53" i="589"/>
  <c r="E53" i="589"/>
  <c r="F53" i="589"/>
  <c r="C53" i="589"/>
  <c r="D52" i="589"/>
  <c r="E52" i="589"/>
  <c r="F52" i="589"/>
  <c r="G52" i="589"/>
  <c r="C52" i="589"/>
  <c r="D50" i="589"/>
  <c r="E50" i="589"/>
  <c r="F50" i="589"/>
  <c r="G50" i="589"/>
  <c r="C50" i="589"/>
  <c r="D49" i="589"/>
  <c r="E49" i="589"/>
  <c r="F49" i="589"/>
  <c r="G49" i="589"/>
  <c r="C49" i="589"/>
  <c r="D47" i="589"/>
  <c r="E47" i="589"/>
  <c r="F47" i="589"/>
  <c r="G47" i="589"/>
  <c r="C47" i="589"/>
  <c r="D46" i="589"/>
  <c r="E46" i="589"/>
  <c r="F46" i="589"/>
  <c r="G46" i="589"/>
  <c r="C46" i="589"/>
  <c r="D44" i="589"/>
  <c r="E44" i="589"/>
  <c r="F44" i="589"/>
  <c r="G44" i="589"/>
  <c r="C44" i="589"/>
  <c r="D43" i="589"/>
  <c r="E43" i="589"/>
  <c r="F43" i="589"/>
  <c r="G43" i="589"/>
  <c r="C43" i="589"/>
  <c r="D41" i="589"/>
  <c r="E41" i="589"/>
  <c r="F41" i="589"/>
  <c r="G41" i="589"/>
  <c r="C41" i="589"/>
  <c r="D40" i="589"/>
  <c r="E40" i="589"/>
  <c r="F40" i="589"/>
  <c r="G40" i="589"/>
  <c r="C40" i="589"/>
  <c r="D38" i="589"/>
  <c r="E38" i="589"/>
  <c r="F38" i="589"/>
  <c r="G38" i="589"/>
  <c r="C38" i="589"/>
  <c r="D37" i="589"/>
  <c r="E37" i="589"/>
  <c r="F37" i="589"/>
  <c r="G37" i="589"/>
  <c r="C37" i="589"/>
  <c r="D35" i="589"/>
  <c r="E35" i="589"/>
  <c r="F35" i="589"/>
  <c r="G35" i="589"/>
  <c r="C35" i="589"/>
  <c r="D34" i="589"/>
  <c r="E34" i="589"/>
  <c r="F34" i="589"/>
  <c r="G34" i="589"/>
  <c r="C34" i="589"/>
  <c r="D32" i="589"/>
  <c r="E32" i="589"/>
  <c r="F32" i="589"/>
  <c r="G32" i="589"/>
  <c r="C32" i="589"/>
  <c r="D31" i="589"/>
  <c r="E31" i="589"/>
  <c r="F31" i="589"/>
  <c r="G31" i="589"/>
  <c r="C31" i="589"/>
  <c r="D29" i="589"/>
  <c r="E29" i="589"/>
  <c r="F29" i="589"/>
  <c r="G29" i="589"/>
  <c r="C29" i="589"/>
  <c r="D28" i="589"/>
  <c r="E28" i="589"/>
  <c r="F28" i="589"/>
  <c r="G28" i="589"/>
  <c r="C28" i="589"/>
  <c r="D26" i="589"/>
  <c r="E26" i="589"/>
  <c r="F26" i="589"/>
  <c r="G26" i="589"/>
  <c r="C26" i="589"/>
  <c r="D25" i="589"/>
  <c r="E25" i="589"/>
  <c r="F25" i="589"/>
  <c r="G25" i="589"/>
  <c r="C25" i="589"/>
  <c r="D23" i="589"/>
  <c r="E23" i="589"/>
  <c r="F23" i="589"/>
  <c r="G23" i="589"/>
  <c r="C23" i="589"/>
  <c r="D22" i="589"/>
  <c r="E22" i="589"/>
  <c r="F22" i="589"/>
  <c r="G22" i="589"/>
  <c r="C22" i="589"/>
  <c r="D20" i="589"/>
  <c r="E20" i="589"/>
  <c r="F20" i="589"/>
  <c r="G20" i="589"/>
  <c r="C20" i="589"/>
  <c r="D19" i="589"/>
  <c r="E19" i="589"/>
  <c r="F19" i="589"/>
  <c r="G19" i="589"/>
  <c r="C19" i="589"/>
  <c r="D17" i="589"/>
  <c r="E17" i="589"/>
  <c r="F17" i="589"/>
  <c r="G17" i="589"/>
  <c r="C17" i="589"/>
  <c r="D16" i="589"/>
  <c r="E16" i="589"/>
  <c r="F16" i="589"/>
  <c r="G16" i="589"/>
  <c r="C16" i="589"/>
  <c r="D14" i="589"/>
  <c r="E14" i="589"/>
  <c r="F14" i="589"/>
  <c r="G14" i="589"/>
  <c r="C14" i="589"/>
  <c r="D13" i="589"/>
  <c r="E13" i="589"/>
  <c r="F13" i="589"/>
  <c r="G13" i="589"/>
  <c r="C13" i="589"/>
  <c r="D11" i="589"/>
  <c r="E11" i="589"/>
  <c r="F11" i="589"/>
  <c r="G11" i="589"/>
  <c r="C11" i="589"/>
  <c r="D10" i="589"/>
  <c r="E10" i="589"/>
  <c r="F10" i="589"/>
  <c r="G10" i="589"/>
  <c r="C10" i="589"/>
  <c r="D8" i="589"/>
  <c r="E8" i="589"/>
  <c r="F8" i="589"/>
  <c r="G8" i="589"/>
  <c r="C8" i="589"/>
  <c r="D7" i="589"/>
  <c r="E7" i="589"/>
  <c r="F7" i="589"/>
  <c r="G7" i="589"/>
  <c r="C7" i="589"/>
  <c r="D60" i="589"/>
  <c r="E60" i="589"/>
  <c r="F60" i="589"/>
  <c r="G60" i="589"/>
  <c r="C60" i="589"/>
  <c r="D57" i="589"/>
  <c r="E57" i="589"/>
  <c r="F57" i="589"/>
  <c r="G57" i="589"/>
  <c r="C57" i="589"/>
  <c r="D54" i="589"/>
  <c r="E54" i="589"/>
  <c r="F54" i="589"/>
  <c r="G54" i="589"/>
  <c r="C54" i="589"/>
  <c r="D51" i="589"/>
  <c r="E51" i="589"/>
  <c r="F51" i="589"/>
  <c r="G51" i="589"/>
  <c r="C51" i="589"/>
  <c r="D48" i="589"/>
  <c r="E48" i="589"/>
  <c r="F48" i="589"/>
  <c r="G48" i="589"/>
  <c r="C48" i="589"/>
  <c r="D45" i="589"/>
  <c r="E45" i="589"/>
  <c r="F45" i="589"/>
  <c r="G45" i="589"/>
  <c r="C45" i="589"/>
  <c r="D42" i="589"/>
  <c r="E42" i="589"/>
  <c r="F42" i="589"/>
  <c r="G42" i="589"/>
  <c r="C42" i="589"/>
  <c r="D39" i="589"/>
  <c r="E39" i="589"/>
  <c r="F39" i="589"/>
  <c r="G39" i="589"/>
  <c r="C39" i="589"/>
  <c r="D36" i="589"/>
  <c r="E36" i="589"/>
  <c r="F36" i="589"/>
  <c r="G36" i="589"/>
  <c r="C36" i="589"/>
  <c r="D33" i="589"/>
  <c r="E33" i="589"/>
  <c r="F33" i="589"/>
  <c r="G33" i="589"/>
  <c r="C33" i="589"/>
  <c r="D30" i="589"/>
  <c r="E30" i="589"/>
  <c r="F30" i="589"/>
  <c r="G30" i="589"/>
  <c r="C30" i="589"/>
  <c r="D27" i="589"/>
  <c r="E27" i="589"/>
  <c r="F27" i="589"/>
  <c r="G27" i="589"/>
  <c r="C27" i="589"/>
  <c r="D24" i="589"/>
  <c r="E24" i="589"/>
  <c r="F24" i="589"/>
  <c r="G24" i="589"/>
  <c r="C24" i="589"/>
  <c r="D21" i="589"/>
  <c r="E21" i="589"/>
  <c r="F21" i="589"/>
  <c r="G21" i="589"/>
  <c r="C21" i="589"/>
  <c r="D18" i="589"/>
  <c r="E18" i="589"/>
  <c r="F18" i="589"/>
  <c r="G18" i="589"/>
  <c r="C18" i="589"/>
  <c r="D15" i="589"/>
  <c r="E15" i="589"/>
  <c r="F15" i="589"/>
  <c r="G15" i="589"/>
  <c r="C15" i="589"/>
  <c r="D12" i="589"/>
  <c r="E12" i="589"/>
  <c r="F12" i="589"/>
  <c r="G12" i="589"/>
  <c r="C12" i="589"/>
  <c r="D9" i="589"/>
  <c r="E9" i="589"/>
  <c r="F9" i="589"/>
  <c r="G9" i="589"/>
  <c r="C9" i="589"/>
  <c r="D6" i="589"/>
  <c r="E6" i="589"/>
  <c r="F6" i="589"/>
  <c r="G6" i="589"/>
  <c r="C6" i="589"/>
  <c r="C93" i="594"/>
  <c r="F157" i="594"/>
  <c r="F158" i="594"/>
  <c r="G158" i="594" s="1"/>
  <c r="F12" i="594" s="1"/>
  <c r="F165" i="594"/>
  <c r="F166" i="594"/>
  <c r="G166" i="594" s="1"/>
  <c r="F20" i="594" s="1"/>
  <c r="F174" i="594"/>
  <c r="G174" i="594" s="1"/>
  <c r="F28" i="594" s="1"/>
  <c r="D174" i="594"/>
  <c r="D173" i="594"/>
  <c r="F173" i="594" s="1"/>
  <c r="G173" i="594" s="1"/>
  <c r="F27" i="594" s="1"/>
  <c r="D172" i="594"/>
  <c r="F172" i="594" s="1"/>
  <c r="G172" i="594" s="1"/>
  <c r="F26" i="594" s="1"/>
  <c r="D171" i="594"/>
  <c r="F171" i="594" s="1"/>
  <c r="D170" i="594"/>
  <c r="F170" i="594" s="1"/>
  <c r="G170" i="594" s="1"/>
  <c r="F24" i="594" s="1"/>
  <c r="D169" i="594"/>
  <c r="D168" i="594"/>
  <c r="F168" i="594" s="1"/>
  <c r="D167" i="594"/>
  <c r="D166" i="594"/>
  <c r="D165" i="594"/>
  <c r="D164" i="594"/>
  <c r="F164" i="594" s="1"/>
  <c r="G164" i="594" s="1"/>
  <c r="F18" i="594" s="1"/>
  <c r="D163" i="594"/>
  <c r="D162" i="594"/>
  <c r="F162" i="594" s="1"/>
  <c r="G162" i="594" s="1"/>
  <c r="F16" i="594" s="1"/>
  <c r="D161" i="594"/>
  <c r="F161" i="594" s="1"/>
  <c r="D160" i="594"/>
  <c r="F160" i="594" s="1"/>
  <c r="D159" i="594"/>
  <c r="D158" i="594"/>
  <c r="D157" i="594"/>
  <c r="D156" i="594"/>
  <c r="F156" i="594" s="1"/>
  <c r="G156" i="594" s="1"/>
  <c r="F10" i="594" s="1"/>
  <c r="D155" i="594"/>
  <c r="D154" i="594"/>
  <c r="F154" i="594" s="1"/>
  <c r="G154" i="594" s="1"/>
  <c r="F8" i="594" s="1"/>
  <c r="D153" i="594"/>
  <c r="D152" i="594"/>
  <c r="F152" i="594" s="1"/>
  <c r="X111" i="594"/>
  <c r="X114" i="594" s="1"/>
  <c r="W111" i="594"/>
  <c r="V111" i="594"/>
  <c r="U111" i="594"/>
  <c r="T111" i="594"/>
  <c r="S111" i="594"/>
  <c r="R111" i="594"/>
  <c r="Q111" i="594"/>
  <c r="P111" i="594"/>
  <c r="P114" i="594" s="1"/>
  <c r="O111" i="594"/>
  <c r="N111" i="594"/>
  <c r="M111" i="594"/>
  <c r="L111" i="594"/>
  <c r="K111" i="594"/>
  <c r="J111" i="594"/>
  <c r="I111" i="594"/>
  <c r="H111" i="594"/>
  <c r="G111" i="594"/>
  <c r="F111" i="594"/>
  <c r="E111" i="594"/>
  <c r="D111" i="594"/>
  <c r="C111" i="594"/>
  <c r="C117" i="594" s="1"/>
  <c r="B111" i="594"/>
  <c r="X106" i="594"/>
  <c r="W106" i="594"/>
  <c r="W117" i="594" s="1"/>
  <c r="V106" i="594"/>
  <c r="V117" i="594" s="1"/>
  <c r="U106" i="594"/>
  <c r="U117" i="594" s="1"/>
  <c r="T106" i="594"/>
  <c r="T117" i="594" s="1"/>
  <c r="S106" i="594"/>
  <c r="R106" i="594"/>
  <c r="Q106" i="594"/>
  <c r="Q117" i="594" s="1"/>
  <c r="P106" i="594"/>
  <c r="O106" i="594"/>
  <c r="O117" i="594" s="1"/>
  <c r="N106" i="594"/>
  <c r="N117" i="594" s="1"/>
  <c r="M106" i="594"/>
  <c r="M117" i="594" s="1"/>
  <c r="L106" i="594"/>
  <c r="K106" i="594"/>
  <c r="J106" i="594"/>
  <c r="I106" i="594"/>
  <c r="I117" i="594" s="1"/>
  <c r="H106" i="594"/>
  <c r="G106" i="594"/>
  <c r="G117" i="594" s="1"/>
  <c r="F106" i="594"/>
  <c r="F117" i="594" s="1"/>
  <c r="E106" i="594"/>
  <c r="E117" i="594" s="1"/>
  <c r="D106" i="594"/>
  <c r="D117" i="594" s="1"/>
  <c r="C106" i="594"/>
  <c r="B106" i="594"/>
  <c r="X99" i="594"/>
  <c r="W99" i="594"/>
  <c r="W116" i="594" s="1"/>
  <c r="V99" i="594"/>
  <c r="V116" i="594" s="1"/>
  <c r="U99" i="594"/>
  <c r="U116" i="594" s="1"/>
  <c r="T99" i="594"/>
  <c r="S99" i="594"/>
  <c r="S116" i="594" s="1"/>
  <c r="R99" i="594"/>
  <c r="Q99" i="594"/>
  <c r="Q116" i="594" s="1"/>
  <c r="P99" i="594"/>
  <c r="O99" i="594"/>
  <c r="O116" i="594" s="1"/>
  <c r="N99" i="594"/>
  <c r="N116" i="594" s="1"/>
  <c r="M99" i="594"/>
  <c r="M116" i="594" s="1"/>
  <c r="L99" i="594"/>
  <c r="K99" i="594"/>
  <c r="K116" i="594" s="1"/>
  <c r="J99" i="594"/>
  <c r="I99" i="594"/>
  <c r="I116" i="594" s="1"/>
  <c r="H99" i="594"/>
  <c r="G99" i="594"/>
  <c r="G116" i="594" s="1"/>
  <c r="F99" i="594"/>
  <c r="F116" i="594" s="1"/>
  <c r="E99" i="594"/>
  <c r="E116" i="594" s="1"/>
  <c r="D99" i="594"/>
  <c r="C99" i="594"/>
  <c r="C116" i="594" s="1"/>
  <c r="B99" i="594"/>
  <c r="X95" i="594"/>
  <c r="W95" i="594"/>
  <c r="W115" i="594" s="1"/>
  <c r="V95" i="594"/>
  <c r="V115" i="594" s="1"/>
  <c r="U95" i="594"/>
  <c r="U115" i="594" s="1"/>
  <c r="T95" i="594"/>
  <c r="T115" i="594" s="1"/>
  <c r="S95" i="594"/>
  <c r="R95" i="594"/>
  <c r="Q95" i="594"/>
  <c r="Q115" i="594" s="1"/>
  <c r="P95" i="594"/>
  <c r="O95" i="594"/>
  <c r="O115" i="594" s="1"/>
  <c r="N95" i="594"/>
  <c r="N115" i="594" s="1"/>
  <c r="M95" i="594"/>
  <c r="M115" i="594" s="1"/>
  <c r="L95" i="594"/>
  <c r="L115" i="594" s="1"/>
  <c r="K95" i="594"/>
  <c r="J95" i="594"/>
  <c r="I95" i="594"/>
  <c r="I115" i="594" s="1"/>
  <c r="H95" i="594"/>
  <c r="G95" i="594"/>
  <c r="G115" i="594" s="1"/>
  <c r="F95" i="594"/>
  <c r="F115" i="594" s="1"/>
  <c r="E95" i="594"/>
  <c r="E115" i="594" s="1"/>
  <c r="D95" i="594"/>
  <c r="D115" i="594" s="1"/>
  <c r="B95" i="594"/>
  <c r="X93" i="594"/>
  <c r="W93" i="594"/>
  <c r="V93" i="594"/>
  <c r="U93" i="594"/>
  <c r="T93" i="594"/>
  <c r="S93" i="594"/>
  <c r="R93" i="594"/>
  <c r="R114" i="594" s="1"/>
  <c r="Q93" i="594"/>
  <c r="Q114" i="594" s="1"/>
  <c r="P93" i="594"/>
  <c r="O93" i="594"/>
  <c r="N93" i="594"/>
  <c r="M93" i="594"/>
  <c r="L93" i="594"/>
  <c r="K93" i="594"/>
  <c r="J93" i="594"/>
  <c r="J114" i="594" s="1"/>
  <c r="I93" i="594"/>
  <c r="I114" i="594" s="1"/>
  <c r="H93" i="594"/>
  <c r="G93" i="594"/>
  <c r="F93" i="594"/>
  <c r="E93" i="594"/>
  <c r="D93" i="594"/>
  <c r="B93" i="594"/>
  <c r="B114" i="594" s="1"/>
  <c r="E85" i="594"/>
  <c r="G85" i="594" s="1"/>
  <c r="E84" i="594"/>
  <c r="G84" i="594" s="1"/>
  <c r="E83" i="594"/>
  <c r="G83" i="594" s="1"/>
  <c r="D27" i="594" s="1"/>
  <c r="F82" i="594"/>
  <c r="E82" i="594"/>
  <c r="G82" i="594" s="1"/>
  <c r="E81" i="594"/>
  <c r="G81" i="594" s="1"/>
  <c r="D25" i="594" s="1"/>
  <c r="E80" i="594"/>
  <c r="G80" i="594" s="1"/>
  <c r="E79" i="594"/>
  <c r="G79" i="594" s="1"/>
  <c r="D23" i="594" s="1"/>
  <c r="E78" i="594"/>
  <c r="G78" i="594" s="1"/>
  <c r="E77" i="594"/>
  <c r="G77" i="594" s="1"/>
  <c r="D21" i="594" s="1"/>
  <c r="E76" i="594"/>
  <c r="G76" i="594" s="1"/>
  <c r="E75" i="594"/>
  <c r="G75" i="594" s="1"/>
  <c r="D19" i="594" s="1"/>
  <c r="E74" i="594"/>
  <c r="G74" i="594" s="1"/>
  <c r="E73" i="594"/>
  <c r="G73" i="594" s="1"/>
  <c r="D17" i="594" s="1"/>
  <c r="E72" i="594"/>
  <c r="G72" i="594" s="1"/>
  <c r="E71" i="594"/>
  <c r="G71" i="594" s="1"/>
  <c r="D15" i="594" s="1"/>
  <c r="F70" i="594"/>
  <c r="E70" i="594"/>
  <c r="G70" i="594" s="1"/>
  <c r="E69" i="594"/>
  <c r="G69" i="594" s="1"/>
  <c r="D13" i="594" s="1"/>
  <c r="E68" i="594"/>
  <c r="G68" i="594" s="1"/>
  <c r="E67" i="594"/>
  <c r="G67" i="594" s="1"/>
  <c r="D11" i="594" s="1"/>
  <c r="E66" i="594"/>
  <c r="G66" i="594" s="1"/>
  <c r="E65" i="594"/>
  <c r="G65" i="594" s="1"/>
  <c r="D9" i="594" s="1"/>
  <c r="B27" i="594"/>
  <c r="B26" i="594"/>
  <c r="B25" i="594"/>
  <c r="B24" i="594"/>
  <c r="B23" i="594"/>
  <c r="B22" i="594"/>
  <c r="B21" i="594"/>
  <c r="B20" i="594"/>
  <c r="B19" i="594"/>
  <c r="B18" i="594"/>
  <c r="F152" i="593"/>
  <c r="F159" i="593"/>
  <c r="F160" i="593"/>
  <c r="F167" i="593"/>
  <c r="F168" i="593"/>
  <c r="B144" i="590"/>
  <c r="B143" i="590"/>
  <c r="E27" i="590" s="1"/>
  <c r="B142" i="590"/>
  <c r="B141" i="590"/>
  <c r="B140" i="590"/>
  <c r="B139" i="590"/>
  <c r="E23" i="590" s="1"/>
  <c r="B138" i="590"/>
  <c r="B137" i="590"/>
  <c r="B136" i="590"/>
  <c r="B135" i="590"/>
  <c r="B134" i="590"/>
  <c r="B133" i="590"/>
  <c r="B132" i="590"/>
  <c r="E16" i="590" s="1"/>
  <c r="B131" i="590"/>
  <c r="B130" i="590"/>
  <c r="E14" i="590" s="1"/>
  <c r="B129" i="590"/>
  <c r="B128" i="590"/>
  <c r="B127" i="590"/>
  <c r="B126" i="590"/>
  <c r="B125" i="590"/>
  <c r="B124" i="590"/>
  <c r="B123" i="590"/>
  <c r="E7" i="590" s="1"/>
  <c r="B122" i="590"/>
  <c r="E85" i="593"/>
  <c r="G85" i="593" s="1"/>
  <c r="E84" i="593"/>
  <c r="G84" i="593" s="1"/>
  <c r="D28" i="593" s="1"/>
  <c r="E83" i="593"/>
  <c r="G83" i="593" s="1"/>
  <c r="D27" i="593" s="1"/>
  <c r="F82" i="593"/>
  <c r="E82" i="593"/>
  <c r="G82" i="593" s="1"/>
  <c r="E81" i="593"/>
  <c r="G81" i="593" s="1"/>
  <c r="E80" i="593"/>
  <c r="G80" i="593" s="1"/>
  <c r="E79" i="593"/>
  <c r="G79" i="593" s="1"/>
  <c r="D23" i="593" s="1"/>
  <c r="F78" i="593"/>
  <c r="E78" i="593"/>
  <c r="G78" i="593" s="1"/>
  <c r="E77" i="593"/>
  <c r="G77" i="593" s="1"/>
  <c r="E76" i="593"/>
  <c r="G76" i="593" s="1"/>
  <c r="D20" i="593" s="1"/>
  <c r="E75" i="593"/>
  <c r="G75" i="593" s="1"/>
  <c r="D19" i="593" s="1"/>
  <c r="F74" i="593"/>
  <c r="E74" i="593"/>
  <c r="G74" i="593" s="1"/>
  <c r="E73" i="593"/>
  <c r="G73" i="593" s="1"/>
  <c r="E72" i="593"/>
  <c r="G72" i="593" s="1"/>
  <c r="E71" i="593"/>
  <c r="G71" i="593" s="1"/>
  <c r="D15" i="593" s="1"/>
  <c r="F70" i="593"/>
  <c r="E70" i="593"/>
  <c r="G70" i="593" s="1"/>
  <c r="E69" i="593"/>
  <c r="G69" i="593" s="1"/>
  <c r="E68" i="593"/>
  <c r="G68" i="593" s="1"/>
  <c r="D12" i="593" s="1"/>
  <c r="E67" i="593"/>
  <c r="G67" i="593" s="1"/>
  <c r="D11" i="593" s="1"/>
  <c r="F66" i="593"/>
  <c r="E66" i="593"/>
  <c r="G66" i="593" s="1"/>
  <c r="E65" i="593"/>
  <c r="G65" i="593" s="1"/>
  <c r="C39" i="593"/>
  <c r="C40" i="593"/>
  <c r="C41" i="593"/>
  <c r="C43" i="593"/>
  <c r="C45" i="593"/>
  <c r="B15" i="593"/>
  <c r="B16" i="593"/>
  <c r="B17" i="593"/>
  <c r="B18" i="593"/>
  <c r="B19" i="593"/>
  <c r="B20" i="593"/>
  <c r="B21" i="593"/>
  <c r="B22" i="593"/>
  <c r="B23" i="593"/>
  <c r="B24" i="593"/>
  <c r="B25" i="593"/>
  <c r="B26" i="593"/>
  <c r="B27" i="593"/>
  <c r="D48" i="593"/>
  <c r="C38" i="593" s="1"/>
  <c r="B93" i="593"/>
  <c r="C93" i="593"/>
  <c r="D93" i="593"/>
  <c r="E93" i="593"/>
  <c r="E114" i="593" s="1"/>
  <c r="F93" i="593"/>
  <c r="G93" i="593"/>
  <c r="H93" i="593"/>
  <c r="I93" i="593"/>
  <c r="J93" i="593"/>
  <c r="K93" i="593"/>
  <c r="L93" i="593"/>
  <c r="M93" i="593"/>
  <c r="N93" i="593"/>
  <c r="O93" i="593"/>
  <c r="P93" i="593"/>
  <c r="Q93" i="593"/>
  <c r="R93" i="593"/>
  <c r="S93" i="593"/>
  <c r="T93" i="593"/>
  <c r="U93" i="593"/>
  <c r="V93" i="593"/>
  <c r="W93" i="593"/>
  <c r="X93" i="593"/>
  <c r="B95" i="593"/>
  <c r="C95" i="593"/>
  <c r="D95" i="593"/>
  <c r="E95" i="593"/>
  <c r="E115" i="593" s="1"/>
  <c r="F95" i="593"/>
  <c r="G95" i="593"/>
  <c r="H95" i="593"/>
  <c r="I95" i="593"/>
  <c r="J95" i="593"/>
  <c r="K95" i="593"/>
  <c r="L95" i="593"/>
  <c r="M95" i="593"/>
  <c r="M115" i="593" s="1"/>
  <c r="N95" i="593"/>
  <c r="O95" i="593"/>
  <c r="P95" i="593"/>
  <c r="Q95" i="593"/>
  <c r="R95" i="593"/>
  <c r="S95" i="593"/>
  <c r="T95" i="593"/>
  <c r="U95" i="593"/>
  <c r="U115" i="593" s="1"/>
  <c r="V95" i="593"/>
  <c r="W95" i="593"/>
  <c r="X95" i="593"/>
  <c r="B99" i="593"/>
  <c r="C99" i="593"/>
  <c r="D99" i="593"/>
  <c r="E99" i="593"/>
  <c r="F99" i="593"/>
  <c r="G99" i="593"/>
  <c r="G116" i="593" s="1"/>
  <c r="H99" i="593"/>
  <c r="I99" i="593"/>
  <c r="J99" i="593"/>
  <c r="K99" i="593"/>
  <c r="M99" i="593"/>
  <c r="N99" i="593"/>
  <c r="O99" i="593"/>
  <c r="O116" i="593" s="1"/>
  <c r="P99" i="593"/>
  <c r="P116" i="593" s="1"/>
  <c r="Q99" i="593"/>
  <c r="R99" i="593"/>
  <c r="S99" i="593"/>
  <c r="T99" i="593"/>
  <c r="U99" i="593"/>
  <c r="V99" i="593"/>
  <c r="W99" i="593"/>
  <c r="W116" i="593" s="1"/>
  <c r="X99" i="593"/>
  <c r="X116" i="593" s="1"/>
  <c r="B106" i="593"/>
  <c r="C106" i="593"/>
  <c r="D106" i="593"/>
  <c r="E106" i="593"/>
  <c r="F106" i="593"/>
  <c r="G106" i="593"/>
  <c r="H106" i="593"/>
  <c r="H117" i="593" s="1"/>
  <c r="I106" i="593"/>
  <c r="I117" i="593" s="1"/>
  <c r="J106" i="593"/>
  <c r="K106" i="593"/>
  <c r="L106" i="593"/>
  <c r="M106" i="593"/>
  <c r="N106" i="593"/>
  <c r="O106" i="593"/>
  <c r="P106" i="593"/>
  <c r="P117" i="593" s="1"/>
  <c r="Q106" i="593"/>
  <c r="Q117" i="593" s="1"/>
  <c r="R106" i="593"/>
  <c r="S106" i="593"/>
  <c r="T106" i="593"/>
  <c r="U106" i="593"/>
  <c r="V106" i="593"/>
  <c r="W106" i="593"/>
  <c r="X106" i="593"/>
  <c r="X117" i="593" s="1"/>
  <c r="B111" i="593"/>
  <c r="B114" i="593" s="1"/>
  <c r="C111" i="593"/>
  <c r="C114" i="593" s="1"/>
  <c r="D111" i="593"/>
  <c r="E111" i="593"/>
  <c r="F111" i="593"/>
  <c r="G111" i="593"/>
  <c r="H111" i="593"/>
  <c r="I111" i="593"/>
  <c r="J111" i="593"/>
  <c r="J114" i="593" s="1"/>
  <c r="K111" i="593"/>
  <c r="L111" i="593"/>
  <c r="M111" i="593"/>
  <c r="N111" i="593"/>
  <c r="O111" i="593"/>
  <c r="P111" i="593"/>
  <c r="Q111" i="593"/>
  <c r="R111" i="593"/>
  <c r="S111" i="593"/>
  <c r="T111" i="593"/>
  <c r="U111" i="593"/>
  <c r="V111" i="593"/>
  <c r="W111" i="593"/>
  <c r="X111" i="593"/>
  <c r="X115" i="593" s="1"/>
  <c r="G114" i="593"/>
  <c r="K114" i="593"/>
  <c r="D152" i="593"/>
  <c r="D153" i="593"/>
  <c r="F153" i="593" s="1"/>
  <c r="D154" i="593"/>
  <c r="F154" i="593" s="1"/>
  <c r="D155" i="593"/>
  <c r="F155" i="593" s="1"/>
  <c r="G155" i="593" s="1"/>
  <c r="F9" i="593" s="1"/>
  <c r="D156" i="593"/>
  <c r="F156" i="593" s="1"/>
  <c r="G156" i="593" s="1"/>
  <c r="F10" i="593" s="1"/>
  <c r="D157" i="593"/>
  <c r="F157" i="593" s="1"/>
  <c r="D158" i="593"/>
  <c r="F158" i="593" s="1"/>
  <c r="D159" i="593"/>
  <c r="D160" i="593"/>
  <c r="D161" i="593"/>
  <c r="F161" i="593" s="1"/>
  <c r="D162" i="593"/>
  <c r="F162" i="593" s="1"/>
  <c r="D163" i="593"/>
  <c r="F163" i="593" s="1"/>
  <c r="G163" i="593" s="1"/>
  <c r="F17" i="593" s="1"/>
  <c r="D164" i="593"/>
  <c r="F164" i="593" s="1"/>
  <c r="G164" i="593" s="1"/>
  <c r="F18" i="593" s="1"/>
  <c r="D165" i="593"/>
  <c r="F165" i="593" s="1"/>
  <c r="D166" i="593"/>
  <c r="F166" i="593" s="1"/>
  <c r="D167" i="593"/>
  <c r="D168" i="593"/>
  <c r="D169" i="593"/>
  <c r="F169" i="593" s="1"/>
  <c r="D170" i="593"/>
  <c r="F170" i="593" s="1"/>
  <c r="D171" i="593"/>
  <c r="F171" i="593" s="1"/>
  <c r="G171" i="593" s="1"/>
  <c r="F25" i="593" s="1"/>
  <c r="D172" i="593"/>
  <c r="F172" i="593" s="1"/>
  <c r="G172" i="593" s="1"/>
  <c r="F26" i="593" s="1"/>
  <c r="D173" i="593"/>
  <c r="F173" i="593" s="1"/>
  <c r="G173" i="593" s="1"/>
  <c r="F27" i="593" s="1"/>
  <c r="D174" i="593"/>
  <c r="F174" i="593" s="1"/>
  <c r="G174" i="593" s="1"/>
  <c r="F28" i="593" s="1"/>
  <c r="F9" i="590"/>
  <c r="F11" i="590"/>
  <c r="F17" i="590"/>
  <c r="F19" i="590"/>
  <c r="F25" i="590"/>
  <c r="F27" i="590"/>
  <c r="E8" i="590"/>
  <c r="E9" i="590"/>
  <c r="E10" i="590"/>
  <c r="E11" i="590"/>
  <c r="E12" i="590"/>
  <c r="E13" i="590"/>
  <c r="E15" i="590"/>
  <c r="E17" i="590"/>
  <c r="E18" i="590"/>
  <c r="E19" i="590"/>
  <c r="E20" i="590"/>
  <c r="E21" i="590"/>
  <c r="E22" i="590"/>
  <c r="E24" i="590"/>
  <c r="E25" i="590"/>
  <c r="E26" i="590"/>
  <c r="E28" i="590"/>
  <c r="E6" i="590"/>
  <c r="C111" i="590"/>
  <c r="D111" i="590"/>
  <c r="E111" i="590"/>
  <c r="F111" i="590"/>
  <c r="G111" i="590"/>
  <c r="H111" i="590"/>
  <c r="I111" i="590"/>
  <c r="J111" i="590"/>
  <c r="K111" i="590"/>
  <c r="L111" i="590"/>
  <c r="M111" i="590"/>
  <c r="N111" i="590"/>
  <c r="O111" i="590"/>
  <c r="P111" i="590"/>
  <c r="Q111" i="590"/>
  <c r="R111" i="590"/>
  <c r="S111" i="590"/>
  <c r="T111" i="590"/>
  <c r="U111" i="590"/>
  <c r="V111" i="590"/>
  <c r="W111" i="590"/>
  <c r="X111" i="590"/>
  <c r="B111" i="590"/>
  <c r="X106" i="590"/>
  <c r="W106" i="590"/>
  <c r="W117" i="590" s="1"/>
  <c r="V106" i="590"/>
  <c r="U106" i="590"/>
  <c r="U117" i="590" s="1"/>
  <c r="T106" i="590"/>
  <c r="S106" i="590"/>
  <c r="S117" i="590" s="1"/>
  <c r="R106" i="590"/>
  <c r="Q106" i="590"/>
  <c r="Q117" i="590" s="1"/>
  <c r="P106" i="590"/>
  <c r="O106" i="590"/>
  <c r="O117" i="590" s="1"/>
  <c r="N106" i="590"/>
  <c r="M106" i="590"/>
  <c r="M117" i="590" s="1"/>
  <c r="L106" i="590"/>
  <c r="K106" i="590"/>
  <c r="K117" i="590" s="1"/>
  <c r="J106" i="590"/>
  <c r="I106" i="590"/>
  <c r="I117" i="590" s="1"/>
  <c r="H106" i="590"/>
  <c r="G106" i="590"/>
  <c r="G117" i="590" s="1"/>
  <c r="F106" i="590"/>
  <c r="E106" i="590"/>
  <c r="E117" i="590" s="1"/>
  <c r="D106" i="590"/>
  <c r="C106" i="590"/>
  <c r="C117" i="590" s="1"/>
  <c r="B106" i="590"/>
  <c r="B117" i="590" s="1"/>
  <c r="X99" i="590"/>
  <c r="W99" i="590"/>
  <c r="W116" i="590" s="1"/>
  <c r="V99" i="590"/>
  <c r="U99" i="590"/>
  <c r="U116" i="590" s="1"/>
  <c r="T99" i="590"/>
  <c r="S99" i="590"/>
  <c r="S116" i="590" s="1"/>
  <c r="R99" i="590"/>
  <c r="Q99" i="590"/>
  <c r="Q116" i="590" s="1"/>
  <c r="P99" i="590"/>
  <c r="O99" i="590"/>
  <c r="O116" i="590" s="1"/>
  <c r="N99" i="590"/>
  <c r="M99" i="590"/>
  <c r="M116" i="590" s="1"/>
  <c r="L99" i="590"/>
  <c r="K99" i="590"/>
  <c r="K116" i="590" s="1"/>
  <c r="J99" i="590"/>
  <c r="I99" i="590"/>
  <c r="I116" i="590" s="1"/>
  <c r="H99" i="590"/>
  <c r="G99" i="590"/>
  <c r="G116" i="590" s="1"/>
  <c r="F99" i="590"/>
  <c r="E99" i="590"/>
  <c r="E116" i="590" s="1"/>
  <c r="D99" i="590"/>
  <c r="C99" i="590"/>
  <c r="C116" i="590" s="1"/>
  <c r="B99" i="590"/>
  <c r="B116" i="590" s="1"/>
  <c r="X95" i="590"/>
  <c r="W95" i="590"/>
  <c r="W115" i="590" s="1"/>
  <c r="V95" i="590"/>
  <c r="U95" i="590"/>
  <c r="U115" i="590" s="1"/>
  <c r="T95" i="590"/>
  <c r="T115" i="590" s="1"/>
  <c r="S95" i="590"/>
  <c r="S115" i="590" s="1"/>
  <c r="R95" i="590"/>
  <c r="Q95" i="590"/>
  <c r="Q115" i="590" s="1"/>
  <c r="P95" i="590"/>
  <c r="O95" i="590"/>
  <c r="O115" i="590" s="1"/>
  <c r="N95" i="590"/>
  <c r="M95" i="590"/>
  <c r="M115" i="590" s="1"/>
  <c r="L95" i="590"/>
  <c r="L115" i="590" s="1"/>
  <c r="K95" i="590"/>
  <c r="K115" i="590" s="1"/>
  <c r="J95" i="590"/>
  <c r="I95" i="590"/>
  <c r="I115" i="590" s="1"/>
  <c r="H95" i="590"/>
  <c r="G95" i="590"/>
  <c r="G115" i="590" s="1"/>
  <c r="F95" i="590"/>
  <c r="E95" i="590"/>
  <c r="E115" i="590" s="1"/>
  <c r="D95" i="590"/>
  <c r="D115" i="590" s="1"/>
  <c r="C95" i="590"/>
  <c r="C115" i="590" s="1"/>
  <c r="B95" i="590"/>
  <c r="B115" i="590" s="1"/>
  <c r="X93" i="590"/>
  <c r="W93" i="590"/>
  <c r="V93" i="590"/>
  <c r="U93" i="590"/>
  <c r="U114" i="590" s="1"/>
  <c r="T93" i="590"/>
  <c r="T114" i="590" s="1"/>
  <c r="S93" i="590"/>
  <c r="S114" i="590" s="1"/>
  <c r="R93" i="590"/>
  <c r="Q93" i="590"/>
  <c r="Q114" i="590" s="1"/>
  <c r="P93" i="590"/>
  <c r="O93" i="590"/>
  <c r="N93" i="590"/>
  <c r="M93" i="590"/>
  <c r="M114" i="590" s="1"/>
  <c r="L93" i="590"/>
  <c r="L114" i="590" s="1"/>
  <c r="K93" i="590"/>
  <c r="K114" i="590" s="1"/>
  <c r="J93" i="590"/>
  <c r="I93" i="590"/>
  <c r="I114" i="590" s="1"/>
  <c r="H93" i="590"/>
  <c r="G93" i="590"/>
  <c r="F93" i="590"/>
  <c r="E93" i="590"/>
  <c r="E114" i="590" s="1"/>
  <c r="D93" i="590"/>
  <c r="D114" i="590" s="1"/>
  <c r="C93" i="590"/>
  <c r="C114" i="590" s="1"/>
  <c r="B93" i="590"/>
  <c r="B15" i="590"/>
  <c r="B16" i="590"/>
  <c r="B17" i="590"/>
  <c r="B18" i="590"/>
  <c r="B19" i="590"/>
  <c r="B20" i="590"/>
  <c r="B21" i="590"/>
  <c r="B22" i="590"/>
  <c r="B23" i="590"/>
  <c r="B24" i="590"/>
  <c r="B25" i="590"/>
  <c r="B26" i="590"/>
  <c r="B27" i="590"/>
  <c r="D48" i="590"/>
  <c r="C41" i="590" s="1"/>
  <c r="B10" i="590" s="1"/>
  <c r="D7" i="571"/>
  <c r="D8" i="571"/>
  <c r="D9" i="571"/>
  <c r="D10" i="571"/>
  <c r="D11" i="571"/>
  <c r="D12" i="571"/>
  <c r="D13" i="571"/>
  <c r="D14" i="571"/>
  <c r="D15" i="571"/>
  <c r="D16" i="571"/>
  <c r="D17" i="571"/>
  <c r="D18" i="571"/>
  <c r="D19" i="571"/>
  <c r="D20" i="571"/>
  <c r="D21" i="571"/>
  <c r="D22" i="571"/>
  <c r="D23" i="571"/>
  <c r="D24" i="571"/>
  <c r="D25" i="571"/>
  <c r="D26" i="571"/>
  <c r="D27" i="571"/>
  <c r="D28" i="571"/>
  <c r="C7" i="571"/>
  <c r="C8" i="571"/>
  <c r="C9" i="571"/>
  <c r="C10" i="571"/>
  <c r="C11" i="571"/>
  <c r="C12" i="571"/>
  <c r="C13" i="571"/>
  <c r="C14" i="571"/>
  <c r="C15" i="571"/>
  <c r="C16" i="571"/>
  <c r="C17" i="571"/>
  <c r="C18" i="571"/>
  <c r="C19" i="571"/>
  <c r="C20" i="571"/>
  <c r="C21" i="571"/>
  <c r="C22" i="571"/>
  <c r="C23" i="571"/>
  <c r="C24" i="571"/>
  <c r="C25" i="571"/>
  <c r="C26" i="571"/>
  <c r="C27" i="571"/>
  <c r="C28" i="571"/>
  <c r="H7" i="571"/>
  <c r="H8" i="571"/>
  <c r="H9" i="571"/>
  <c r="H10" i="571"/>
  <c r="H11" i="571"/>
  <c r="H12" i="571"/>
  <c r="H13" i="571"/>
  <c r="H14" i="571"/>
  <c r="H15" i="571"/>
  <c r="H16" i="571"/>
  <c r="H17" i="571"/>
  <c r="H18" i="571"/>
  <c r="H19" i="571"/>
  <c r="H20" i="571"/>
  <c r="H21" i="571"/>
  <c r="H22" i="571"/>
  <c r="H23" i="571"/>
  <c r="H24" i="571"/>
  <c r="H25" i="571"/>
  <c r="H26" i="571"/>
  <c r="H27" i="571"/>
  <c r="H28" i="571"/>
  <c r="H6" i="571"/>
  <c r="D153" i="590"/>
  <c r="F153" i="590" s="1"/>
  <c r="G153" i="590" s="1"/>
  <c r="F7" i="590" s="1"/>
  <c r="D154" i="590"/>
  <c r="F154" i="590" s="1"/>
  <c r="G154" i="590" s="1"/>
  <c r="F8" i="590" s="1"/>
  <c r="D155" i="590"/>
  <c r="F155" i="590" s="1"/>
  <c r="G155" i="590" s="1"/>
  <c r="D156" i="590"/>
  <c r="F156" i="590" s="1"/>
  <c r="G156" i="590" s="1"/>
  <c r="F10" i="590" s="1"/>
  <c r="D157" i="590"/>
  <c r="F157" i="590" s="1"/>
  <c r="G157" i="590" s="1"/>
  <c r="D158" i="590"/>
  <c r="F158" i="590" s="1"/>
  <c r="G158" i="590" s="1"/>
  <c r="F12" i="590" s="1"/>
  <c r="D159" i="590"/>
  <c r="F159" i="590" s="1"/>
  <c r="G159" i="590" s="1"/>
  <c r="F13" i="590" s="1"/>
  <c r="D160" i="590"/>
  <c r="F160" i="590" s="1"/>
  <c r="G160" i="590" s="1"/>
  <c r="F14" i="590" s="1"/>
  <c r="D161" i="590"/>
  <c r="F161" i="590" s="1"/>
  <c r="G161" i="590" s="1"/>
  <c r="F15" i="590" s="1"/>
  <c r="D162" i="590"/>
  <c r="F162" i="590" s="1"/>
  <c r="G162" i="590" s="1"/>
  <c r="F16" i="590" s="1"/>
  <c r="D163" i="590"/>
  <c r="F163" i="590" s="1"/>
  <c r="G163" i="590" s="1"/>
  <c r="D164" i="590"/>
  <c r="F164" i="590" s="1"/>
  <c r="G164" i="590" s="1"/>
  <c r="F18" i="590" s="1"/>
  <c r="D165" i="590"/>
  <c r="F165" i="590" s="1"/>
  <c r="G165" i="590" s="1"/>
  <c r="D166" i="590"/>
  <c r="F166" i="590" s="1"/>
  <c r="G166" i="590" s="1"/>
  <c r="F20" i="590" s="1"/>
  <c r="D167" i="590"/>
  <c r="F167" i="590" s="1"/>
  <c r="G167" i="590" s="1"/>
  <c r="F21" i="590" s="1"/>
  <c r="D168" i="590"/>
  <c r="F168" i="590" s="1"/>
  <c r="G168" i="590" s="1"/>
  <c r="F22" i="590" s="1"/>
  <c r="D169" i="590"/>
  <c r="F169" i="590" s="1"/>
  <c r="G169" i="590" s="1"/>
  <c r="F23" i="590" s="1"/>
  <c r="D170" i="590"/>
  <c r="F170" i="590" s="1"/>
  <c r="G170" i="590" s="1"/>
  <c r="F24" i="590" s="1"/>
  <c r="D171" i="590"/>
  <c r="F171" i="590" s="1"/>
  <c r="G171" i="590" s="1"/>
  <c r="D172" i="590"/>
  <c r="F172" i="590" s="1"/>
  <c r="G172" i="590" s="1"/>
  <c r="F26" i="590" s="1"/>
  <c r="D173" i="590"/>
  <c r="F173" i="590" s="1"/>
  <c r="G173" i="590" s="1"/>
  <c r="D174" i="590"/>
  <c r="F174" i="590" s="1"/>
  <c r="G174" i="590" s="1"/>
  <c r="F28" i="590" s="1"/>
  <c r="D152" i="590"/>
  <c r="F152" i="590" s="1"/>
  <c r="G152" i="590" s="1"/>
  <c r="F6" i="590" s="1"/>
  <c r="X24" i="573"/>
  <c r="W24" i="573"/>
  <c r="V24" i="573"/>
  <c r="U24" i="573"/>
  <c r="T24" i="573"/>
  <c r="S24" i="573"/>
  <c r="R24" i="573"/>
  <c r="Q24" i="573"/>
  <c r="P24" i="573"/>
  <c r="O24" i="573"/>
  <c r="N24" i="573"/>
  <c r="M24" i="573"/>
  <c r="L24" i="573"/>
  <c r="K24" i="573"/>
  <c r="J24" i="573"/>
  <c r="I24" i="573"/>
  <c r="H24" i="573"/>
  <c r="G24" i="573"/>
  <c r="F24" i="573"/>
  <c r="E24" i="573"/>
  <c r="D24" i="573"/>
  <c r="C24" i="573"/>
  <c r="B24" i="573"/>
  <c r="D40" i="573"/>
  <c r="D41" i="573"/>
  <c r="D42" i="573"/>
  <c r="D43" i="573"/>
  <c r="D44" i="573"/>
  <c r="D45" i="573"/>
  <c r="D46" i="573"/>
  <c r="D47" i="573"/>
  <c r="D48" i="573"/>
  <c r="D49" i="573"/>
  <c r="D50" i="573"/>
  <c r="D51" i="573"/>
  <c r="D52" i="573"/>
  <c r="D53" i="573"/>
  <c r="D54" i="573"/>
  <c r="D55" i="573"/>
  <c r="D56" i="573"/>
  <c r="D57" i="573"/>
  <c r="D58" i="573"/>
  <c r="D59" i="573"/>
  <c r="D60" i="573"/>
  <c r="D61" i="573"/>
  <c r="D39" i="573"/>
  <c r="E85" i="590"/>
  <c r="G85" i="590" s="1"/>
  <c r="E84" i="590"/>
  <c r="F84" i="590" s="1"/>
  <c r="E83" i="590"/>
  <c r="G83" i="590" s="1"/>
  <c r="D27" i="590" s="1"/>
  <c r="E82" i="590"/>
  <c r="F82" i="590" s="1"/>
  <c r="E81" i="590"/>
  <c r="G81" i="590" s="1"/>
  <c r="D25" i="590" s="1"/>
  <c r="E80" i="590"/>
  <c r="F80" i="590" s="1"/>
  <c r="E79" i="590"/>
  <c r="G79" i="590" s="1"/>
  <c r="D23" i="590" s="1"/>
  <c r="E78" i="590"/>
  <c r="F78" i="590" s="1"/>
  <c r="E77" i="590"/>
  <c r="F77" i="590" s="1"/>
  <c r="E76" i="590"/>
  <c r="F76" i="590" s="1"/>
  <c r="E75" i="590"/>
  <c r="F75" i="590" s="1"/>
  <c r="E74" i="590"/>
  <c r="F74" i="590" s="1"/>
  <c r="E73" i="590"/>
  <c r="G73" i="590" s="1"/>
  <c r="D17" i="590" s="1"/>
  <c r="E72" i="590"/>
  <c r="F72" i="590" s="1"/>
  <c r="E71" i="590"/>
  <c r="G71" i="590" s="1"/>
  <c r="D15" i="590" s="1"/>
  <c r="E70" i="590"/>
  <c r="F70" i="590" s="1"/>
  <c r="E69" i="590"/>
  <c r="F69" i="590" s="1"/>
  <c r="E68" i="590"/>
  <c r="F68" i="590" s="1"/>
  <c r="E67" i="590"/>
  <c r="G67" i="590" s="1"/>
  <c r="D11" i="590" s="1"/>
  <c r="E66" i="590"/>
  <c r="F66" i="590" s="1"/>
  <c r="E65" i="590"/>
  <c r="G65" i="590" s="1"/>
  <c r="D9" i="590" s="1"/>
  <c r="D10" i="584"/>
  <c r="D11" i="584"/>
  <c r="D12" i="584"/>
  <c r="D13" i="584"/>
  <c r="D14" i="584"/>
  <c r="D15" i="584"/>
  <c r="D16" i="584"/>
  <c r="D17" i="584"/>
  <c r="D18" i="584"/>
  <c r="D19" i="584"/>
  <c r="D20" i="584"/>
  <c r="D21" i="584"/>
  <c r="D22" i="584"/>
  <c r="D23" i="584"/>
  <c r="D24" i="584"/>
  <c r="D25" i="584"/>
  <c r="D26" i="584"/>
  <c r="D27" i="584"/>
  <c r="D28" i="584"/>
  <c r="D9" i="584"/>
  <c r="C10" i="584"/>
  <c r="C11" i="584"/>
  <c r="C12" i="584"/>
  <c r="C13" i="584"/>
  <c r="C14" i="584"/>
  <c r="C15" i="584"/>
  <c r="C16" i="584"/>
  <c r="C17" i="584"/>
  <c r="C18" i="584"/>
  <c r="C19" i="584"/>
  <c r="C20" i="584"/>
  <c r="C21" i="584"/>
  <c r="C22" i="584"/>
  <c r="C23" i="584"/>
  <c r="C24" i="584"/>
  <c r="C25" i="584"/>
  <c r="C26" i="584"/>
  <c r="C27" i="584"/>
  <c r="C28" i="584"/>
  <c r="C9" i="584"/>
  <c r="B12" i="584"/>
  <c r="B13" i="584"/>
  <c r="B14" i="584"/>
  <c r="B15" i="584"/>
  <c r="B16" i="584"/>
  <c r="B17" i="584"/>
  <c r="B18" i="584"/>
  <c r="B19" i="584"/>
  <c r="B20" i="584"/>
  <c r="B21" i="584"/>
  <c r="B22" i="584"/>
  <c r="B23" i="584"/>
  <c r="B24" i="584"/>
  <c r="B25" i="584"/>
  <c r="B26" i="584"/>
  <c r="B27" i="584"/>
  <c r="B28" i="584"/>
  <c r="B7" i="584"/>
  <c r="B8" i="584"/>
  <c r="B9" i="584"/>
  <c r="B10" i="584"/>
  <c r="B11" i="584"/>
  <c r="B6" i="584"/>
  <c r="C7" i="576"/>
  <c r="C8" i="576"/>
  <c r="C9" i="576"/>
  <c r="C10" i="576"/>
  <c r="C11" i="576"/>
  <c r="C12" i="576"/>
  <c r="C13" i="576"/>
  <c r="C14" i="576"/>
  <c r="C15" i="576"/>
  <c r="C16" i="576"/>
  <c r="C17" i="576"/>
  <c r="C18" i="576"/>
  <c r="C19" i="576"/>
  <c r="C20" i="576"/>
  <c r="C21" i="576"/>
  <c r="C22" i="576"/>
  <c r="C23" i="576"/>
  <c r="C24" i="576"/>
  <c r="C25" i="576"/>
  <c r="C6" i="576"/>
  <c r="B7" i="576"/>
  <c r="B8" i="576"/>
  <c r="B9" i="576"/>
  <c r="B10" i="576"/>
  <c r="B11" i="576"/>
  <c r="B12" i="576"/>
  <c r="B13" i="576"/>
  <c r="B14" i="576"/>
  <c r="B15" i="576"/>
  <c r="B16" i="576"/>
  <c r="B17" i="576"/>
  <c r="B18" i="576"/>
  <c r="B19" i="576"/>
  <c r="B20" i="576"/>
  <c r="B21" i="576"/>
  <c r="B22" i="576"/>
  <c r="B23" i="576"/>
  <c r="B24" i="576"/>
  <c r="B25" i="576"/>
  <c r="B6" i="576"/>
  <c r="E80" i="576"/>
  <c r="F80" i="576" s="1"/>
  <c r="E79" i="576"/>
  <c r="G79" i="576" s="1"/>
  <c r="E78" i="576"/>
  <c r="F78" i="576" s="1"/>
  <c r="E77" i="576"/>
  <c r="F77" i="576" s="1"/>
  <c r="E76" i="576"/>
  <c r="F76" i="576" s="1"/>
  <c r="E75" i="576"/>
  <c r="F75" i="576" s="1"/>
  <c r="E74" i="576"/>
  <c r="G74" i="576" s="1"/>
  <c r="E73" i="576"/>
  <c r="G73" i="576" s="1"/>
  <c r="E72" i="576"/>
  <c r="F72" i="576" s="1"/>
  <c r="E71" i="576"/>
  <c r="F71" i="576" s="1"/>
  <c r="E70" i="576"/>
  <c r="F70" i="576" s="1"/>
  <c r="E69" i="576"/>
  <c r="G69" i="576" s="1"/>
  <c r="E68" i="576"/>
  <c r="F68" i="576" s="1"/>
  <c r="E67" i="576"/>
  <c r="G67" i="576" s="1"/>
  <c r="E66" i="576"/>
  <c r="F66" i="576" s="1"/>
  <c r="E65" i="576"/>
  <c r="G65" i="576" s="1"/>
  <c r="E64" i="576"/>
  <c r="F64" i="576" s="1"/>
  <c r="E63" i="576"/>
  <c r="G63" i="576" s="1"/>
  <c r="E62" i="576"/>
  <c r="G62" i="576" s="1"/>
  <c r="E61" i="576"/>
  <c r="G61" i="576" s="1"/>
  <c r="E60" i="576"/>
  <c r="F60" i="576" s="1"/>
  <c r="E7" i="576"/>
  <c r="E8" i="576"/>
  <c r="E9" i="576"/>
  <c r="E10" i="576"/>
  <c r="E11" i="576"/>
  <c r="E12" i="576"/>
  <c r="E13" i="576"/>
  <c r="E14" i="576"/>
  <c r="E15" i="576"/>
  <c r="E16" i="576"/>
  <c r="E17" i="576"/>
  <c r="E18" i="576"/>
  <c r="E19" i="576"/>
  <c r="E20" i="576"/>
  <c r="E21" i="576"/>
  <c r="E22" i="576"/>
  <c r="E23" i="576"/>
  <c r="E24" i="576"/>
  <c r="E25" i="576"/>
  <c r="E6" i="576"/>
  <c r="D10" i="576"/>
  <c r="D11" i="576"/>
  <c r="D12" i="576"/>
  <c r="D13" i="576"/>
  <c r="D14" i="576"/>
  <c r="D15" i="576"/>
  <c r="D16" i="576"/>
  <c r="D17" i="576"/>
  <c r="D18" i="576"/>
  <c r="D19" i="576"/>
  <c r="D20" i="576"/>
  <c r="D21" i="576"/>
  <c r="D22" i="576"/>
  <c r="D23" i="576"/>
  <c r="D24" i="576"/>
  <c r="D25" i="576"/>
  <c r="D9" i="576"/>
  <c r="D8" i="576"/>
  <c r="D7" i="576"/>
  <c r="D6" i="576"/>
  <c r="E34" i="576"/>
  <c r="F34" i="576" s="1"/>
  <c r="E35" i="576"/>
  <c r="F35" i="576" s="1"/>
  <c r="E36" i="576"/>
  <c r="F36" i="576" s="1"/>
  <c r="E54" i="576"/>
  <c r="G54" i="576" s="1"/>
  <c r="E53" i="576"/>
  <c r="G53" i="576" s="1"/>
  <c r="E52" i="576"/>
  <c r="G52" i="576" s="1"/>
  <c r="E51" i="576"/>
  <c r="G51" i="576" s="1"/>
  <c r="E50" i="576"/>
  <c r="G50" i="576" s="1"/>
  <c r="E49" i="576"/>
  <c r="G49" i="576" s="1"/>
  <c r="E48" i="576"/>
  <c r="G48" i="576" s="1"/>
  <c r="E47" i="576"/>
  <c r="G47" i="576" s="1"/>
  <c r="E46" i="576"/>
  <c r="G46" i="576" s="1"/>
  <c r="E45" i="576"/>
  <c r="G45" i="576" s="1"/>
  <c r="E44" i="576"/>
  <c r="G44" i="576" s="1"/>
  <c r="E43" i="576"/>
  <c r="G43" i="576" s="1"/>
  <c r="E42" i="576"/>
  <c r="G42" i="576" s="1"/>
  <c r="E41" i="576"/>
  <c r="G41" i="576" s="1"/>
  <c r="E40" i="576"/>
  <c r="G40" i="576" s="1"/>
  <c r="E39" i="576"/>
  <c r="G39" i="576" s="1"/>
  <c r="E38" i="576"/>
  <c r="G38" i="576" s="1"/>
  <c r="E37" i="576"/>
  <c r="G37" i="576" s="1"/>
  <c r="B8" i="573"/>
  <c r="C8" i="573"/>
  <c r="D8" i="573"/>
  <c r="E8" i="573"/>
  <c r="F8" i="573"/>
  <c r="G8" i="573"/>
  <c r="B12" i="573"/>
  <c r="C12" i="573"/>
  <c r="D12" i="573"/>
  <c r="E12" i="573"/>
  <c r="F12" i="573"/>
  <c r="G12" i="573"/>
  <c r="B19" i="573"/>
  <c r="C19" i="573"/>
  <c r="D19" i="573"/>
  <c r="E19" i="573"/>
  <c r="F19" i="573"/>
  <c r="G19" i="573"/>
  <c r="B6" i="573"/>
  <c r="C6" i="573"/>
  <c r="D6" i="573"/>
  <c r="E6" i="573"/>
  <c r="F6" i="573"/>
  <c r="G6" i="573"/>
  <c r="I19" i="573"/>
  <c r="J19" i="573"/>
  <c r="K19" i="573"/>
  <c r="L19" i="573"/>
  <c r="M19" i="573"/>
  <c r="N19" i="573"/>
  <c r="O19" i="573"/>
  <c r="P19" i="573"/>
  <c r="Q19" i="573"/>
  <c r="R19" i="573"/>
  <c r="S19" i="573"/>
  <c r="T19" i="573"/>
  <c r="U19" i="573"/>
  <c r="V19" i="573"/>
  <c r="W19" i="573"/>
  <c r="X19" i="573"/>
  <c r="I12" i="573"/>
  <c r="J12" i="573"/>
  <c r="K12" i="573"/>
  <c r="L12" i="573"/>
  <c r="M12" i="573"/>
  <c r="N12" i="573"/>
  <c r="O12" i="573"/>
  <c r="P12" i="573"/>
  <c r="Q12" i="573"/>
  <c r="R12" i="573"/>
  <c r="S12" i="573"/>
  <c r="T12" i="573"/>
  <c r="U12" i="573"/>
  <c r="V12" i="573"/>
  <c r="W12" i="573"/>
  <c r="X12" i="573"/>
  <c r="I8" i="573"/>
  <c r="J8" i="573"/>
  <c r="K8" i="573"/>
  <c r="L8" i="573"/>
  <c r="M8" i="573"/>
  <c r="N8" i="573"/>
  <c r="O8" i="573"/>
  <c r="P8" i="573"/>
  <c r="Q8" i="573"/>
  <c r="R8" i="573"/>
  <c r="S8" i="573"/>
  <c r="T8" i="573"/>
  <c r="U8" i="573"/>
  <c r="V8" i="573"/>
  <c r="W8" i="573"/>
  <c r="X8" i="573"/>
  <c r="I6" i="573"/>
  <c r="J6" i="573"/>
  <c r="K6" i="573"/>
  <c r="L6" i="573"/>
  <c r="M6" i="573"/>
  <c r="N6" i="573"/>
  <c r="O6" i="573"/>
  <c r="P6" i="573"/>
  <c r="Q6" i="573"/>
  <c r="R6" i="573"/>
  <c r="S6" i="573"/>
  <c r="T6" i="573"/>
  <c r="U6" i="573"/>
  <c r="V6" i="573"/>
  <c r="W6" i="573"/>
  <c r="X6" i="573"/>
  <c r="H19" i="573"/>
  <c r="H12" i="573"/>
  <c r="H8" i="573"/>
  <c r="H6" i="573"/>
  <c r="S117" i="594" l="1"/>
  <c r="S109" i="594"/>
  <c r="Q109" i="594"/>
  <c r="Q118" i="594" s="1"/>
  <c r="B137" i="594" s="1"/>
  <c r="E21" i="594" s="1"/>
  <c r="P109" i="594"/>
  <c r="P118" i="594" s="1"/>
  <c r="B136" i="594" s="1"/>
  <c r="E20" i="594" s="1"/>
  <c r="L117" i="594"/>
  <c r="K117" i="594"/>
  <c r="K109" i="594"/>
  <c r="K118" i="594" s="1"/>
  <c r="B131" i="594" s="1"/>
  <c r="E15" i="594" s="1"/>
  <c r="H109" i="594"/>
  <c r="H114" i="594"/>
  <c r="L114" i="594"/>
  <c r="D109" i="594"/>
  <c r="D118" i="594" s="1"/>
  <c r="B124" i="594" s="1"/>
  <c r="E8" i="594" s="1"/>
  <c r="L109" i="594"/>
  <c r="L118" i="594" s="1"/>
  <c r="B132" i="594" s="1"/>
  <c r="E16" i="594" s="1"/>
  <c r="T109" i="594"/>
  <c r="T118" i="594" s="1"/>
  <c r="B140" i="594" s="1"/>
  <c r="E24" i="594" s="1"/>
  <c r="H117" i="594"/>
  <c r="P117" i="594"/>
  <c r="X117" i="594"/>
  <c r="G155" i="594"/>
  <c r="F9" i="594" s="1"/>
  <c r="S118" i="594"/>
  <c r="B139" i="594" s="1"/>
  <c r="E23" i="594" s="1"/>
  <c r="E109" i="594"/>
  <c r="E118" i="594" s="1"/>
  <c r="B125" i="594" s="1"/>
  <c r="E9" i="594" s="1"/>
  <c r="M109" i="594"/>
  <c r="M118" i="594" s="1"/>
  <c r="B133" i="594" s="1"/>
  <c r="E17" i="594" s="1"/>
  <c r="U109" i="594"/>
  <c r="U118" i="594" s="1"/>
  <c r="B141" i="594" s="1"/>
  <c r="E25" i="594" s="1"/>
  <c r="H116" i="594"/>
  <c r="P116" i="594"/>
  <c r="X116" i="594"/>
  <c r="I109" i="594"/>
  <c r="I118" i="594" s="1"/>
  <c r="B129" i="594" s="1"/>
  <c r="E13" i="594" s="1"/>
  <c r="S114" i="594"/>
  <c r="F163" i="594"/>
  <c r="G163" i="594" s="1"/>
  <c r="F17" i="594" s="1"/>
  <c r="F155" i="594"/>
  <c r="K114" i="594"/>
  <c r="N109" i="594"/>
  <c r="N118" i="594" s="1"/>
  <c r="B134" i="594" s="1"/>
  <c r="E18" i="594" s="1"/>
  <c r="V109" i="594"/>
  <c r="V118" i="594" s="1"/>
  <c r="B142" i="594" s="1"/>
  <c r="E26" i="594" s="1"/>
  <c r="J109" i="594"/>
  <c r="J118" i="594" s="1"/>
  <c r="B130" i="594" s="1"/>
  <c r="E14" i="594" s="1"/>
  <c r="G114" i="594"/>
  <c r="O114" i="594"/>
  <c r="W114" i="594"/>
  <c r="T114" i="594"/>
  <c r="F153" i="594"/>
  <c r="G153" i="594" s="1"/>
  <c r="F7" i="594" s="1"/>
  <c r="F169" i="594"/>
  <c r="G169" i="594" s="1"/>
  <c r="F23" i="594" s="1"/>
  <c r="H118" i="594"/>
  <c r="B128" i="594" s="1"/>
  <c r="E12" i="594" s="1"/>
  <c r="X109" i="594"/>
  <c r="X118" i="594" s="1"/>
  <c r="B144" i="594" s="1"/>
  <c r="E28" i="594" s="1"/>
  <c r="R109" i="594"/>
  <c r="R118" i="594" s="1"/>
  <c r="B138" i="594" s="1"/>
  <c r="E22" i="594" s="1"/>
  <c r="D114" i="594"/>
  <c r="K115" i="594"/>
  <c r="S115" i="594"/>
  <c r="D116" i="594"/>
  <c r="L116" i="594"/>
  <c r="T116" i="594"/>
  <c r="J116" i="594"/>
  <c r="R116" i="594"/>
  <c r="F167" i="594"/>
  <c r="G167" i="594" s="1"/>
  <c r="F21" i="594" s="1"/>
  <c r="F159" i="594"/>
  <c r="G159" i="594" s="1"/>
  <c r="F13" i="594" s="1"/>
  <c r="F109" i="594"/>
  <c r="F118" i="594" s="1"/>
  <c r="B126" i="594" s="1"/>
  <c r="E10" i="594" s="1"/>
  <c r="C114" i="594"/>
  <c r="B116" i="594"/>
  <c r="B109" i="594"/>
  <c r="B118" i="594" s="1"/>
  <c r="B122" i="594" s="1"/>
  <c r="E6" i="594" s="1"/>
  <c r="V117" i="593"/>
  <c r="T116" i="593"/>
  <c r="S114" i="593"/>
  <c r="R114" i="593"/>
  <c r="Q116" i="593"/>
  <c r="P115" i="593"/>
  <c r="N117" i="593"/>
  <c r="I116" i="593"/>
  <c r="O114" i="593"/>
  <c r="H66" i="593"/>
  <c r="H70" i="593"/>
  <c r="H74" i="593"/>
  <c r="H78" i="593"/>
  <c r="H82" i="593"/>
  <c r="B117" i="593"/>
  <c r="H116" i="593"/>
  <c r="W115" i="593"/>
  <c r="O115" i="593"/>
  <c r="G115" i="593"/>
  <c r="V114" i="593"/>
  <c r="N114" i="593"/>
  <c r="F114" i="593"/>
  <c r="C42" i="593"/>
  <c r="B11" i="593" s="1"/>
  <c r="W117" i="593"/>
  <c r="O117" i="593"/>
  <c r="G117" i="593"/>
  <c r="F68" i="593"/>
  <c r="H68" i="593" s="1"/>
  <c r="F72" i="593"/>
  <c r="H72" i="593" s="1"/>
  <c r="F76" i="593"/>
  <c r="H76" i="593" s="1"/>
  <c r="F80" i="593"/>
  <c r="H80" i="593" s="1"/>
  <c r="F84" i="593"/>
  <c r="H84" i="593" s="1"/>
  <c r="C28" i="593" s="1"/>
  <c r="G161" i="593"/>
  <c r="F15" i="593" s="1"/>
  <c r="G166" i="593"/>
  <c r="F20" i="593" s="1"/>
  <c r="G159" i="593"/>
  <c r="F13" i="593" s="1"/>
  <c r="C37" i="593"/>
  <c r="G165" i="593"/>
  <c r="F19" i="593" s="1"/>
  <c r="G158" i="593"/>
  <c r="F12" i="593" s="1"/>
  <c r="I114" i="593"/>
  <c r="R117" i="593"/>
  <c r="Q115" i="593"/>
  <c r="I115" i="593"/>
  <c r="B12" i="593"/>
  <c r="C44" i="593"/>
  <c r="K115" i="593"/>
  <c r="H115" i="593"/>
  <c r="F117" i="593"/>
  <c r="D116" i="593"/>
  <c r="G157" i="594"/>
  <c r="F11" i="594" s="1"/>
  <c r="G152" i="594"/>
  <c r="F6" i="594" s="1"/>
  <c r="G171" i="594"/>
  <c r="F25" i="594" s="1"/>
  <c r="G161" i="594"/>
  <c r="F15" i="594" s="1"/>
  <c r="G165" i="594"/>
  <c r="F19" i="594" s="1"/>
  <c r="G160" i="594"/>
  <c r="F14" i="594" s="1"/>
  <c r="G168" i="594"/>
  <c r="F22" i="594" s="1"/>
  <c r="F78" i="594"/>
  <c r="F74" i="594"/>
  <c r="F68" i="594"/>
  <c r="H68" i="594" s="1"/>
  <c r="C12" i="594" s="1"/>
  <c r="F84" i="594"/>
  <c r="F80" i="594"/>
  <c r="H80" i="594" s="1"/>
  <c r="C24" i="594" s="1"/>
  <c r="F76" i="594"/>
  <c r="H76" i="594" s="1"/>
  <c r="C20" i="594" s="1"/>
  <c r="F66" i="594"/>
  <c r="H66" i="594" s="1"/>
  <c r="C10" i="594" s="1"/>
  <c r="F72" i="594"/>
  <c r="H72" i="594" s="1"/>
  <c r="C16" i="594" s="1"/>
  <c r="H78" i="594"/>
  <c r="C22" i="594" s="1"/>
  <c r="D22" i="594"/>
  <c r="D12" i="594"/>
  <c r="D28" i="594"/>
  <c r="H84" i="594"/>
  <c r="C28" i="594" s="1"/>
  <c r="H74" i="594"/>
  <c r="C18" i="594" s="1"/>
  <c r="D18" i="594"/>
  <c r="D24" i="594"/>
  <c r="D20" i="594"/>
  <c r="H70" i="594"/>
  <c r="C14" i="594" s="1"/>
  <c r="D14" i="594"/>
  <c r="D10" i="594"/>
  <c r="H82" i="594"/>
  <c r="C26" i="594" s="1"/>
  <c r="D26" i="594"/>
  <c r="D16" i="594"/>
  <c r="G109" i="594"/>
  <c r="G118" i="594" s="1"/>
  <c r="B127" i="594" s="1"/>
  <c r="E11" i="594" s="1"/>
  <c r="O109" i="594"/>
  <c r="O118" i="594" s="1"/>
  <c r="B135" i="594" s="1"/>
  <c r="E19" i="594" s="1"/>
  <c r="W109" i="594"/>
  <c r="W118" i="594" s="1"/>
  <c r="B143" i="594" s="1"/>
  <c r="E27" i="594" s="1"/>
  <c r="B115" i="594"/>
  <c r="J115" i="594"/>
  <c r="R115" i="594"/>
  <c r="F65" i="594"/>
  <c r="H65" i="594" s="1"/>
  <c r="C9" i="594" s="1"/>
  <c r="F67" i="594"/>
  <c r="H67" i="594" s="1"/>
  <c r="C11" i="594" s="1"/>
  <c r="F69" i="594"/>
  <c r="H69" i="594" s="1"/>
  <c r="C13" i="594" s="1"/>
  <c r="F71" i="594"/>
  <c r="H71" i="594" s="1"/>
  <c r="C15" i="594" s="1"/>
  <c r="F73" i="594"/>
  <c r="H73" i="594" s="1"/>
  <c r="C17" i="594" s="1"/>
  <c r="F75" i="594"/>
  <c r="H75" i="594" s="1"/>
  <c r="C19" i="594" s="1"/>
  <c r="F77" i="594"/>
  <c r="H77" i="594" s="1"/>
  <c r="C21" i="594" s="1"/>
  <c r="F79" i="594"/>
  <c r="H79" i="594" s="1"/>
  <c r="C23" i="594" s="1"/>
  <c r="F81" i="594"/>
  <c r="H81" i="594" s="1"/>
  <c r="C25" i="594" s="1"/>
  <c r="F83" i="594"/>
  <c r="H83" i="594" s="1"/>
  <c r="C27" i="594" s="1"/>
  <c r="F85" i="594"/>
  <c r="H85" i="594" s="1"/>
  <c r="E114" i="594"/>
  <c r="M114" i="594"/>
  <c r="U114" i="594"/>
  <c r="F114" i="594"/>
  <c r="N114" i="594"/>
  <c r="V114" i="594"/>
  <c r="H115" i="594"/>
  <c r="P115" i="594"/>
  <c r="X115" i="594"/>
  <c r="B117" i="594"/>
  <c r="J117" i="594"/>
  <c r="R117" i="594"/>
  <c r="G170" i="593"/>
  <c r="F24" i="593" s="1"/>
  <c r="G169" i="593"/>
  <c r="F23" i="593" s="1"/>
  <c r="G154" i="593"/>
  <c r="F8" i="593" s="1"/>
  <c r="G153" i="593"/>
  <c r="F7" i="593" s="1"/>
  <c r="G162" i="593"/>
  <c r="F16" i="593" s="1"/>
  <c r="G152" i="593"/>
  <c r="F6" i="593" s="1"/>
  <c r="G157" i="593"/>
  <c r="F11" i="593" s="1"/>
  <c r="G168" i="593"/>
  <c r="F22" i="593" s="1"/>
  <c r="G167" i="593"/>
  <c r="F21" i="593" s="1"/>
  <c r="G160" i="593"/>
  <c r="F14" i="593" s="1"/>
  <c r="T109" i="593"/>
  <c r="T118" i="593" s="1"/>
  <c r="B140" i="593" s="1"/>
  <c r="E24" i="593" s="1"/>
  <c r="D109" i="593"/>
  <c r="D118" i="593" s="1"/>
  <c r="B124" i="593" s="1"/>
  <c r="E8" i="593" s="1"/>
  <c r="U116" i="593"/>
  <c r="M116" i="593"/>
  <c r="E116" i="593"/>
  <c r="U109" i="593"/>
  <c r="U118" i="593" s="1"/>
  <c r="B141" i="593" s="1"/>
  <c r="E25" i="593" s="1"/>
  <c r="M109" i="593"/>
  <c r="M118" i="593" s="1"/>
  <c r="B133" i="593" s="1"/>
  <c r="E17" i="593" s="1"/>
  <c r="W114" i="593"/>
  <c r="F65" i="593"/>
  <c r="H65" i="593" s="1"/>
  <c r="C9" i="593" s="1"/>
  <c r="F67" i="593"/>
  <c r="H67" i="593" s="1"/>
  <c r="C11" i="593" s="1"/>
  <c r="F69" i="593"/>
  <c r="H69" i="593" s="1"/>
  <c r="F71" i="593"/>
  <c r="H71" i="593" s="1"/>
  <c r="C15" i="593" s="1"/>
  <c r="F73" i="593"/>
  <c r="H73" i="593" s="1"/>
  <c r="F75" i="593"/>
  <c r="H75" i="593" s="1"/>
  <c r="C19" i="593" s="1"/>
  <c r="F77" i="593"/>
  <c r="H77" i="593" s="1"/>
  <c r="F79" i="593"/>
  <c r="H79" i="593" s="1"/>
  <c r="C23" i="593" s="1"/>
  <c r="F81" i="593"/>
  <c r="H81" i="593" s="1"/>
  <c r="F83" i="593"/>
  <c r="H83" i="593" s="1"/>
  <c r="C27" i="593" s="1"/>
  <c r="F85" i="593"/>
  <c r="H85" i="593" s="1"/>
  <c r="C17" i="593"/>
  <c r="F109" i="593"/>
  <c r="F118" i="593" s="1"/>
  <c r="B126" i="593" s="1"/>
  <c r="E10" i="593" s="1"/>
  <c r="S115" i="593"/>
  <c r="C115" i="593"/>
  <c r="V116" i="593"/>
  <c r="N116" i="593"/>
  <c r="F116" i="593"/>
  <c r="T114" i="593"/>
  <c r="L114" i="593"/>
  <c r="D114" i="593"/>
  <c r="D25" i="593"/>
  <c r="C20" i="593"/>
  <c r="D17" i="593"/>
  <c r="C12" i="593"/>
  <c r="D9" i="593"/>
  <c r="J117" i="593"/>
  <c r="D22" i="593"/>
  <c r="D14" i="593"/>
  <c r="C10" i="593"/>
  <c r="D115" i="593"/>
  <c r="N109" i="593"/>
  <c r="N118" i="593" s="1"/>
  <c r="B134" i="593" s="1"/>
  <c r="E18" i="593" s="1"/>
  <c r="L115" i="593"/>
  <c r="T117" i="593"/>
  <c r="L117" i="593"/>
  <c r="D117" i="593"/>
  <c r="S116" i="593"/>
  <c r="K116" i="593"/>
  <c r="C116" i="593"/>
  <c r="R115" i="593"/>
  <c r="J115" i="593"/>
  <c r="B115" i="593"/>
  <c r="Q109" i="593"/>
  <c r="Q118" i="593" s="1"/>
  <c r="B137" i="593" s="1"/>
  <c r="E21" i="593" s="1"/>
  <c r="D24" i="593"/>
  <c r="D16" i="593"/>
  <c r="T115" i="593"/>
  <c r="V109" i="593"/>
  <c r="V118" i="593" s="1"/>
  <c r="B142" i="593" s="1"/>
  <c r="E26" i="593" s="1"/>
  <c r="S117" i="593"/>
  <c r="K117" i="593"/>
  <c r="C117" i="593"/>
  <c r="R116" i="593"/>
  <c r="J116" i="593"/>
  <c r="B116" i="593"/>
  <c r="X114" i="593"/>
  <c r="P114" i="593"/>
  <c r="H114" i="593"/>
  <c r="D21" i="593"/>
  <c r="D13" i="593"/>
  <c r="E109" i="593"/>
  <c r="E118" i="593" s="1"/>
  <c r="B125" i="593" s="1"/>
  <c r="E9" i="593" s="1"/>
  <c r="W109" i="593"/>
  <c r="W118" i="593" s="1"/>
  <c r="B143" i="593" s="1"/>
  <c r="E27" i="593" s="1"/>
  <c r="O109" i="593"/>
  <c r="O118" i="593" s="1"/>
  <c r="B135" i="593" s="1"/>
  <c r="E19" i="593" s="1"/>
  <c r="G109" i="593"/>
  <c r="G118" i="593" s="1"/>
  <c r="B127" i="593" s="1"/>
  <c r="E11" i="593" s="1"/>
  <c r="D26" i="593"/>
  <c r="D18" i="593"/>
  <c r="D10" i="593"/>
  <c r="B10" i="593"/>
  <c r="V115" i="593"/>
  <c r="N115" i="593"/>
  <c r="F115" i="593"/>
  <c r="U114" i="593"/>
  <c r="M114" i="593"/>
  <c r="S109" i="593"/>
  <c r="S118" i="593" s="1"/>
  <c r="B139" i="593" s="1"/>
  <c r="E23" i="593" s="1"/>
  <c r="K109" i="593"/>
  <c r="K118" i="593" s="1"/>
  <c r="B131" i="593" s="1"/>
  <c r="E15" i="593" s="1"/>
  <c r="C109" i="593"/>
  <c r="C118" i="593" s="1"/>
  <c r="B123" i="593" s="1"/>
  <c r="E7" i="593" s="1"/>
  <c r="B9" i="593"/>
  <c r="R109" i="593"/>
  <c r="R118" i="593" s="1"/>
  <c r="B138" i="593" s="1"/>
  <c r="E22" i="593" s="1"/>
  <c r="J109" i="593"/>
  <c r="J118" i="593" s="1"/>
  <c r="B130" i="593" s="1"/>
  <c r="E14" i="593" s="1"/>
  <c r="B109" i="593"/>
  <c r="B118" i="593" s="1"/>
  <c r="B122" i="593" s="1"/>
  <c r="E6" i="593" s="1"/>
  <c r="B8" i="593"/>
  <c r="U117" i="593"/>
  <c r="M117" i="593"/>
  <c r="E117" i="593"/>
  <c r="X109" i="593"/>
  <c r="X118" i="593" s="1"/>
  <c r="B144" i="593" s="1"/>
  <c r="E28" i="593" s="1"/>
  <c r="P109" i="593"/>
  <c r="P118" i="593" s="1"/>
  <c r="B136" i="593" s="1"/>
  <c r="E20" i="593" s="1"/>
  <c r="H109" i="593"/>
  <c r="H118" i="593" s="1"/>
  <c r="B128" i="593" s="1"/>
  <c r="E12" i="593" s="1"/>
  <c r="B14" i="593"/>
  <c r="B6" i="593"/>
  <c r="I109" i="593"/>
  <c r="I118" i="593" s="1"/>
  <c r="B129" i="593" s="1"/>
  <c r="E13" i="593" s="1"/>
  <c r="B7" i="593"/>
  <c r="Q114" i="593"/>
  <c r="B13" i="593"/>
  <c r="H114" i="590"/>
  <c r="P114" i="590"/>
  <c r="X114" i="590"/>
  <c r="B109" i="590"/>
  <c r="B118" i="590" s="1"/>
  <c r="J109" i="590"/>
  <c r="J118" i="590" s="1"/>
  <c r="R109" i="590"/>
  <c r="R118" i="590" s="1"/>
  <c r="F117" i="590"/>
  <c r="N117" i="590"/>
  <c r="V117" i="590"/>
  <c r="F116" i="590"/>
  <c r="N116" i="590"/>
  <c r="V116" i="590"/>
  <c r="F115" i="590"/>
  <c r="N115" i="590"/>
  <c r="V115" i="590"/>
  <c r="H117" i="590"/>
  <c r="P117" i="590"/>
  <c r="X117" i="590"/>
  <c r="F114" i="590"/>
  <c r="N114" i="590"/>
  <c r="H116" i="590"/>
  <c r="P116" i="590"/>
  <c r="X116" i="590"/>
  <c r="J117" i="590"/>
  <c r="R117" i="590"/>
  <c r="J116" i="590"/>
  <c r="R116" i="590"/>
  <c r="J115" i="590"/>
  <c r="R115" i="590"/>
  <c r="D117" i="590"/>
  <c r="L117" i="590"/>
  <c r="T117" i="590"/>
  <c r="V109" i="590"/>
  <c r="V118" i="590" s="1"/>
  <c r="D116" i="590"/>
  <c r="L116" i="590"/>
  <c r="T116" i="590"/>
  <c r="R114" i="590"/>
  <c r="E109" i="590"/>
  <c r="E118" i="590" s="1"/>
  <c r="J114" i="590"/>
  <c r="G109" i="590"/>
  <c r="G118" i="590" s="1"/>
  <c r="O109" i="590"/>
  <c r="O118" i="590" s="1"/>
  <c r="W109" i="590"/>
  <c r="W118" i="590" s="1"/>
  <c r="H109" i="590"/>
  <c r="H118" i="590" s="1"/>
  <c r="P109" i="590"/>
  <c r="P118" i="590" s="1"/>
  <c r="X109" i="590"/>
  <c r="X118" i="590" s="1"/>
  <c r="F109" i="590"/>
  <c r="F118" i="590" s="1"/>
  <c r="B114" i="590"/>
  <c r="M109" i="590"/>
  <c r="M118" i="590" s="1"/>
  <c r="I109" i="590"/>
  <c r="I118" i="590" s="1"/>
  <c r="Q109" i="590"/>
  <c r="Q118" i="590" s="1"/>
  <c r="N109" i="590"/>
  <c r="N118" i="590" s="1"/>
  <c r="W114" i="590"/>
  <c r="O114" i="590"/>
  <c r="G114" i="590"/>
  <c r="U109" i="590"/>
  <c r="U118" i="590" s="1"/>
  <c r="X115" i="590"/>
  <c r="P115" i="590"/>
  <c r="H115" i="590"/>
  <c r="V114" i="590"/>
  <c r="C109" i="590"/>
  <c r="K109" i="590"/>
  <c r="S109" i="590"/>
  <c r="S118" i="590" s="1"/>
  <c r="D109" i="590"/>
  <c r="D118" i="590" s="1"/>
  <c r="L109" i="590"/>
  <c r="T109" i="590"/>
  <c r="T118" i="590" s="1"/>
  <c r="C39" i="590"/>
  <c r="B8" i="590" s="1"/>
  <c r="C44" i="590"/>
  <c r="B13" i="590" s="1"/>
  <c r="C43" i="590"/>
  <c r="B12" i="590" s="1"/>
  <c r="C40" i="590"/>
  <c r="B9" i="590" s="1"/>
  <c r="C37" i="590"/>
  <c r="B6" i="590" s="1"/>
  <c r="C38" i="590"/>
  <c r="B7" i="590" s="1"/>
  <c r="C45" i="590"/>
  <c r="B14" i="590" s="1"/>
  <c r="C42" i="590"/>
  <c r="B11" i="590" s="1"/>
  <c r="F30" i="573"/>
  <c r="G82" i="590"/>
  <c r="G78" i="590"/>
  <c r="D22" i="590" s="1"/>
  <c r="G72" i="590"/>
  <c r="H72" i="590" s="1"/>
  <c r="C16" i="590" s="1"/>
  <c r="G77" i="590"/>
  <c r="G75" i="590"/>
  <c r="H75" i="590" s="1"/>
  <c r="C19" i="590" s="1"/>
  <c r="F71" i="590"/>
  <c r="H71" i="590" s="1"/>
  <c r="C15" i="590" s="1"/>
  <c r="F79" i="590"/>
  <c r="H79" i="590" s="1"/>
  <c r="C23" i="590" s="1"/>
  <c r="G66" i="590"/>
  <c r="G69" i="590"/>
  <c r="G74" i="590"/>
  <c r="F73" i="590"/>
  <c r="H73" i="590" s="1"/>
  <c r="C17" i="590" s="1"/>
  <c r="G76" i="590"/>
  <c r="H76" i="590" s="1"/>
  <c r="C20" i="590" s="1"/>
  <c r="F67" i="590"/>
  <c r="H67" i="590" s="1"/>
  <c r="C11" i="590" s="1"/>
  <c r="G70" i="590"/>
  <c r="F83" i="590"/>
  <c r="H83" i="590" s="1"/>
  <c r="C27" i="590" s="1"/>
  <c r="G80" i="590"/>
  <c r="D24" i="590" s="1"/>
  <c r="F65" i="590"/>
  <c r="H65" i="590" s="1"/>
  <c r="C9" i="590" s="1"/>
  <c r="G68" i="590"/>
  <c r="D12" i="590" s="1"/>
  <c r="F81" i="590"/>
  <c r="H81" i="590" s="1"/>
  <c r="C25" i="590" s="1"/>
  <c r="G84" i="590"/>
  <c r="D28" i="590" s="1"/>
  <c r="F85" i="590"/>
  <c r="H85" i="590" s="1"/>
  <c r="F61" i="576"/>
  <c r="H61" i="576" s="1"/>
  <c r="F63" i="576"/>
  <c r="H63" i="576" s="1"/>
  <c r="F65" i="576"/>
  <c r="H65" i="576" s="1"/>
  <c r="F69" i="576"/>
  <c r="H69" i="576" s="1"/>
  <c r="F73" i="576"/>
  <c r="H73" i="576" s="1"/>
  <c r="F79" i="576"/>
  <c r="H79" i="576" s="1"/>
  <c r="G71" i="576"/>
  <c r="G75" i="576"/>
  <c r="G77" i="576"/>
  <c r="G60" i="576"/>
  <c r="H60" i="576" s="1"/>
  <c r="G64" i="576"/>
  <c r="G66" i="576"/>
  <c r="G68" i="576"/>
  <c r="G70" i="576"/>
  <c r="G72" i="576"/>
  <c r="G76" i="576"/>
  <c r="G78" i="576"/>
  <c r="G80" i="576"/>
  <c r="H80" i="576" s="1"/>
  <c r="F67" i="576"/>
  <c r="H67" i="576" s="1"/>
  <c r="F62" i="576"/>
  <c r="H62" i="576" s="1"/>
  <c r="F74" i="576"/>
  <c r="H74" i="576" s="1"/>
  <c r="G36" i="576"/>
  <c r="H36" i="576" s="1"/>
  <c r="G34" i="576"/>
  <c r="H34" i="576" s="1"/>
  <c r="G35" i="576"/>
  <c r="H35" i="576" s="1"/>
  <c r="F38" i="576"/>
  <c r="H38" i="576" s="1"/>
  <c r="F40" i="576"/>
  <c r="H40" i="576" s="1"/>
  <c r="F42" i="576"/>
  <c r="H42" i="576" s="1"/>
  <c r="F44" i="576"/>
  <c r="H44" i="576" s="1"/>
  <c r="F46" i="576"/>
  <c r="H46" i="576" s="1"/>
  <c r="F48" i="576"/>
  <c r="H48" i="576" s="1"/>
  <c r="F50" i="576"/>
  <c r="H50" i="576" s="1"/>
  <c r="F52" i="576"/>
  <c r="H52" i="576" s="1"/>
  <c r="F54" i="576"/>
  <c r="H54" i="576" s="1"/>
  <c r="F37" i="576"/>
  <c r="H37" i="576" s="1"/>
  <c r="F39" i="576"/>
  <c r="H39" i="576" s="1"/>
  <c r="F41" i="576"/>
  <c r="H41" i="576" s="1"/>
  <c r="F43" i="576"/>
  <c r="H43" i="576" s="1"/>
  <c r="F45" i="576"/>
  <c r="H45" i="576" s="1"/>
  <c r="F47" i="576"/>
  <c r="H47" i="576" s="1"/>
  <c r="F49" i="576"/>
  <c r="H49" i="576" s="1"/>
  <c r="F51" i="576"/>
  <c r="H51" i="576" s="1"/>
  <c r="F53" i="576"/>
  <c r="H53" i="576" s="1"/>
  <c r="X22" i="573"/>
  <c r="B28" i="572" s="1"/>
  <c r="W22" i="573"/>
  <c r="B27" i="572" s="1"/>
  <c r="V22" i="573"/>
  <c r="B26" i="572" s="1"/>
  <c r="U22" i="573"/>
  <c r="B25" i="572" s="1"/>
  <c r="T22" i="573"/>
  <c r="B24" i="572" s="1"/>
  <c r="S22" i="573"/>
  <c r="B23" i="572" s="1"/>
  <c r="R22" i="573"/>
  <c r="B22" i="572" s="1"/>
  <c r="P22" i="573"/>
  <c r="B20" i="572" s="1"/>
  <c r="O22" i="573"/>
  <c r="B19" i="572" s="1"/>
  <c r="N22" i="573"/>
  <c r="B18" i="572" s="1"/>
  <c r="M22" i="573"/>
  <c r="B17" i="572" s="1"/>
  <c r="K22" i="573"/>
  <c r="B15" i="572" s="1"/>
  <c r="F28" i="573"/>
  <c r="E27" i="573"/>
  <c r="Q22" i="573"/>
  <c r="B21" i="572" s="1"/>
  <c r="L22" i="573"/>
  <c r="B16" i="572" s="1"/>
  <c r="J22" i="573"/>
  <c r="B14" i="572" s="1"/>
  <c r="I22" i="573"/>
  <c r="B13" i="572" s="1"/>
  <c r="H22" i="573"/>
  <c r="B12" i="572" s="1"/>
  <c r="F12" i="572" s="1"/>
  <c r="G22" i="573"/>
  <c r="G28" i="573"/>
  <c r="F29" i="573"/>
  <c r="F22" i="573"/>
  <c r="F27" i="573"/>
  <c r="E22" i="573"/>
  <c r="D29" i="573"/>
  <c r="D22" i="573"/>
  <c r="C30" i="573"/>
  <c r="C22" i="573"/>
  <c r="B30" i="573"/>
  <c r="B22" i="573"/>
  <c r="G27" i="573"/>
  <c r="G30" i="573"/>
  <c r="G29" i="573"/>
  <c r="E28" i="573"/>
  <c r="E30" i="573"/>
  <c r="E29" i="573"/>
  <c r="D30" i="573"/>
  <c r="D28" i="573"/>
  <c r="D27" i="573"/>
  <c r="C28" i="573"/>
  <c r="C29" i="573"/>
  <c r="C27" i="573"/>
  <c r="B28" i="573"/>
  <c r="B29" i="573"/>
  <c r="B27" i="573"/>
  <c r="E7" i="572"/>
  <c r="E8" i="572"/>
  <c r="E9" i="572"/>
  <c r="E10" i="572"/>
  <c r="E11" i="572"/>
  <c r="E12" i="572"/>
  <c r="E6" i="572"/>
  <c r="E9" i="571"/>
  <c r="C6" i="571"/>
  <c r="D6" i="571" s="1"/>
  <c r="B7" i="571"/>
  <c r="B8" i="571"/>
  <c r="B9" i="571"/>
  <c r="B10" i="571"/>
  <c r="B11" i="571"/>
  <c r="B12" i="571"/>
  <c r="B13" i="571"/>
  <c r="B14" i="571"/>
  <c r="B15" i="571"/>
  <c r="B16" i="571"/>
  <c r="B17" i="571"/>
  <c r="B18" i="571"/>
  <c r="B19" i="571"/>
  <c r="B20" i="571"/>
  <c r="B21" i="571"/>
  <c r="B22" i="571"/>
  <c r="B23" i="571"/>
  <c r="B24" i="571"/>
  <c r="B25" i="571"/>
  <c r="B26" i="571"/>
  <c r="B27" i="571"/>
  <c r="B6" i="571"/>
  <c r="H24" i="570"/>
  <c r="H25" i="570"/>
  <c r="H26" i="570"/>
  <c r="H27" i="570"/>
  <c r="H15" i="570"/>
  <c r="H16" i="570"/>
  <c r="H17" i="570"/>
  <c r="H18" i="570"/>
  <c r="H19" i="570"/>
  <c r="H20" i="570"/>
  <c r="H21" i="570"/>
  <c r="H22" i="570"/>
  <c r="H23" i="570"/>
  <c r="C38" i="570"/>
  <c r="H9" i="570" s="1"/>
  <c r="C39" i="570"/>
  <c r="H10" i="570" s="1"/>
  <c r="C43" i="570"/>
  <c r="H14" i="570" s="1"/>
  <c r="E35" i="570"/>
  <c r="C40" i="570" s="1"/>
  <c r="H11" i="570" s="1"/>
  <c r="D13" i="570"/>
  <c r="D14" i="570"/>
  <c r="D15" i="570"/>
  <c r="E15" i="570" s="1"/>
  <c r="C22" i="587"/>
  <c r="B22" i="587"/>
  <c r="C18" i="587"/>
  <c r="C19" i="587" s="1"/>
  <c r="C20" i="587" s="1"/>
  <c r="C17" i="587"/>
  <c r="B18" i="587"/>
  <c r="B19" i="587" s="1"/>
  <c r="B20" i="587" s="1"/>
  <c r="B17" i="587"/>
  <c r="L10" i="587"/>
  <c r="K10" i="587"/>
  <c r="C6" i="587"/>
  <c r="C25" i="593" l="1"/>
  <c r="C14" i="593"/>
  <c r="C18" i="593"/>
  <c r="C22" i="593"/>
  <c r="C16" i="593"/>
  <c r="C26" i="593"/>
  <c r="C21" i="593"/>
  <c r="C13" i="593"/>
  <c r="C24" i="593"/>
  <c r="K118" i="590"/>
  <c r="C118" i="590"/>
  <c r="L118" i="590"/>
  <c r="H74" i="590"/>
  <c r="C18" i="590" s="1"/>
  <c r="D18" i="590"/>
  <c r="D13" i="590"/>
  <c r="H69" i="590"/>
  <c r="C13" i="590" s="1"/>
  <c r="D26" i="590"/>
  <c r="H82" i="590"/>
  <c r="C26" i="590" s="1"/>
  <c r="H80" i="590"/>
  <c r="C24" i="590" s="1"/>
  <c r="H84" i="590"/>
  <c r="C28" i="590" s="1"/>
  <c r="H66" i="590"/>
  <c r="C10" i="590" s="1"/>
  <c r="D10" i="590"/>
  <c r="D14" i="590"/>
  <c r="H68" i="590"/>
  <c r="C12" i="590" s="1"/>
  <c r="H78" i="590"/>
  <c r="C22" i="590" s="1"/>
  <c r="D19" i="590"/>
  <c r="D20" i="590"/>
  <c r="D21" i="590"/>
  <c r="H77" i="590"/>
  <c r="C21" i="590" s="1"/>
  <c r="H70" i="590"/>
  <c r="C14" i="590" s="1"/>
  <c r="D16" i="590"/>
  <c r="E10" i="571"/>
  <c r="F11" i="584"/>
  <c r="E11" i="571"/>
  <c r="F7" i="584"/>
  <c r="F8" i="584"/>
  <c r="E8" i="571"/>
  <c r="F10" i="584"/>
  <c r="F9" i="584"/>
  <c r="F6" i="584"/>
  <c r="E7" i="571"/>
  <c r="C31" i="573"/>
  <c r="B7" i="572"/>
  <c r="F7" i="572" s="1"/>
  <c r="G31" i="573"/>
  <c r="B11" i="572"/>
  <c r="F11" i="572" s="1"/>
  <c r="D31" i="573"/>
  <c r="B8" i="572"/>
  <c r="F8" i="572" s="1"/>
  <c r="G12" i="572"/>
  <c r="E31" i="573"/>
  <c r="B9" i="572"/>
  <c r="F9" i="572" s="1"/>
  <c r="E12" i="584"/>
  <c r="B31" i="573"/>
  <c r="B6" i="572"/>
  <c r="F6" i="572" s="1"/>
  <c r="F31" i="573"/>
  <c r="B10" i="572"/>
  <c r="F10" i="572" s="1"/>
  <c r="H78" i="576"/>
  <c r="H77" i="576"/>
  <c r="H76" i="576"/>
  <c r="H75" i="576"/>
  <c r="H72" i="576"/>
  <c r="H71" i="576"/>
  <c r="H70" i="576"/>
  <c r="H68" i="576"/>
  <c r="H66" i="576"/>
  <c r="H64" i="576"/>
  <c r="C37" i="570"/>
  <c r="H8" i="570" s="1"/>
  <c r="C35" i="570"/>
  <c r="H6" i="570" s="1"/>
  <c r="C36" i="570"/>
  <c r="H7" i="570" s="1"/>
  <c r="C42" i="570"/>
  <c r="H13" i="570" s="1"/>
  <c r="C41" i="570"/>
  <c r="H12" i="570" s="1"/>
  <c r="E14" i="570"/>
  <c r="BQ8" i="586"/>
  <c r="BM8" i="586"/>
  <c r="BI8" i="586"/>
  <c r="BE8" i="586"/>
  <c r="BA8" i="586"/>
  <c r="AW8" i="586"/>
  <c r="AS8" i="586"/>
  <c r="AO8" i="586"/>
  <c r="AK8" i="586"/>
  <c r="AG8" i="586"/>
  <c r="AC8" i="586"/>
  <c r="Y8" i="586"/>
  <c r="U8" i="586"/>
  <c r="Q8" i="586"/>
  <c r="M8" i="586"/>
  <c r="I8" i="586"/>
  <c r="E8" i="586"/>
  <c r="J15" i="571"/>
  <c r="J16" i="571"/>
  <c r="J17" i="571"/>
  <c r="J18" i="571"/>
  <c r="J19" i="571"/>
  <c r="J20" i="571"/>
  <c r="J21" i="571"/>
  <c r="J22" i="571"/>
  <c r="J23" i="571"/>
  <c r="J24" i="571"/>
  <c r="J25" i="571"/>
  <c r="J26" i="571"/>
  <c r="J14" i="571"/>
  <c r="J13" i="571"/>
  <c r="D12" i="581"/>
  <c r="D11" i="581"/>
  <c r="D10" i="581"/>
  <c r="G13" i="571"/>
  <c r="G14" i="571"/>
  <c r="G15" i="571"/>
  <c r="G16" i="571"/>
  <c r="G17" i="571"/>
  <c r="G18" i="571"/>
  <c r="G19" i="571"/>
  <c r="G20" i="571"/>
  <c r="G21" i="571"/>
  <c r="G22" i="571"/>
  <c r="G23" i="571"/>
  <c r="G24" i="571"/>
  <c r="G25" i="571"/>
  <c r="G26" i="571"/>
  <c r="G27" i="571"/>
  <c r="G28" i="571"/>
  <c r="G12" i="571"/>
  <c r="F13" i="571"/>
  <c r="F14" i="571"/>
  <c r="F15" i="571"/>
  <c r="F16" i="571"/>
  <c r="F17" i="571"/>
  <c r="F18" i="571"/>
  <c r="F19" i="571"/>
  <c r="F20" i="571"/>
  <c r="F21" i="571"/>
  <c r="F22" i="571"/>
  <c r="F23" i="571"/>
  <c r="F24" i="571"/>
  <c r="F25" i="571"/>
  <c r="F26" i="571"/>
  <c r="F27" i="571"/>
  <c r="F28" i="571"/>
  <c r="F12" i="571"/>
  <c r="F24" i="584" l="1"/>
  <c r="F14" i="584"/>
  <c r="F22" i="584"/>
  <c r="F25" i="584"/>
  <c r="F17" i="584"/>
  <c r="E10" i="584"/>
  <c r="G10" i="572"/>
  <c r="G8" i="572"/>
  <c r="E8" i="584"/>
  <c r="E6" i="584"/>
  <c r="G11" i="572"/>
  <c r="E11" i="584"/>
  <c r="E7" i="584"/>
  <c r="G7" i="572"/>
  <c r="G9" i="572"/>
  <c r="E9" i="584"/>
  <c r="J28" i="571"/>
  <c r="C37" i="583"/>
  <c r="G8" i="583" s="1"/>
  <c r="H8" i="583" s="1"/>
  <c r="D37" i="583" s="1"/>
  <c r="C38" i="583"/>
  <c r="G10" i="583" s="1"/>
  <c r="H10" i="583" s="1"/>
  <c r="D38" i="583" s="1"/>
  <c r="C39" i="583"/>
  <c r="G12" i="583" s="1"/>
  <c r="H12" i="583" s="1"/>
  <c r="D39" i="583" s="1"/>
  <c r="C40" i="583"/>
  <c r="G14" i="583" s="1"/>
  <c r="H14" i="583" s="1"/>
  <c r="D40" i="583" s="1"/>
  <c r="C41" i="583"/>
  <c r="G16" i="583" s="1"/>
  <c r="H16" i="583" s="1"/>
  <c r="D41" i="583" s="1"/>
  <c r="C42" i="583"/>
  <c r="C43" i="583"/>
  <c r="G20" i="583" s="1"/>
  <c r="H20" i="583" s="1"/>
  <c r="D43" i="583" s="1"/>
  <c r="C44" i="583"/>
  <c r="G22" i="583" s="1"/>
  <c r="H22" i="583" s="1"/>
  <c r="D44" i="583" s="1"/>
  <c r="C45" i="583"/>
  <c r="G24" i="583" s="1"/>
  <c r="H24" i="583" s="1"/>
  <c r="D45" i="583" s="1"/>
  <c r="C46" i="583"/>
  <c r="C47" i="583"/>
  <c r="F47" i="583"/>
  <c r="F46" i="583"/>
  <c r="F45" i="583"/>
  <c r="F44" i="583"/>
  <c r="F43" i="583"/>
  <c r="F42" i="583"/>
  <c r="F41" i="583"/>
  <c r="F40" i="583"/>
  <c r="F39" i="583"/>
  <c r="F38" i="583"/>
  <c r="F37" i="583"/>
  <c r="E38" i="583"/>
  <c r="E39" i="583"/>
  <c r="E40" i="583"/>
  <c r="E41" i="583"/>
  <c r="E42" i="583"/>
  <c r="E43" i="583"/>
  <c r="E44" i="583"/>
  <c r="E45" i="583"/>
  <c r="E46" i="583"/>
  <c r="E47" i="583"/>
  <c r="E37" i="583"/>
  <c r="E36" i="583"/>
  <c r="G28" i="583"/>
  <c r="H28" i="583" s="1"/>
  <c r="D47" i="583" s="1"/>
  <c r="G26" i="583"/>
  <c r="H26" i="583" s="1"/>
  <c r="D46" i="583" s="1"/>
  <c r="G18" i="583"/>
  <c r="H18" i="583" s="1"/>
  <c r="D42" i="583" s="1"/>
  <c r="F36" i="583"/>
  <c r="G33" i="583"/>
  <c r="E29" i="583"/>
  <c r="E28" i="583"/>
  <c r="E27" i="583"/>
  <c r="E26" i="583"/>
  <c r="E25" i="583"/>
  <c r="E24" i="583"/>
  <c r="E23" i="583"/>
  <c r="E22" i="583"/>
  <c r="E21" i="583"/>
  <c r="E20" i="583"/>
  <c r="E19" i="583"/>
  <c r="E18" i="583"/>
  <c r="E17" i="583"/>
  <c r="E16" i="583"/>
  <c r="E15" i="583"/>
  <c r="E14" i="583"/>
  <c r="E13" i="583"/>
  <c r="E12" i="583"/>
  <c r="E11" i="583"/>
  <c r="E10" i="583"/>
  <c r="E9" i="583"/>
  <c r="E8" i="583"/>
  <c r="E7" i="583"/>
  <c r="E6" i="583"/>
  <c r="B8" i="583"/>
  <c r="B10" i="583"/>
  <c r="B12" i="583"/>
  <c r="B14" i="583"/>
  <c r="B16" i="583"/>
  <c r="B18" i="583"/>
  <c r="B20" i="583"/>
  <c r="B22" i="583"/>
  <c r="B24" i="583"/>
  <c r="B26" i="583"/>
  <c r="B28" i="583"/>
  <c r="B6" i="583"/>
  <c r="B12" i="582"/>
  <c r="D6" i="581"/>
  <c r="D9" i="581"/>
  <c r="D13" i="581"/>
  <c r="D14" i="581"/>
  <c r="D15" i="581"/>
  <c r="D16" i="581"/>
  <c r="D17" i="581"/>
  <c r="D18" i="581"/>
  <c r="D19" i="581"/>
  <c r="D20" i="581"/>
  <c r="D21" i="581"/>
  <c r="D22" i="581"/>
  <c r="D5" i="581"/>
  <c r="C6" i="581"/>
  <c r="D6" i="582" s="1"/>
  <c r="C7" i="581"/>
  <c r="C8" i="581"/>
  <c r="F8" i="581" s="1"/>
  <c r="C9" i="581"/>
  <c r="C10" i="581"/>
  <c r="C11" i="581"/>
  <c r="C12" i="581"/>
  <c r="C13" i="581"/>
  <c r="C14" i="581"/>
  <c r="C15" i="581"/>
  <c r="C16" i="581"/>
  <c r="F16" i="581" s="1"/>
  <c r="C17" i="581"/>
  <c r="F17" i="581" s="1"/>
  <c r="C18" i="581"/>
  <c r="C19" i="581"/>
  <c r="C20" i="581"/>
  <c r="C21" i="581"/>
  <c r="C22" i="581"/>
  <c r="D7" i="582" s="1"/>
  <c r="C5" i="581"/>
  <c r="B5" i="581"/>
  <c r="C17" i="579"/>
  <c r="C16" i="579"/>
  <c r="C15" i="579"/>
  <c r="C14" i="579"/>
  <c r="C13" i="579"/>
  <c r="C12" i="579"/>
  <c r="C11" i="579"/>
  <c r="C10" i="579"/>
  <c r="C9" i="579"/>
  <c r="C8" i="579"/>
  <c r="C7" i="579"/>
  <c r="C6" i="579"/>
  <c r="D6" i="579"/>
  <c r="D7" i="579"/>
  <c r="D8" i="579"/>
  <c r="D9" i="579"/>
  <c r="D10" i="579"/>
  <c r="D11" i="579"/>
  <c r="D12" i="579"/>
  <c r="D13" i="579"/>
  <c r="D14" i="579"/>
  <c r="D15" i="579"/>
  <c r="D16" i="579"/>
  <c r="D17" i="579"/>
  <c r="F18" i="584" l="1"/>
  <c r="F19" i="584"/>
  <c r="F15" i="584"/>
  <c r="F23" i="584"/>
  <c r="F16" i="584"/>
  <c r="F21" i="584"/>
  <c r="F12" i="584"/>
  <c r="E12" i="571"/>
  <c r="F20" i="584"/>
  <c r="F26" i="584"/>
  <c r="F13" i="584"/>
  <c r="F15" i="581"/>
  <c r="F13" i="581"/>
  <c r="F14" i="581"/>
  <c r="F21" i="581"/>
  <c r="F20" i="581"/>
  <c r="F12" i="581"/>
  <c r="D12" i="582"/>
  <c r="F18" i="581"/>
  <c r="F10" i="581"/>
  <c r="F7" i="581"/>
  <c r="F22" i="581"/>
  <c r="F19" i="581"/>
  <c r="F11" i="581"/>
  <c r="F9" i="581"/>
  <c r="I27" i="573"/>
  <c r="J27" i="573"/>
  <c r="K27" i="573"/>
  <c r="L27" i="573"/>
  <c r="M27" i="573"/>
  <c r="N27" i="573"/>
  <c r="O27" i="573"/>
  <c r="P27" i="573"/>
  <c r="Q27" i="573"/>
  <c r="R27" i="573"/>
  <c r="S27" i="573"/>
  <c r="T27" i="573"/>
  <c r="U27" i="573"/>
  <c r="V27" i="573"/>
  <c r="W27" i="573"/>
  <c r="X27" i="573"/>
  <c r="I28" i="573"/>
  <c r="J28" i="573"/>
  <c r="K28" i="573"/>
  <c r="L28" i="573"/>
  <c r="M28" i="573"/>
  <c r="N28" i="573"/>
  <c r="O28" i="573"/>
  <c r="P28" i="573"/>
  <c r="Q28" i="573"/>
  <c r="R28" i="573"/>
  <c r="S28" i="573"/>
  <c r="T28" i="573"/>
  <c r="U28" i="573"/>
  <c r="V28" i="573"/>
  <c r="W28" i="573"/>
  <c r="X28" i="573"/>
  <c r="I29" i="573"/>
  <c r="J29" i="573"/>
  <c r="K29" i="573"/>
  <c r="L29" i="573"/>
  <c r="M29" i="573"/>
  <c r="N29" i="573"/>
  <c r="O29" i="573"/>
  <c r="P29" i="573"/>
  <c r="Q29" i="573"/>
  <c r="R29" i="573"/>
  <c r="S29" i="573"/>
  <c r="T29" i="573"/>
  <c r="U29" i="573"/>
  <c r="V29" i="573"/>
  <c r="W29" i="573"/>
  <c r="X29" i="573"/>
  <c r="I30" i="573"/>
  <c r="J30" i="573"/>
  <c r="K30" i="573"/>
  <c r="L30" i="573"/>
  <c r="M30" i="573"/>
  <c r="N30" i="573"/>
  <c r="O30" i="573"/>
  <c r="P30" i="573"/>
  <c r="Q30" i="573"/>
  <c r="R30" i="573"/>
  <c r="S30" i="573"/>
  <c r="T30" i="573"/>
  <c r="U30" i="573"/>
  <c r="V30" i="573"/>
  <c r="W30" i="573"/>
  <c r="X30" i="573"/>
  <c r="I31" i="573"/>
  <c r="J31" i="573"/>
  <c r="K31" i="573"/>
  <c r="L31" i="573"/>
  <c r="M31" i="573"/>
  <c r="N31" i="573"/>
  <c r="O31" i="573"/>
  <c r="P31" i="573"/>
  <c r="Q31" i="573"/>
  <c r="S31" i="573"/>
  <c r="T31" i="573"/>
  <c r="U31" i="573"/>
  <c r="V31" i="573"/>
  <c r="W31" i="573"/>
  <c r="X31" i="573"/>
  <c r="H28" i="573"/>
  <c r="H29" i="573"/>
  <c r="H30" i="573"/>
  <c r="H31" i="573"/>
  <c r="H27" i="573"/>
  <c r="E22" i="572"/>
  <c r="E23" i="572"/>
  <c r="F23" i="572" s="1"/>
  <c r="E24" i="572"/>
  <c r="F24" i="572" s="1"/>
  <c r="E25" i="572"/>
  <c r="E26" i="572"/>
  <c r="F26" i="572" s="1"/>
  <c r="E27" i="572"/>
  <c r="F27" i="572" s="1"/>
  <c r="E28" i="572"/>
  <c r="F28" i="572" s="1"/>
  <c r="E21" i="572"/>
  <c r="F21" i="572" s="1"/>
  <c r="E20" i="572"/>
  <c r="F20" i="572" s="1"/>
  <c r="E19" i="572"/>
  <c r="F19" i="572" s="1"/>
  <c r="E18" i="572"/>
  <c r="F18" i="572" s="1"/>
  <c r="E17" i="572"/>
  <c r="F17" i="572" s="1"/>
  <c r="E16" i="572"/>
  <c r="F16" i="572" s="1"/>
  <c r="E15" i="572"/>
  <c r="F15" i="572" s="1"/>
  <c r="E14" i="572"/>
  <c r="F14" i="572" s="1"/>
  <c r="E13" i="572"/>
  <c r="F13" i="572" s="1"/>
  <c r="F25" i="572"/>
  <c r="E21" i="571"/>
  <c r="E22" i="571"/>
  <c r="H28" i="570"/>
  <c r="D27" i="570"/>
  <c r="D25" i="570"/>
  <c r="D24" i="570"/>
  <c r="D23" i="570"/>
  <c r="D22" i="570"/>
  <c r="E23" i="570" s="1"/>
  <c r="D20" i="570"/>
  <c r="D19" i="570"/>
  <c r="D18" i="570"/>
  <c r="D17" i="570"/>
  <c r="D16" i="570"/>
  <c r="D12" i="570"/>
  <c r="E13" i="570" s="1"/>
  <c r="D21" i="570"/>
  <c r="D26" i="570"/>
  <c r="D28" i="570"/>
  <c r="E18" i="584" l="1"/>
  <c r="E19" i="584"/>
  <c r="E23" i="584"/>
  <c r="E25" i="584"/>
  <c r="E20" i="584"/>
  <c r="E13" i="584"/>
  <c r="E21" i="584"/>
  <c r="E14" i="584"/>
  <c r="E28" i="584"/>
  <c r="E15" i="584"/>
  <c r="E27" i="584"/>
  <c r="E16" i="584"/>
  <c r="E26" i="584"/>
  <c r="E17" i="584"/>
  <c r="E24" i="584"/>
  <c r="E28" i="570"/>
  <c r="B6" i="581"/>
  <c r="C6" i="582" s="1"/>
  <c r="E21" i="570"/>
  <c r="E27" i="570"/>
  <c r="E17" i="570"/>
  <c r="E26" i="570"/>
  <c r="E20" i="570"/>
  <c r="E24" i="570"/>
  <c r="B18" i="581"/>
  <c r="E16" i="570"/>
  <c r="E25" i="570"/>
  <c r="E22" i="570"/>
  <c r="B10" i="581"/>
  <c r="E19" i="570"/>
  <c r="B28" i="571"/>
  <c r="E18" i="570"/>
  <c r="E25" i="571"/>
  <c r="E17" i="571"/>
  <c r="E19" i="571"/>
  <c r="E24" i="571"/>
  <c r="E26" i="571"/>
  <c r="E18" i="571"/>
  <c r="E23" i="571"/>
  <c r="E16" i="571"/>
  <c r="E15" i="571"/>
  <c r="E14" i="571"/>
  <c r="E13" i="571"/>
  <c r="F6" i="582"/>
  <c r="C36" i="583"/>
  <c r="G6" i="583" s="1"/>
  <c r="H6" i="583" s="1"/>
  <c r="D36" i="583" s="1"/>
  <c r="G27" i="572"/>
  <c r="G24" i="572"/>
  <c r="G25" i="572"/>
  <c r="G28" i="572"/>
  <c r="G21" i="572"/>
  <c r="G18" i="572"/>
  <c r="G15" i="572"/>
  <c r="G14" i="572"/>
  <c r="G19" i="572"/>
  <c r="G17" i="572"/>
  <c r="G20" i="572"/>
  <c r="G13" i="572"/>
  <c r="G26" i="572"/>
  <c r="G16" i="572"/>
  <c r="E20" i="571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B13" i="581" l="1"/>
  <c r="B21" i="581"/>
  <c r="B15" i="581"/>
  <c r="B20" i="581"/>
  <c r="B17" i="581"/>
  <c r="E18" i="581" s="1"/>
  <c r="B7" i="581"/>
  <c r="E7" i="581" s="1"/>
  <c r="B9" i="581"/>
  <c r="E10" i="581" s="1"/>
  <c r="B14" i="581"/>
  <c r="B11" i="581"/>
  <c r="E11" i="581" s="1"/>
  <c r="B8" i="581"/>
  <c r="B22" i="581"/>
  <c r="B19" i="581"/>
  <c r="E19" i="581" s="1"/>
  <c r="B12" i="581"/>
  <c r="B16" i="581"/>
  <c r="G4" i="125"/>
  <c r="S5" i="125"/>
  <c r="E5" i="125" s="1"/>
  <c r="E12" i="581" l="1"/>
  <c r="E16" i="581"/>
  <c r="E20" i="581"/>
  <c r="E13" i="581"/>
  <c r="C7" i="582"/>
  <c r="C12" i="582" s="1"/>
  <c r="E12" i="582" s="1"/>
  <c r="G6" i="582" s="1"/>
  <c r="E22" i="581"/>
  <c r="E15" i="581"/>
  <c r="E9" i="581"/>
  <c r="E8" i="581"/>
  <c r="E17" i="581"/>
  <c r="E21" i="581"/>
  <c r="E14" i="581"/>
  <c r="G5" i="125"/>
  <c r="S6" i="125"/>
  <c r="D5" i="125"/>
  <c r="F12" i="583" l="1"/>
  <c r="F18" i="583"/>
  <c r="F14" i="583"/>
  <c r="F16" i="583"/>
  <c r="F24" i="583"/>
  <c r="F8" i="583"/>
  <c r="F20" i="583"/>
  <c r="E6" i="582"/>
  <c r="H6" i="582" s="1"/>
  <c r="F10" i="583"/>
  <c r="F22" i="583"/>
  <c r="F28" i="583"/>
  <c r="F6" i="583"/>
  <c r="F26" i="583"/>
  <c r="G6" i="125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  <c r="R31" i="573"/>
  <c r="F22" i="572" l="1"/>
  <c r="E22" i="584" l="1"/>
  <c r="G22" i="572"/>
  <c r="G23" i="572"/>
  <c r="G3" i="571"/>
  <c r="I27" i="571" s="1"/>
  <c r="I28" i="571" s="1"/>
  <c r="F27" i="584" l="1"/>
  <c r="F28" i="584"/>
  <c r="E27" i="571"/>
  <c r="E28" i="571"/>
  <c r="K9" i="587"/>
  <c r="B7" i="587" s="1"/>
  <c r="B8" i="587" s="1"/>
  <c r="B9" i="587" s="1"/>
  <c r="B10" i="587" s="1"/>
  <c r="B11" i="587" s="1"/>
  <c r="B12" i="587" s="1"/>
  <c r="B13" i="587" s="1"/>
  <c r="B14" i="587" s="1"/>
  <c r="B15" i="587" s="1"/>
  <c r="C16" i="587"/>
  <c r="L9" i="587" s="1"/>
  <c r="C7" i="587" s="1"/>
  <c r="C8" i="587" s="1"/>
  <c r="C9" i="587" s="1"/>
  <c r="C10" i="587" s="1"/>
  <c r="C11" i="587" s="1"/>
  <c r="C12" i="587" s="1"/>
  <c r="C13" i="587" s="1"/>
  <c r="C14" i="587" s="1"/>
  <c r="C15" i="587" s="1"/>
  <c r="D8" i="581" l="1"/>
  <c r="D7" i="581"/>
  <c r="B17" i="594"/>
  <c r="D48" i="594"/>
  <c r="C40" i="594" l="1"/>
  <c r="C41" i="594"/>
  <c r="B10" i="594" s="1"/>
  <c r="C42" i="594"/>
  <c r="C43" i="594"/>
  <c r="B12" i="594" s="1"/>
  <c r="C38" i="594"/>
  <c r="B7" i="594" s="1"/>
  <c r="C44" i="594"/>
  <c r="B13" i="594" s="1"/>
  <c r="C37" i="594"/>
  <c r="B6" i="594" s="1"/>
  <c r="C45" i="594"/>
  <c r="C39" i="594"/>
  <c r="B15" i="594"/>
  <c r="B8" i="594"/>
  <c r="B14" i="594"/>
  <c r="B9" i="594"/>
  <c r="B11" i="594"/>
  <c r="B16" i="594"/>
  <c r="L99" i="593"/>
  <c r="L109" i="593" s="1"/>
  <c r="L118" i="593" s="1"/>
  <c r="B132" i="593" s="1"/>
  <c r="E16" i="593" s="1"/>
  <c r="L116" i="593" l="1"/>
  <c r="C95" i="594"/>
  <c r="C115" i="594" s="1"/>
  <c r="C109" i="594" l="1"/>
  <c r="C118" i="594" s="1"/>
  <c r="B123" i="594" s="1"/>
  <c r="E7" i="594" s="1"/>
</calcChain>
</file>

<file path=xl/sharedStrings.xml><?xml version="1.0" encoding="utf-8"?>
<sst xmlns="http://schemas.openxmlformats.org/spreadsheetml/2006/main" count="17287" uniqueCount="1110">
  <si>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</si>
  <si>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</si>
  <si>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</si>
  <si>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</si>
  <si>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</si>
  <si>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</si>
  <si>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</si>
  <si>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</si>
  <si>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</si>
  <si>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</si>
  <si>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</si>
  <si>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</si>
  <si>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</si>
  <si>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</si>
  <si>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</si>
  <si>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</si>
  <si>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</si>
  <si>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</si>
  <si>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</si>
  <si>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</si>
  <si>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</si>
  <si>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</si>
  <si>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</si>
  <si>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</si>
  <si>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</si>
  <si>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</si>
  <si>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</si>
  <si>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</si>
  <si>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</si>
  <si>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</si>
  <si>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</si>
  <si>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</si>
  <si>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</si>
  <si>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</si>
  <si>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</si>
  <si>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</si>
  <si>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</si>
  <si>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</si>
  <si>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</si>
  <si>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</si>
  <si>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</si>
  <si>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</si>
  <si>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</si>
  <si>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</si>
  <si>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</si>
  <si>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</si>
  <si>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</si>
  <si>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</si>
  <si>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</si>
  <si>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</si>
  <si>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</si>
  <si>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</si>
  <si>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</si>
  <si>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</si>
  <si>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</si>
  <si>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</si>
  <si>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</si>
  <si>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</si>
  <si>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</si>
  <si>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</si>
  <si>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</si>
  <si>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</si>
  <si>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</si>
  <si>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</si>
  <si>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</si>
  <si>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</si>
  <si>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</si>
  <si>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</si>
  <si>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</si>
  <si>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</si>
  <si>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</si>
  <si>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</si>
  <si>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</si>
  <si>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</si>
  <si>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</si>
  <si>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</si>
  <si>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</si>
  <si>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</si>
  <si>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</si>
  <si>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</si>
  <si>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</si>
  <si>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</si>
  <si>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</si>
  <si>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</si>
  <si>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</si>
  <si>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</si>
  <si>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</si>
  <si>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</si>
  <si>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</si>
  <si>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</si>
  <si>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</si>
  <si>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</si>
  <si>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</si>
  <si>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</si>
  <si>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</si>
  <si>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</si>
  <si>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</si>
  <si>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</si>
  <si>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</si>
  <si>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</si>
  <si>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</si>
  <si>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</si>
  <si>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</si>
  <si>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</si>
  <si>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</si>
  <si>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</si>
  <si>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</si>
  <si>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</si>
  <si>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</si>
  <si>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</si>
  <si>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</si>
  <si>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</si>
  <si>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</si>
  <si>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</si>
  <si>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</si>
  <si>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</si>
  <si>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</si>
  <si>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</si>
  <si>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</si>
  <si>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</si>
  <si>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</si>
  <si>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</si>
  <si>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</si>
  <si>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</si>
  <si>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</si>
  <si>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</si>
  <si>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</si>
  <si>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</si>
  <si>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</si>
  <si>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</si>
  <si>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</si>
  <si>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</si>
  <si>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</si>
  <si>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</si>
  <si>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</si>
  <si>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</si>
  <si>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</si>
  <si>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</si>
  <si>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</si>
  <si>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</si>
  <si>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</si>
  <si>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</si>
  <si>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</si>
  <si>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</si>
  <si>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</si>
  <si>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</si>
  <si>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</si>
  <si>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</si>
  <si>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</si>
  <si>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</si>
  <si>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</si>
  <si>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</si>
  <si>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</si>
  <si>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</si>
  <si>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</si>
  <si>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</si>
  <si>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</si>
  <si>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</si>
  <si>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</si>
  <si>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</si>
  <si>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</si>
  <si>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</si>
  <si>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</si>
  <si>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</si>
  <si>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</si>
  <si>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</si>
  <si>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</si>
  <si>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</si>
  <si>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</si>
  <si>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</si>
  <si>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</si>
  <si>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</si>
  <si>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</si>
  <si>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</si>
  <si>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</si>
  <si>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</si>
  <si>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</si>
  <si>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</si>
  <si>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</si>
  <si>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</si>
  <si>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</si>
  <si>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</si>
  <si>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</si>
  <si>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</si>
  <si>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</si>
  <si>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</si>
  <si>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</si>
  <si>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</si>
  <si>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</si>
  <si>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</si>
  <si>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</si>
  <si>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</si>
  <si>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</si>
  <si>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</si>
  <si>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</si>
  <si>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</si>
  <si>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</si>
  <si>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</si>
  <si>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</si>
  <si>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</si>
  <si>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</si>
  <si>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</si>
  <si>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</si>
  <si>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</si>
  <si>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</si>
  <si>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</si>
  <si>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</si>
  <si>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</si>
  <si>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</si>
  <si>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</si>
  <si>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</si>
  <si>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</si>
  <si>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</si>
  <si>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</si>
  <si>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</si>
  <si>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</si>
  <si>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</si>
  <si>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</si>
  <si>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</si>
  <si>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</si>
  <si>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</si>
  <si>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</si>
  <si>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</si>
  <si>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</si>
  <si>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</si>
  <si>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</si>
  <si>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</si>
  <si>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</si>
  <si>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</si>
  <si>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</si>
  <si>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</si>
  <si>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</si>
  <si>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</si>
  <si>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</si>
  <si>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</si>
  <si>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</si>
  <si>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</si>
  <si>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</si>
  <si>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</si>
  <si>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</si>
  <si>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</si>
  <si>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</si>
  <si>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</si>
  <si>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</si>
  <si>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</si>
  <si>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</si>
  <si>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</si>
  <si>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</si>
  <si>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</si>
  <si>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</si>
  <si>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</si>
  <si>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</si>
  <si>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</si>
  <si>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</si>
  <si>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</si>
  <si>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</si>
  <si>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</si>
  <si>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</si>
  <si>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</si>
  <si>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</si>
  <si>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</si>
  <si>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</si>
  <si>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</si>
  <si>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</si>
  <si>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</si>
  <si>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</si>
  <si>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</si>
  <si>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</si>
  <si>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</si>
  <si>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</si>
  <si>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</si>
  <si>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</si>
  <si>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</si>
  <si>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</si>
  <si>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</si>
  <si>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</si>
  <si>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</si>
  <si>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</si>
  <si>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</si>
  <si>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</si>
  <si>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</si>
  <si>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</si>
  <si>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</si>
  <si>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</si>
  <si>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</si>
  <si>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</si>
  <si>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</si>
  <si>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</si>
  <si>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</si>
  <si>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</si>
  <si>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</si>
  <si>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</si>
  <si>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</si>
  <si>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</si>
  <si>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</si>
  <si>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</si>
  <si>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</si>
  <si>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</si>
  <si>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</si>
  <si>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</si>
  <si>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</si>
  <si>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</si>
  <si>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</si>
  <si>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</si>
  <si>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</si>
  <si>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</si>
  <si>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</si>
  <si>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</si>
  <si>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</si>
  <si>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</si>
  <si>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</si>
  <si>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</si>
  <si>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</si>
  <si>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</si>
  <si>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</si>
  <si>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</si>
  <si>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</si>
  <si>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</si>
  <si>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</si>
  <si>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</si>
  <si>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</si>
  <si>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</si>
  <si>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</si>
  <si>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</si>
  <si>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</si>
  <si>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</si>
  <si>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</si>
  <si>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</si>
  <si>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</si>
  <si>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</si>
  <si>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</si>
  <si>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</si>
  <si>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</si>
  <si>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</si>
  <si>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</si>
  <si>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</si>
  <si>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</si>
  <si>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</si>
  <si>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</si>
  <si>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</si>
  <si>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</si>
  <si>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</si>
  <si>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</si>
  <si>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</si>
  <si>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</si>
  <si>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</si>
  <si>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</si>
  <si>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</si>
  <si>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</si>
  <si>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</si>
  <si>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</si>
  <si>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</si>
  <si>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</si>
  <si>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</si>
  <si>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</si>
  <si>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</si>
  <si>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</si>
  <si>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</si>
  <si>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</si>
  <si>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</si>
  <si>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</si>
  <si>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</si>
  <si>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</si>
  <si>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</si>
  <si>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</si>
  <si>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</si>
  <si>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</si>
  <si>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</si>
  <si>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</si>
  <si>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</si>
  <si>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</si>
  <si>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</si>
  <si>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</si>
  <si>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</si>
  <si>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</si>
  <si>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</si>
  <si>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</si>
  <si>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</si>
  <si>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</si>
  <si>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</si>
  <si>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</si>
  <si>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</si>
  <si>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</si>
  <si>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</si>
  <si>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</si>
  <si>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</si>
  <si>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</si>
  <si>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</si>
  <si>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</si>
  <si>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</si>
  <si>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</si>
  <si>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</si>
  <si>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</si>
  <si>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</si>
  <si>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</si>
  <si>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</si>
  <si>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</si>
  <si>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</si>
  <si>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</si>
  <si>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</si>
  <si>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</si>
  <si>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</si>
  <si>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</si>
  <si>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</si>
  <si>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</si>
  <si>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</si>
  <si>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</si>
  <si>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</si>
  <si>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</si>
  <si>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</si>
  <si>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</si>
  <si>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</si>
  <si>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</si>
  <si>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</si>
  <si>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</si>
  <si>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</si>
  <si>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</si>
  <si>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</si>
  <si>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</si>
  <si>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</si>
  <si>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</si>
  <si>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</si>
  <si>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</si>
  <si>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</si>
  <si>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</si>
  <si>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</si>
  <si>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</si>
  <si>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</si>
  <si>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</si>
  <si>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</si>
  <si>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</si>
  <si>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</si>
  <si>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</si>
  <si>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</si>
  <si>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</si>
  <si>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</si>
  <si>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</si>
  <si>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</si>
  <si>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</si>
  <si>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</si>
  <si>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</si>
  <si>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</si>
  <si>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</si>
  <si>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</si>
  <si>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</si>
  <si>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</si>
  <si>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</si>
  <si>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</si>
  <si>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</si>
  <si>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</si>
  <si>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</si>
  <si>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</si>
  <si>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</si>
  <si>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</si>
  <si>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</si>
  <si>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</si>
  <si>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</si>
  <si>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</si>
  <si>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</si>
  <si>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</si>
  <si>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</si>
  <si>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</si>
  <si>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</si>
  <si>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</si>
  <si>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</si>
  <si>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</si>
  <si>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</si>
  <si>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</si>
  <si>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</si>
  <si>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</si>
  <si>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</si>
  <si>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</si>
  <si>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</si>
  <si>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</si>
  <si>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</si>
  <si>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</si>
  <si>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</si>
  <si>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</si>
  <si>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</si>
  <si>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</si>
  <si>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</si>
  <si>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</si>
  <si>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</si>
  <si>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</si>
  <si>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</si>
  <si>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</si>
  <si>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</si>
  <si>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</si>
  <si>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</si>
  <si>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</si>
  <si>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</si>
  <si>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</si>
  <si>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</si>
  <si>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</si>
  <si>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</si>
  <si>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</si>
  <si>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</si>
  <si>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</si>
  <si>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</si>
  <si>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</si>
  <si>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</si>
  <si>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</si>
  <si>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</si>
  <si>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</si>
  <si>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</si>
  <si>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</si>
  <si>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</si>
  <si>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</si>
  <si>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</si>
  <si>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</si>
  <si>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</si>
  <si>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</si>
  <si>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</si>
  <si>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</si>
  <si>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</si>
  <si>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</si>
  <si>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</si>
  <si>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</si>
  <si>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</si>
  <si>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</si>
  <si>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</si>
  <si>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</si>
  <si>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</si>
  <si>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</si>
  <si>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</si>
  <si>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</si>
  <si>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</si>
  <si>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</si>
  <si>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</si>
  <si>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</si>
  <si>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</si>
  <si>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</si>
  <si>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</si>
  <si>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</si>
  <si>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</si>
  <si>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</si>
  <si>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</si>
  <si>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</si>
  <si>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</si>
  <si>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</si>
  <si>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</si>
  <si>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</si>
  <si>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</si>
  <si>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</si>
  <si>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</si>
  <si>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</si>
  <si>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</si>
  <si>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</si>
  <si>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</si>
  <si>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</si>
  <si>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</si>
  <si>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</si>
  <si>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</si>
  <si>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</si>
  <si>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</si>
  <si>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</si>
  <si>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</si>
  <si>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</si>
  <si>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</si>
  <si>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</si>
  <si>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</si>
  <si>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</si>
  <si>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</si>
  <si>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</si>
  <si>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</si>
  <si>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</si>
  <si>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</si>
  <si>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</si>
  <si>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</si>
  <si>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</si>
  <si>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</si>
  <si>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</si>
  <si>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</si>
  <si>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</si>
  <si>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</si>
  <si>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</si>
  <si>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</si>
  <si>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</si>
  <si>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</si>
  <si>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</si>
  <si>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</si>
  <si>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</si>
  <si>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</si>
  <si>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</si>
  <si>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</si>
  <si>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</si>
  <si>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</si>
  <si>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</si>
  <si>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</si>
  <si>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</si>
  <si>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</si>
  <si>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</si>
  <si>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</si>
  <si>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</si>
  <si>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</si>
  <si>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</si>
  <si>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</si>
  <si>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</si>
  <si>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</si>
  <si>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</si>
  <si>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</si>
  <si>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</si>
  <si>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</si>
  <si>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</si>
  <si>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</si>
  <si>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</si>
  <si>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</si>
  <si>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</si>
  <si>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</si>
  <si>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</si>
  <si>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</si>
  <si>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</si>
  <si>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</si>
  <si>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</si>
  <si>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</si>
  <si>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</si>
  <si>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</si>
  <si>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</si>
  <si>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</si>
  <si>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</si>
  <si>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</si>
  <si>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</si>
  <si>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</si>
  <si>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</si>
  <si>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</si>
  <si>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</si>
  <si>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</si>
  <si>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</si>
  <si>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</si>
  <si>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</si>
  <si>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</si>
  <si>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</si>
  <si>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</si>
  <si>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</si>
  <si>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</si>
  <si>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</si>
  <si>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</si>
  <si>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</si>
  <si>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</si>
  <si>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</si>
  <si>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</si>
  <si>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</si>
  <si>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</si>
  <si>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</si>
  <si>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</si>
  <si>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</si>
  <si>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</si>
  <si>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</si>
  <si>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</si>
  <si>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</si>
  <si>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</si>
  <si>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</si>
  <si>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</si>
  <si>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</si>
  <si>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</si>
  <si>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</si>
  <si>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</si>
  <si>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</si>
  <si>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</si>
  <si>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</si>
  <si>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</si>
  <si>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</si>
  <si>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</si>
  <si>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</si>
  <si>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</si>
  <si>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</si>
  <si>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</si>
  <si>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</si>
  <si>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</si>
  <si>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</si>
  <si>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</si>
  <si>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</si>
  <si>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</si>
  <si>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</si>
  <si>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</si>
  <si>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</si>
  <si>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</si>
  <si>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</si>
  <si>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</si>
  <si>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</si>
  <si>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</si>
  <si>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</si>
  <si>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</si>
  <si>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</si>
  <si>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</si>
  <si>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</si>
  <si>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</si>
  <si>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</si>
  <si>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</si>
  <si>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</si>
  <si>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</si>
  <si>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</si>
  <si>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</si>
  <si>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</si>
  <si>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</si>
  <si>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</si>
  <si>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</si>
  <si>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</si>
  <si>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</si>
  <si>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</si>
  <si>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</si>
  <si>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</si>
  <si>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</si>
  <si>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</si>
  <si>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</si>
  <si>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</si>
  <si>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</si>
  <si>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</si>
  <si>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</si>
  <si>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</si>
  <si>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</si>
  <si>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</si>
  <si>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</si>
  <si>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</si>
  <si>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</si>
  <si>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</si>
  <si>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</si>
  <si>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</si>
  <si>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</si>
  <si>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</si>
  <si>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</si>
  <si>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</si>
  <si>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</si>
  <si>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</si>
  <si>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</si>
  <si>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</si>
  <si>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</si>
  <si>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</si>
  <si>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</si>
  <si>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</si>
  <si>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</si>
  <si>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</si>
  <si>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</si>
  <si>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</si>
  <si>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</si>
  <si>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</si>
  <si>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</si>
  <si>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</si>
  <si>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</si>
  <si>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</si>
  <si>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</si>
  <si>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</si>
  <si>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</si>
  <si>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</si>
  <si>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</si>
  <si>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</si>
  <si>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</si>
  <si>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</si>
  <si>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</si>
  <si>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</si>
  <si>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</si>
  <si>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</si>
  <si>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</si>
  <si>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</si>
  <si>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</si>
  <si>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</si>
  <si>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</si>
  <si>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</si>
  <si>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</si>
  <si>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</si>
  <si>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</si>
  <si>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</si>
  <si>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</si>
  <si>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</si>
  <si>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</si>
  <si>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</si>
  <si>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</si>
  <si>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</si>
  <si>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</si>
  <si>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</si>
  <si>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</si>
  <si>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</si>
  <si>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</si>
  <si>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</si>
  <si>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</si>
  <si>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</si>
  <si>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</si>
  <si>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</si>
  <si>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</si>
  <si>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</si>
  <si>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</si>
  <si>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</si>
  <si>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</si>
  <si>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</si>
  <si>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</si>
  <si>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</si>
  <si>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</si>
  <si>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</si>
  <si>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</si>
  <si>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</si>
  <si>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</si>
  <si>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</si>
  <si>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</si>
  <si>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</si>
  <si>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</si>
  <si>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</si>
  <si>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</si>
  <si>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</si>
  <si>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</si>
  <si>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</si>
  <si>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</si>
  <si>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</si>
  <si>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</si>
  <si>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</si>
  <si>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</si>
  <si>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</si>
  <si>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</si>
  <si>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</si>
  <si>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</si>
  <si>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</si>
  <si>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</si>
  <si>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</si>
  <si>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</si>
  <si>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</si>
  <si>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</si>
  <si>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</si>
  <si>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</si>
  <si>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</si>
  <si>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</si>
  <si>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</si>
  <si>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</si>
  <si>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</si>
  <si>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</si>
  <si>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</si>
  <si>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</si>
  <si>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</si>
  <si>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</si>
  <si>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</si>
  <si>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</si>
  <si>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</si>
  <si>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</si>
  <si>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</si>
  <si>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</si>
  <si>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</si>
  <si>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</si>
  <si>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</si>
  <si>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</si>
  <si>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</si>
  <si>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</si>
  <si>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</si>
  <si>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</si>
  <si>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</si>
  <si>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</si>
  <si>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</si>
  <si>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</si>
  <si>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</si>
  <si>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</si>
  <si>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</si>
  <si>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</si>
  <si>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</si>
  <si>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</si>
  <si>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</si>
  <si>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</si>
  <si>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</si>
  <si>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</si>
  <si>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</si>
  <si>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</si>
  <si>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</si>
  <si>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</si>
  <si>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</si>
  <si>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</si>
  <si>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</si>
  <si>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</si>
  <si>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</si>
  <si>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</si>
  <si>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</si>
  <si>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</si>
  <si>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</si>
  <si>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</si>
  <si>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</si>
  <si>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</si>
  <si>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</si>
  <si>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</si>
  <si>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</si>
  <si>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</si>
  <si>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</si>
  <si>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</si>
  <si>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</si>
  <si>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</si>
  <si>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</si>
  <si>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</si>
  <si>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</si>
  <si>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</si>
  <si>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</si>
  <si>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</si>
  <si>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</si>
  <si>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</si>
  <si>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</si>
  <si>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</si>
  <si>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</si>
  <si>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</si>
  <si>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</si>
  <si>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</si>
  <si>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</si>
  <si>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</si>
  <si>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</si>
  <si>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</si>
  <si>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</si>
  <si>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</si>
  <si>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</si>
  <si>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</si>
  <si>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</si>
  <si>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</si>
  <si>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</si>
  <si>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</si>
  <si>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</si>
  <si>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</si>
  <si>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</si>
  <si>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</si>
  <si>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</si>
  <si>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</si>
  <si>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</si>
  <si>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</si>
  <si>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</si>
  <si>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</si>
  <si>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</si>
  <si>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</si>
  <si>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</si>
  <si>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</si>
  <si>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</si>
  <si>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</si>
  <si>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</si>
  <si>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</si>
  <si>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</si>
  <si>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</si>
  <si>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</si>
  <si>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</si>
  <si>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</si>
  <si>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</si>
  <si>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</si>
  <si>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</si>
  <si>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</si>
  <si>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</si>
  <si>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</si>
  <si>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</si>
  <si>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</si>
  <si>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SANTIAGO DE CHUCO</t>
  </si>
  <si>
    <t>PATAZ</t>
  </si>
  <si>
    <t>PACASMAYO</t>
  </si>
  <si>
    <t>OTUZCO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</si>
  <si>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</si>
  <si>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</si>
  <si>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</si>
  <si>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</si>
  <si>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</si>
  <si>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</si>
  <si>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BOLIVAR</t>
  </si>
  <si>
    <t>JULCAN</t>
  </si>
  <si>
    <t>GRAN CHIMU</t>
  </si>
  <si>
    <t>VIRU</t>
  </si>
  <si>
    <t>CHEPEN</t>
  </si>
  <si>
    <t>Provincias_LL</t>
  </si>
  <si>
    <t>SANCHEZ CARRION</t>
  </si>
  <si>
    <t>pobreza_2013</t>
  </si>
  <si>
    <t>Cuadro Nº 504</t>
  </si>
  <si>
    <t>GRÁFICA N° 15 EVOLUCIÓN DE LAS CARENCIAS SOCIALES DE LA LIBERTAD 2007-2023</t>
  </si>
  <si>
    <t>porcentaje respecto al total de la población</t>
  </si>
  <si>
    <t>viviendas_inadecuadas</t>
  </si>
  <si>
    <t>viviendas_con_hacinamiento</t>
  </si>
  <si>
    <t>inasistencia_escolar_niños</t>
  </si>
  <si>
    <t>viviendas_sin_servicios_h</t>
  </si>
  <si>
    <t>alta_dependencia_económica</t>
  </si>
  <si>
    <t>Cuadro Nº 505</t>
  </si>
  <si>
    <t>precios constantes 2007 en nuevos soles - porcentaje respecto al total de la población</t>
  </si>
  <si>
    <t>PERÚ: EVOLUCIÓN DE LA INCIDENCIA DE LA POBREZA TOTAL, POBREZA EXTREMA</t>
  </si>
  <si>
    <t>GRÁFICA N° 16: PBI per cápita real y pobreza periodo 2007-2023</t>
  </si>
  <si>
    <t>Tabla N° 5: ELASTICIDAD POBREZA - CRECIMIENTO PROMEDIO ANUAL 2007-2023</t>
  </si>
  <si>
    <t>anual(x)</t>
  </si>
  <si>
    <t>Pobreza</t>
  </si>
  <si>
    <t>Var% pobreza</t>
  </si>
  <si>
    <t>anual(y)</t>
  </si>
  <si>
    <t>Elasticidad(Y/X)</t>
  </si>
  <si>
    <t>Tipo</t>
  </si>
  <si>
    <t>crec_pbi</t>
  </si>
  <si>
    <t>crec_pobreza_total</t>
  </si>
  <si>
    <t>CAGR PBI per</t>
  </si>
  <si>
    <t>CAGR pobreza</t>
  </si>
  <si>
    <t>CALCULO DE CAGR: tasa de crecimiento anual compuesta</t>
  </si>
  <si>
    <t>Elasticidad pobreza - crecimiento</t>
  </si>
  <si>
    <t>N° Años</t>
  </si>
  <si>
    <t>Tipo de crecimiento</t>
  </si>
  <si>
    <t>Interpretación</t>
  </si>
  <si>
    <t>Elasticidad (ε)</t>
  </si>
  <si>
    <t>Pro-pobre fuerte</t>
  </si>
  <si>
    <t>La pobreza cae más que proporcionalmente al crecimiento económico</t>
  </si>
  <si>
    <t>Pro-pobre débil</t>
  </si>
  <si>
    <t>Neutro</t>
  </si>
  <si>
    <t>Por goteo (Trickle-down)</t>
  </si>
  <si>
    <t>Empobrecedor</t>
  </si>
  <si>
    <t>pbi_per_cap</t>
  </si>
  <si>
    <t>Var% pbi_per_cap</t>
  </si>
  <si>
    <t>ε&lt;−1</t>
  </si>
  <si>
    <t>−1&lt;ε&lt;0</t>
  </si>
  <si>
    <t>ε=0</t>
  </si>
  <si>
    <t>ε&gt;0 y crecimiento económico</t>
  </si>
  <si>
    <t>ε&gt;0 y caída del ingreso</t>
  </si>
  <si>
    <t>La pobreza cae, pero menos que proporcionalmente al crecimiento</t>
  </si>
  <si>
    <t>La pobreza no cambia pese al crecimiento económico</t>
  </si>
  <si>
    <t>La pobreza aumenta a pesar del crecimiento económico</t>
  </si>
  <si>
    <t>El ingreso cae y la pobreza aumenta más que proporcionalmente</t>
  </si>
  <si>
    <t>Tabla N° 5: ELASTICIDAD POBREZA - CRECIMIENTO PROMEDIO ANUAL 2007-2018, POR PROVINCIAS.</t>
  </si>
  <si>
    <t>Clasificación del crecimiento según Wodon(2000)</t>
  </si>
  <si>
    <t>Provincia</t>
  </si>
  <si>
    <t>CALCULO DE CAGR: TASA DE CRECIMIENTO ANUAL COMPUESTA</t>
  </si>
  <si>
    <t>Años: 2007-2018</t>
  </si>
  <si>
    <t>Elasticidad pobreza - crecimiento (2007-2018)</t>
  </si>
  <si>
    <t>Cuadro Nº 506</t>
  </si>
  <si>
    <t>La Libertad: pbi per cápita, pobreza total, gasto social, ingreso proveniente del trabajo anual</t>
  </si>
  <si>
    <t xml:space="preserve"> La Libertad: Ingreso promedio mensual y anual proveniente del trabajo, pbi per cápita</t>
  </si>
  <si>
    <t>pbi_percapita</t>
  </si>
  <si>
    <t>LA LIBERTAD: PBI per cápita real y pobreza periodo 2007-2023</t>
  </si>
  <si>
    <t>Evolución de los componentes del Gasto Social en La Libertad 2007-2023</t>
  </si>
  <si>
    <t xml:space="preserve"> valores a precios corrientes(soles)</t>
  </si>
  <si>
    <t>pbi_corriente</t>
  </si>
  <si>
    <t>pbi_constante_2007</t>
  </si>
  <si>
    <t>ingreso_trabajo_corriente</t>
  </si>
  <si>
    <t>tas.crec 2021-2020</t>
  </si>
  <si>
    <t>tasa_crec_promedio</t>
  </si>
  <si>
    <t>empleo_informal(%)</t>
  </si>
  <si>
    <t xml:space="preserve"> (Miles de personas)</t>
  </si>
  <si>
    <t>Empleo total</t>
  </si>
  <si>
    <t>Empleo formal</t>
  </si>
  <si>
    <t>empleo informal</t>
  </si>
  <si>
    <t>Característica geográfica/Año</t>
  </si>
  <si>
    <t>Departamento</t>
  </si>
  <si>
    <t>PERÚ: PEA OCUPADA POR EMPLEO “FORMAL” Y EMPLEO INFORMAL DENTRO Y FUERA DEL SECTOR INFORMAL, SEGÚN CARACTERÍSTICAS GEOGRÁFICAS, 2007-2021, 2022-2023</t>
  </si>
  <si>
    <t>Tasa de crecimiento
promedio anual</t>
  </si>
  <si>
    <t>Urbana</t>
  </si>
  <si>
    <t>Rural</t>
  </si>
  <si>
    <t>%_pob_urbana</t>
  </si>
  <si>
    <t>%_pob_rural</t>
  </si>
  <si>
    <t>PERÚ: POBLACIÓN CENSADA URBANA, SEGÚN DEPARTAMENTO, 2007 Y 2017</t>
  </si>
  <si>
    <t>(porcentaje)</t>
  </si>
  <si>
    <t>2018-2022</t>
  </si>
  <si>
    <t>2007-2017</t>
  </si>
  <si>
    <t>año</t>
  </si>
  <si>
    <t>departamento</t>
  </si>
  <si>
    <t>pobreza_total</t>
  </si>
  <si>
    <t>pobreza_extrema</t>
  </si>
  <si>
    <t>gasto_social</t>
  </si>
  <si>
    <t>ingreso_trabajo</t>
  </si>
  <si>
    <t>pobre extremo</t>
  </si>
  <si>
    <t>pobre no extremo</t>
  </si>
  <si>
    <t>no pobre</t>
  </si>
  <si>
    <t>%_pobreza</t>
  </si>
  <si>
    <t>pob_extrema_%</t>
  </si>
  <si>
    <t>pob_total_%</t>
  </si>
  <si>
    <t>(precios a valores constantes de 2007)</t>
  </si>
  <si>
    <t>Libertad: pobreza monetaria total, extrema, gasto social, ingresos proveniente del trabajo</t>
  </si>
  <si>
    <t>Data</t>
  </si>
  <si>
    <t>INGRESOS PROVENIENTES DEL TRABAJO - LA LIBERTAD, 2007-2023</t>
  </si>
  <si>
    <t>(miles de soles- precios a valores constantes de 2007)</t>
  </si>
  <si>
    <t>DATA PANEL: DEPARTAMENTOS DE LA REGIÓN MACROECONÓMICA: LA LIBERTAD, PIURA, LAMBAYEQUE</t>
  </si>
  <si>
    <t>pbi per cápita, pobreza total, gasto social, ingreso proveniente del trabajo anual</t>
  </si>
  <si>
    <t>LaLibertad</t>
  </si>
  <si>
    <t>valores_1994</t>
  </si>
  <si>
    <t>valores_2007</t>
  </si>
  <si>
    <t>salud.colectiva</t>
  </si>
  <si>
    <t>salud.individual</t>
  </si>
  <si>
    <t>educ.inicial</t>
  </si>
  <si>
    <t>educ.primaria</t>
  </si>
  <si>
    <t>educ.secundaria</t>
  </si>
  <si>
    <t>educ.especial</t>
  </si>
  <si>
    <t>infraestructura_equipamiento</t>
  </si>
  <si>
    <t>asist.solidaria</t>
  </si>
  <si>
    <t>promocion_y_asistencia_social</t>
  </si>
  <si>
    <t xml:space="preserve">96,683,144	</t>
  </si>
  <si>
    <t xml:space="preserve">900,104	</t>
  </si>
  <si>
    <t>asistencia_social</t>
  </si>
  <si>
    <t>educ.especial.alternativa</t>
  </si>
  <si>
    <t xml:space="preserve">7,459,573	</t>
  </si>
  <si>
    <t>LA LIBERTAD: POBREZA MONETARIA Y EXTREMA, 2007-2023(INEI-POBREZA POR DEPARTAMENTOS)</t>
  </si>
  <si>
    <t>PERU: POBREZA MONETARIA Y EXTREMA, 2007-2023(INEI-POBREZA NACIONAL)</t>
  </si>
  <si>
    <t>Deflactor</t>
  </si>
  <si>
    <t>Consumo 
del 
Gobierno - v.corriente</t>
  </si>
  <si>
    <t>Consumo 
del 
Gobierno - v.constante(2007)</t>
  </si>
  <si>
    <t>pbi_corriente(1994)</t>
  </si>
  <si>
    <t>pbi_constante(2007)</t>
  </si>
  <si>
    <t>LA LIBERTAD: PBI PER CÁPITA PBI PER CÁPITA , 2001-2023(INEI-PBI percapita)</t>
  </si>
  <si>
    <t>LA LIBERTAD: POBREZA MONETARIA Y EXTREMA 2004-2023(INEI-POBREZA POR DEPARTAMENTOS)</t>
  </si>
  <si>
    <t>precios a valores constantes de 2007</t>
  </si>
  <si>
    <t>PIURA : pobreza monetaria total, extrema, gasto social, ingresos proveniente del trabajo</t>
  </si>
  <si>
    <t>PIURA : PBI PER CÁPITA PBI PER CÁPITA , 2001-2023(INEI-PBI percapita)</t>
  </si>
  <si>
    <t>PIURA : POBREZA MONETARIA Y EXTREMA 2004-2023(INEI-POBREZA POR DEPARTAMENTOS)</t>
  </si>
  <si>
    <t>PIURA : INGRESOS PROVENIENTES DEL TRABAJO, 2007-2023</t>
  </si>
  <si>
    <t>LAMBAYEQUE : pobreza monetaria total, extrema, gasto social, ingresos proveniente del trabajo</t>
  </si>
  <si>
    <t>LAMBAYEQUE : PBI PER CÁPITA PBI PER CÁPITA , 2001-2023(INEI-PBI percapita)</t>
  </si>
  <si>
    <t>LAMBAYEQUE : POBREZA MONETARIA Y EXTREMA 2004-2023(INEI-POBREZA POR DEPARTAMENTOS)</t>
  </si>
  <si>
    <t>LAMBAYEQUE : INGRESOS PROVENIENTES DEL TRABAJO, 2007-2023</t>
  </si>
  <si>
    <t xml:space="preserve">575,883	</t>
  </si>
  <si>
    <t xml:space="preserve">562,301	</t>
  </si>
  <si>
    <t xml:space="preserve">633,141	</t>
  </si>
  <si>
    <t xml:space="preserve">589,017	</t>
  </si>
  <si>
    <t>LAMBAYEQUE : Componentes del Gasto Social, 2001-2023(MEF-CONSULTA AMIGABLE)</t>
  </si>
  <si>
    <t>PIURA : Componentes del Gasto Social, 2001-2023(MEF-CONSULTA AMIGABLE)</t>
  </si>
  <si>
    <t>La Libertad: Componentes del Gasto Social, 2001-2023(MEF-CONSULTA AMIGABLE)</t>
  </si>
  <si>
    <t xml:space="preserve">633,499	</t>
  </si>
  <si>
    <t xml:space="preserve">704,323	</t>
  </si>
  <si>
    <t xml:space="preserve">173,678	</t>
  </si>
  <si>
    <t xml:space="preserve">168,107	</t>
  </si>
  <si>
    <t xml:space="preserve">207,863	</t>
  </si>
  <si>
    <t xml:space="preserve">2,731,776	</t>
  </si>
  <si>
    <t xml:space="preserve">454,460	</t>
  </si>
  <si>
    <t xml:space="preserve">901,208	</t>
  </si>
  <si>
    <t xml:space="preserve">894,639	</t>
  </si>
  <si>
    <t xml:space="preserve">597,533	</t>
  </si>
  <si>
    <t>pobreza_total_piura</t>
  </si>
  <si>
    <t>pobreza_extrema_piura</t>
  </si>
  <si>
    <t>pobreza_total_lambayeque</t>
  </si>
  <si>
    <t>pobreza_extrema_lambayeque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</si>
</sst>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  <numFmt numFmtId="170" formatCode="0.0000000"/>
    <numFmt numFmtId="171" formatCode="0.00000"/>
    <numFmt numFmtId="172" formatCode="_-[$S/-280A]\ * #,##0_-;\-[$S/-280A]\ * #,##0_-;_-[$S/-280A]\ * &quot;-&quot;??_-;_-@_-"/>
  </numFmts>
  <fonts count="9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  <font>
      <sz val="10"/>
      <name val="Arial Narrow"/>
      <family val="2"/>
    </font>
    <font>
      <b/>
      <sz val="18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21"/>
        <bgColor indexed="64"/>
      </patternFill>
    </fill>
  </fills>
  <borders count="52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7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1" fillId="0" borderId="0"/>
  </cellStyleXfs>
  <cellXfs count="626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  <xf numFmtId="0" fontId="0" fillId="0" borderId="0" xfId="0" applyFont="1"/>
    <xf numFmtId="2" fontId="0" fillId="0" borderId="0" xfId="0" applyNumberFormat="1"/>
    <xf numFmtId="4" fontId="0" fillId="0" borderId="0" xfId="0" applyNumberFormat="1"/>
    <xf numFmtId="0" fontId="0" fillId="0" borderId="0" xfId="0" applyAlignment="1">
      <alignment horizontal="left" vertical="center" wrapText="1"/>
    </xf>
    <xf numFmtId="165" fontId="94" fillId="0" borderId="0" xfId="26" applyNumberFormat="1" applyFont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165" fontId="94" fillId="0" borderId="0" xfId="26" applyNumberFormat="1" applyFont="1" applyFill="1" applyAlignment="1">
      <alignment horizontal="left" vertical="center" wrapText="1"/>
    </xf>
    <xf numFmtId="170" fontId="0" fillId="0" borderId="0" xfId="0" applyNumberFormat="1"/>
    <xf numFmtId="0" fontId="82" fillId="0" borderId="0" xfId="0" applyFont="1" applyAlignment="1">
      <alignment horizontal="left" wrapText="1"/>
    </xf>
    <xf numFmtId="0" fontId="91" fillId="0" borderId="0" xfId="0" applyFont="1" applyAlignment="1">
      <alignment vertical="center" wrapText="1"/>
    </xf>
    <xf numFmtId="171" fontId="0" fillId="0" borderId="0" xfId="0" applyNumberFormat="1" applyAlignment="1">
      <alignment horizontal="center" vertical="center" wrapText="1"/>
    </xf>
    <xf numFmtId="166" fontId="82" fillId="0" borderId="0" xfId="0" applyNumberFormat="1" applyFont="1" applyAlignment="1">
      <alignment horizontal="center" vertical="center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90" fillId="0" borderId="20" xfId="0" applyFont="1" applyBorder="1" applyAlignment="1">
      <alignment horizontal="center" wrapText="1"/>
    </xf>
    <xf numFmtId="172" fontId="90" fillId="0" borderId="20" xfId="0" applyNumberFormat="1" applyFont="1" applyBorder="1" applyAlignment="1">
      <alignment horizontal="left" wrapText="1"/>
    </xf>
    <xf numFmtId="0" fontId="90" fillId="0" borderId="21" xfId="0" applyFont="1" applyBorder="1" applyAlignment="1">
      <alignment horizontal="center" wrapText="1"/>
    </xf>
    <xf numFmtId="0" fontId="90" fillId="0" borderId="27" xfId="0" applyFont="1" applyBorder="1" applyAlignment="1">
      <alignment horizontal="left" wrapText="1"/>
    </xf>
    <xf numFmtId="0" fontId="90" fillId="0" borderId="29" xfId="0" applyFont="1" applyBorder="1" applyAlignment="1">
      <alignment horizontal="left" wrapText="1"/>
    </xf>
    <xf numFmtId="172" fontId="90" fillId="0" borderId="21" xfId="0" applyNumberFormat="1" applyFont="1" applyBorder="1" applyAlignment="1">
      <alignment horizontal="left" wrapText="1"/>
    </xf>
    <xf numFmtId="0" fontId="82" fillId="0" borderId="12" xfId="0" applyFont="1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7" xfId="0" applyBorder="1"/>
    <xf numFmtId="0" fontId="0" fillId="0" borderId="29" xfId="0" applyBorder="1"/>
    <xf numFmtId="0" fontId="0" fillId="0" borderId="21" xfId="0" applyBorder="1" applyAlignment="1">
      <alignment horizontal="center" vertical="center" wrapText="1"/>
    </xf>
    <xf numFmtId="0" fontId="0" fillId="0" borderId="37" xfId="0" applyBorder="1"/>
    <xf numFmtId="0" fontId="0" fillId="0" borderId="38" xfId="0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0" xfId="0" applyBorder="1"/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wrapText="1"/>
    </xf>
    <xf numFmtId="0" fontId="90" fillId="0" borderId="0" xfId="0" applyFont="1" applyBorder="1" applyAlignment="1">
      <alignment horizontal="left" wrapText="1"/>
    </xf>
    <xf numFmtId="172" fontId="90" fillId="0" borderId="0" xfId="0" applyNumberFormat="1" applyFont="1" applyBorder="1" applyAlignment="1">
      <alignment horizontal="left" wrapText="1"/>
    </xf>
    <xf numFmtId="0" fontId="90" fillId="0" borderId="0" xfId="0" applyFont="1" applyBorder="1" applyAlignment="1">
      <alignment horizontal="center" wrapText="1"/>
    </xf>
    <xf numFmtId="166" fontId="90" fillId="0" borderId="0" xfId="0" applyNumberFormat="1" applyFont="1" applyBorder="1" applyAlignment="1">
      <alignment horizontal="center"/>
    </xf>
    <xf numFmtId="166" fontId="89" fillId="0" borderId="0" xfId="0" applyNumberFormat="1" applyFont="1" applyBorder="1" applyAlignment="1">
      <alignment horizontal="center" wrapText="1"/>
    </xf>
    <xf numFmtId="0" fontId="89" fillId="0" borderId="0" xfId="0" applyFont="1" applyBorder="1" applyAlignment="1">
      <alignment horizontal="left" wrapText="1"/>
    </xf>
    <xf numFmtId="0" fontId="62" fillId="0" borderId="0" xfId="0" applyFont="1" applyBorder="1" applyAlignment="1">
      <alignment horizontal="center" vertical="center" wrapText="1"/>
    </xf>
    <xf numFmtId="0" fontId="88" fillId="0" borderId="37" xfId="0" applyFont="1" applyBorder="1" applyAlignment="1">
      <alignment horizontal="left" wrapText="1"/>
    </xf>
    <xf numFmtId="172" fontId="88" fillId="0" borderId="20" xfId="0" applyNumberFormat="1" applyFont="1" applyBorder="1" applyAlignment="1">
      <alignment horizontal="left" wrapText="1"/>
    </xf>
    <xf numFmtId="0" fontId="88" fillId="0" borderId="29" xfId="0" applyFont="1" applyBorder="1" applyAlignment="1">
      <alignment horizontal="left" wrapText="1"/>
    </xf>
    <xf numFmtId="172" fontId="88" fillId="0" borderId="21" xfId="0" applyNumberFormat="1" applyFont="1" applyBorder="1" applyAlignment="1">
      <alignment horizontal="left" wrapText="1"/>
    </xf>
    <xf numFmtId="165" fontId="88" fillId="0" borderId="20" xfId="0" applyNumberFormat="1" applyFont="1" applyBorder="1" applyAlignment="1">
      <alignment horizontal="center" wrapText="1"/>
    </xf>
    <xf numFmtId="165" fontId="88" fillId="0" borderId="21" xfId="0" applyNumberFormat="1" applyFont="1" applyBorder="1" applyAlignment="1">
      <alignment horizontal="center" wrapText="1"/>
    </xf>
    <xf numFmtId="0" fontId="91" fillId="0" borderId="0" xfId="0" applyFont="1" applyBorder="1" applyAlignment="1">
      <alignment wrapText="1"/>
    </xf>
    <xf numFmtId="0" fontId="82" fillId="0" borderId="17" xfId="0" applyFont="1" applyBorder="1" applyAlignment="1">
      <alignment horizontal="left" wrapText="1"/>
    </xf>
    <xf numFmtId="0" fontId="82" fillId="0" borderId="24" xfId="0" applyFont="1" applyBorder="1" applyAlignment="1">
      <alignment horizontal="left" wrapText="1"/>
    </xf>
    <xf numFmtId="171" fontId="0" fillId="0" borderId="0" xfId="0" applyNumberFormat="1" applyBorder="1" applyAlignment="1">
      <alignment horizontal="left" vertical="center" wrapText="1"/>
    </xf>
    <xf numFmtId="171" fontId="0" fillId="0" borderId="26" xfId="0" applyNumberFormat="1" applyBorder="1" applyAlignment="1">
      <alignment horizontal="left" vertical="center" wrapText="1"/>
    </xf>
    <xf numFmtId="171" fontId="0" fillId="0" borderId="8" xfId="0" applyNumberFormat="1" applyBorder="1" applyAlignment="1">
      <alignment horizontal="left" vertical="center" wrapText="1"/>
    </xf>
    <xf numFmtId="171" fontId="0" fillId="0" borderId="46" xfId="0" applyNumberFormat="1" applyBorder="1" applyAlignment="1">
      <alignment horizontal="left" vertical="center" wrapText="1"/>
    </xf>
    <xf numFmtId="0" fontId="82" fillId="9" borderId="23" xfId="0" applyFont="1" applyFill="1" applyBorder="1"/>
    <xf numFmtId="0" fontId="82" fillId="9" borderId="17" xfId="0" applyFont="1" applyFill="1" applyBorder="1" applyAlignment="1">
      <alignment vertical="center" wrapText="1"/>
    </xf>
    <xf numFmtId="0" fontId="82" fillId="9" borderId="24" xfId="0" applyFont="1" applyFill="1" applyBorder="1" applyAlignment="1">
      <alignment horizontal="center" wrapText="1"/>
    </xf>
    <xf numFmtId="166" fontId="82" fillId="0" borderId="20" xfId="0" applyNumberFormat="1" applyFont="1" applyBorder="1" applyAlignment="1">
      <alignment horizontal="center" vertical="center" wrapText="1"/>
    </xf>
    <xf numFmtId="0" fontId="92" fillId="0" borderId="27" xfId="0" applyFont="1" applyBorder="1"/>
    <xf numFmtId="0" fontId="0" fillId="0" borderId="28" xfId="0" applyBorder="1"/>
    <xf numFmtId="0" fontId="92" fillId="0" borderId="29" xfId="0" applyFont="1" applyBorder="1"/>
    <xf numFmtId="166" fontId="82" fillId="0" borderId="21" xfId="0" applyNumberFormat="1" applyFont="1" applyBorder="1" applyAlignment="1">
      <alignment horizontal="center" vertical="center" wrapText="1"/>
    </xf>
    <xf numFmtId="0" fontId="0" fillId="0" borderId="30" xfId="0" applyBorder="1"/>
    <xf numFmtId="0" fontId="0" fillId="0" borderId="8" xfId="0" applyBorder="1" applyAlignment="1">
      <alignment horizontal="center" vertical="center" wrapText="1"/>
    </xf>
    <xf numFmtId="0" fontId="62" fillId="0" borderId="0" xfId="0" applyFont="1" applyFill="1" applyBorder="1"/>
    <xf numFmtId="0" fontId="0" fillId="0" borderId="0" xfId="0" applyFill="1" applyBorder="1" applyAlignment="1">
      <alignment horizontal="left"/>
    </xf>
    <xf numFmtId="10" fontId="0" fillId="0" borderId="0" xfId="24" applyNumberFormat="1" applyFont="1"/>
    <xf numFmtId="168" fontId="82" fillId="0" borderId="0" xfId="24" applyNumberFormat="1" applyFont="1"/>
    <xf numFmtId="0" fontId="91" fillId="0" borderId="0" xfId="0" applyFont="1"/>
    <xf numFmtId="0" fontId="0" fillId="0" borderId="4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5" xfId="0" applyBorder="1"/>
    <xf numFmtId="0" fontId="91" fillId="10" borderId="48" xfId="0" applyFont="1" applyFill="1" applyBorder="1"/>
    <xf numFmtId="0" fontId="82" fillId="7" borderId="46" xfId="0" applyFont="1" applyFill="1" applyBorder="1" applyAlignment="1">
      <alignment horizontal="center"/>
    </xf>
    <xf numFmtId="2" fontId="82" fillId="7" borderId="46" xfId="0" applyNumberFormat="1" applyFont="1" applyFill="1" applyBorder="1" applyAlignment="1">
      <alignment horizontal="center"/>
    </xf>
    <xf numFmtId="0" fontId="82" fillId="0" borderId="0" xfId="0" applyFont="1" applyAlignment="1">
      <alignment horizontal="center" vertical="center"/>
    </xf>
    <xf numFmtId="0" fontId="88" fillId="0" borderId="10" xfId="0" applyFont="1" applyBorder="1" applyAlignment="1">
      <alignment horizontal="left"/>
    </xf>
    <xf numFmtId="0" fontId="88" fillId="0" borderId="11" xfId="0" applyFont="1" applyBorder="1"/>
    <xf numFmtId="0" fontId="88" fillId="11" borderId="8" xfId="0" applyFont="1" applyFill="1" applyBorder="1"/>
    <xf numFmtId="0" fontId="88" fillId="0" borderId="8" xfId="0" applyFont="1" applyBorder="1"/>
    <xf numFmtId="0" fontId="5" fillId="10" borderId="2" xfId="5" applyFont="1" applyFill="1" applyBorder="1" applyAlignment="1">
      <alignment vertical="center"/>
    </xf>
    <xf numFmtId="3" fontId="5" fillId="10" borderId="0" xfId="0" applyNumberFormat="1" applyFont="1" applyFill="1" applyAlignment="1">
      <alignment vertical="center"/>
    </xf>
    <xf numFmtId="0" fontId="82" fillId="0" borderId="40" xfId="0" applyFont="1" applyBorder="1" applyAlignment="1">
      <alignment horizontal="left" vertical="center" wrapText="1"/>
    </xf>
    <xf numFmtId="0" fontId="0" fillId="0" borderId="40" xfId="0" applyBorder="1" applyAlignment="1">
      <alignment horizontal="left" vertical="center" wrapText="1"/>
    </xf>
    <xf numFmtId="0" fontId="82" fillId="0" borderId="40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40" xfId="0" applyBorder="1" applyAlignment="1">
      <alignment horizontal="left" vertical="center"/>
    </xf>
    <xf numFmtId="0" fontId="0" fillId="0" borderId="40" xfId="0" applyFill="1" applyBorder="1" applyAlignment="1">
      <alignment horizontal="left" vertical="center" wrapText="1"/>
    </xf>
    <xf numFmtId="2" fontId="0" fillId="0" borderId="9" xfId="24" applyNumberFormat="1" applyFont="1" applyBorder="1"/>
    <xf numFmtId="0" fontId="62" fillId="0" borderId="0" xfId="0" applyFont="1"/>
    <xf numFmtId="2" fontId="0" fillId="0" borderId="10" xfId="0" applyNumberFormat="1" applyFont="1" applyBorder="1" applyAlignment="1">
      <alignment horizontal="left"/>
    </xf>
    <xf numFmtId="3" fontId="0" fillId="0" borderId="8" xfId="0" applyNumberFormat="1" applyBorder="1" applyAlignment="1">
      <alignment horizontal="left"/>
    </xf>
    <xf numFmtId="2" fontId="0" fillId="0" borderId="0" xfId="24" applyNumberFormat="1" applyFont="1" applyBorder="1"/>
    <xf numFmtId="3" fontId="82" fillId="0" borderId="0" xfId="0" applyNumberFormat="1" applyFont="1" applyAlignment="1">
      <alignment horizontal="left" vertical="top" wrapText="1"/>
    </xf>
    <xf numFmtId="165" fontId="0" fillId="0" borderId="0" xfId="0" applyNumberFormat="1" applyAlignment="1">
      <alignment horizontal="left" vertical="center" wrapText="1"/>
    </xf>
    <xf numFmtId="165" fontId="0" fillId="0" borderId="40" xfId="0" applyNumberFormat="1" applyBorder="1" applyAlignment="1">
      <alignment horizontal="left" vertical="center" wrapText="1"/>
    </xf>
    <xf numFmtId="0" fontId="91" fillId="11" borderId="0" xfId="0" applyFont="1" applyFill="1"/>
    <xf numFmtId="3" fontId="0" fillId="0" borderId="0" xfId="0" applyNumberFormat="1" applyBorder="1" applyAlignment="1">
      <alignment horizontal="left"/>
    </xf>
    <xf numFmtId="1" fontId="0" fillId="0" borderId="0" xfId="0" applyNumberFormat="1" applyBorder="1" applyAlignment="1">
      <alignment horizontal="left"/>
    </xf>
    <xf numFmtId="1" fontId="0" fillId="0" borderId="0" xfId="0" applyNumberFormat="1" applyFill="1" applyBorder="1" applyAlignment="1">
      <alignment horizontal="left"/>
    </xf>
    <xf numFmtId="165" fontId="0" fillId="0" borderId="0" xfId="24" applyNumberFormat="1" applyFont="1"/>
    <xf numFmtId="2" fontId="0" fillId="0" borderId="9" xfId="0" applyNumberFormat="1" applyBorder="1" applyAlignment="1">
      <alignment horizontal="right"/>
    </xf>
    <xf numFmtId="0" fontId="0" fillId="0" borderId="9" xfId="0" applyBorder="1" applyAlignment="1">
      <alignment horizontal="right"/>
    </xf>
    <xf numFmtId="2" fontId="91" fillId="0" borderId="9" xfId="0" applyNumberFormat="1" applyFont="1" applyBorder="1" applyAlignment="1">
      <alignment horizontal="left"/>
    </xf>
    <xf numFmtId="0" fontId="91" fillId="0" borderId="9" xfId="0" applyFont="1" applyBorder="1"/>
    <xf numFmtId="3" fontId="91" fillId="0" borderId="0" xfId="0" applyNumberFormat="1" applyFont="1" applyAlignment="1">
      <alignment horizontal="left"/>
    </xf>
    <xf numFmtId="2" fontId="0" fillId="0" borderId="10" xfId="0" applyNumberFormat="1" applyBorder="1" applyAlignment="1">
      <alignment horizontal="right"/>
    </xf>
    <xf numFmtId="3" fontId="0" fillId="0" borderId="8" xfId="0" applyNumberFormat="1" applyFill="1" applyBorder="1" applyAlignment="1">
      <alignment horizontal="left"/>
    </xf>
    <xf numFmtId="165" fontId="88" fillId="0" borderId="0" xfId="0" applyNumberFormat="1" applyFont="1" applyBorder="1"/>
    <xf numFmtId="2" fontId="88" fillId="0" borderId="0" xfId="0" applyNumberFormat="1" applyFont="1" applyBorder="1"/>
    <xf numFmtId="165" fontId="88" fillId="0" borderId="0" xfId="0" applyNumberFormat="1" applyFont="1" applyBorder="1" applyAlignment="1">
      <alignment horizontal="left" vertical="center"/>
    </xf>
    <xf numFmtId="2" fontId="88" fillId="0" borderId="0" xfId="0" applyNumberFormat="1" applyFont="1" applyBorder="1" applyAlignment="1">
      <alignment horizontal="left" vertical="center"/>
    </xf>
    <xf numFmtId="0" fontId="88" fillId="11" borderId="0" xfId="0" applyFont="1" applyFill="1" applyBorder="1"/>
    <xf numFmtId="3" fontId="88" fillId="0" borderId="0" xfId="0" applyNumberFormat="1" applyFont="1" applyBorder="1"/>
    <xf numFmtId="2" fontId="88" fillId="11" borderId="0" xfId="0" applyNumberFormat="1" applyFont="1" applyFill="1" applyBorder="1"/>
    <xf numFmtId="165" fontId="88" fillId="11" borderId="0" xfId="0" applyNumberFormat="1" applyFont="1" applyFill="1" applyBorder="1"/>
    <xf numFmtId="2" fontId="0" fillId="0" borderId="0" xfId="0" applyNumberFormat="1" applyFill="1" applyBorder="1" applyAlignment="1">
      <alignment horizontal="left"/>
    </xf>
    <xf numFmtId="3" fontId="82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0" fontId="0" fillId="7" borderId="0" xfId="0" applyFill="1" applyAlignment="1">
      <alignment horizontal="left"/>
    </xf>
    <xf numFmtId="169" fontId="82" fillId="3" borderId="6" xfId="0" applyNumberFormat="1" applyFont="1" applyFill="1" applyBorder="1" applyAlignment="1">
      <alignment horizontal="center" vertical="center" wrapText="1"/>
    </xf>
    <xf numFmtId="169" fontId="82" fillId="3" borderId="0" xfId="0" applyNumberFormat="1" applyFont="1" applyFill="1" applyBorder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0" xfId="0" quotePrefix="1" applyNumberFormat="1" applyFont="1" applyFill="1" applyBorder="1" applyAlignment="1">
      <alignment horizontal="center" vertical="center" wrapText="1"/>
    </xf>
    <xf numFmtId="169" fontId="82" fillId="7" borderId="6" xfId="0" quotePrefix="1" applyNumberFormat="1" applyFont="1" applyFill="1" applyBorder="1" applyAlignment="1">
      <alignment horizontal="center" vertical="center" wrapText="1"/>
    </xf>
    <xf numFmtId="169" fontId="82" fillId="7" borderId="0" xfId="0" quotePrefix="1" applyNumberFormat="1" applyFont="1" applyFill="1" applyBorder="1" applyAlignment="1">
      <alignment horizontal="center" vertical="center" wrapText="1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  <xf numFmtId="0" fontId="89" fillId="7" borderId="0" xfId="0" applyFont="1" applyFill="1" applyAlignment="1">
      <alignment horizontal="left" vertical="center" wrapText="1"/>
    </xf>
    <xf numFmtId="0" fontId="0" fillId="0" borderId="31" xfId="0" applyBorder="1" applyAlignment="1">
      <alignment horizontal="left" wrapText="1"/>
    </xf>
    <xf numFmtId="0" fontId="0" fillId="0" borderId="32" xfId="0" applyBorder="1" applyAlignment="1">
      <alignment horizontal="left" wrapText="1"/>
    </xf>
    <xf numFmtId="0" fontId="0" fillId="0" borderId="33" xfId="0" applyBorder="1" applyAlignment="1">
      <alignment horizontal="left" wrapText="1"/>
    </xf>
    <xf numFmtId="0" fontId="89" fillId="8" borderId="23" xfId="0" applyFont="1" applyFill="1" applyBorder="1" applyAlignment="1">
      <alignment horizontal="left" wrapText="1"/>
    </xf>
    <xf numFmtId="0" fontId="89" fillId="8" borderId="25" xfId="0" applyFont="1" applyFill="1" applyBorder="1" applyAlignment="1">
      <alignment horizontal="left" wrapText="1"/>
    </xf>
    <xf numFmtId="166" fontId="89" fillId="0" borderId="22" xfId="0" applyNumberFormat="1" applyFont="1" applyBorder="1" applyAlignment="1">
      <alignment horizontal="center" wrapText="1"/>
    </xf>
    <xf numFmtId="166" fontId="89" fillId="0" borderId="19" xfId="0" applyNumberFormat="1" applyFont="1" applyBorder="1" applyAlignment="1">
      <alignment horizontal="center" wrapText="1"/>
    </xf>
    <xf numFmtId="0" fontId="0" fillId="0" borderId="34" xfId="0" applyBorder="1" applyAlignment="1">
      <alignment horizontal="left" wrapText="1"/>
    </xf>
    <xf numFmtId="0" fontId="0" fillId="0" borderId="35" xfId="0" applyBorder="1" applyAlignment="1">
      <alignment horizontal="left" wrapText="1"/>
    </xf>
    <xf numFmtId="0" fontId="0" fillId="0" borderId="36" xfId="0" applyBorder="1" applyAlignment="1">
      <alignment horizontal="left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89" fillId="8" borderId="24" xfId="0" applyFont="1" applyFill="1" applyBorder="1" applyAlignment="1">
      <alignment horizontal="left" wrapText="1"/>
    </xf>
    <xf numFmtId="0" fontId="89" fillId="8" borderId="26" xfId="0" applyFont="1" applyFill="1" applyBorder="1" applyAlignment="1">
      <alignment horizontal="left" wrapText="1"/>
    </xf>
    <xf numFmtId="0" fontId="89" fillId="0" borderId="28" xfId="0" applyFont="1" applyBorder="1" applyAlignment="1">
      <alignment horizontal="left" wrapText="1"/>
    </xf>
    <xf numFmtId="0" fontId="89" fillId="0" borderId="30" xfId="0" applyFont="1" applyBorder="1" applyAlignment="1">
      <alignment horizontal="left" wrapText="1"/>
    </xf>
    <xf numFmtId="0" fontId="91" fillId="0" borderId="8" xfId="0" applyFont="1" applyBorder="1" applyAlignment="1">
      <alignment horizontal="center" vertical="center" wrapText="1"/>
    </xf>
    <xf numFmtId="166" fontId="90" fillId="0" borderId="20" xfId="0" applyNumberFormat="1" applyFont="1" applyBorder="1" applyAlignment="1">
      <alignment horizontal="center"/>
    </xf>
    <xf numFmtId="166" fontId="90" fillId="0" borderId="21" xfId="0" applyNumberFormat="1" applyFont="1" applyBorder="1" applyAlignment="1">
      <alignment horizontal="center"/>
    </xf>
    <xf numFmtId="2" fontId="90" fillId="0" borderId="20" xfId="0" applyNumberFormat="1" applyFont="1" applyBorder="1" applyAlignment="1">
      <alignment horizontal="center"/>
    </xf>
    <xf numFmtId="2" fontId="90" fillId="0" borderId="21" xfId="0" applyNumberFormat="1" applyFont="1" applyBorder="1" applyAlignment="1">
      <alignment horizontal="center"/>
    </xf>
    <xf numFmtId="0" fontId="82" fillId="0" borderId="13" xfId="0" applyFont="1" applyBorder="1" applyAlignment="1">
      <alignment horizontal="center" vertical="center" wrapText="1"/>
    </xf>
    <xf numFmtId="0" fontId="82" fillId="0" borderId="14" xfId="0" applyFont="1" applyBorder="1" applyAlignment="1">
      <alignment horizontal="center" vertical="center" wrapText="1"/>
    </xf>
    <xf numFmtId="0" fontId="0" fillId="0" borderId="39" xfId="0" applyBorder="1" applyAlignment="1">
      <alignment horizontal="left" wrapText="1"/>
    </xf>
    <xf numFmtId="0" fontId="0" fillId="0" borderId="40" xfId="0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91" fillId="0" borderId="0" xfId="0" applyFont="1" applyBorder="1" applyAlignment="1">
      <alignment horizontal="left" wrapText="1"/>
    </xf>
    <xf numFmtId="0" fontId="62" fillId="0" borderId="44" xfId="0" applyFont="1" applyBorder="1" applyAlignment="1">
      <alignment horizontal="left"/>
    </xf>
    <xf numFmtId="0" fontId="62" fillId="0" borderId="47" xfId="0" applyFont="1" applyBorder="1" applyAlignment="1">
      <alignment horizontal="left"/>
    </xf>
    <xf numFmtId="166" fontId="88" fillId="0" borderId="20" xfId="0" applyNumberFormat="1" applyFont="1" applyBorder="1" applyAlignment="1">
      <alignment horizontal="center"/>
    </xf>
    <xf numFmtId="166" fontId="88" fillId="0" borderId="21" xfId="0" applyNumberFormat="1" applyFont="1" applyBorder="1" applyAlignment="1">
      <alignment horizontal="center"/>
    </xf>
    <xf numFmtId="0" fontId="62" fillId="0" borderId="44" xfId="0" applyFont="1" applyBorder="1" applyAlignment="1">
      <alignment horizontal="left" wrapText="1"/>
    </xf>
    <xf numFmtId="0" fontId="62" fillId="0" borderId="45" xfId="0" applyFont="1" applyBorder="1" applyAlignment="1">
      <alignment horizontal="left" wrapText="1"/>
    </xf>
    <xf numFmtId="0" fontId="62" fillId="0" borderId="47" xfId="0" applyFont="1" applyBorder="1" applyAlignment="1">
      <alignment horizontal="left" wrapText="1"/>
    </xf>
    <xf numFmtId="0" fontId="62" fillId="0" borderId="44" xfId="0" applyFont="1" applyBorder="1" applyAlignment="1">
      <alignment horizontal="center" wrapText="1"/>
    </xf>
    <xf numFmtId="0" fontId="62" fillId="0" borderId="45" xfId="0" applyFont="1" applyBorder="1" applyAlignment="1">
      <alignment horizontal="center" wrapText="1"/>
    </xf>
    <xf numFmtId="0" fontId="0" fillId="0" borderId="42" xfId="0" applyBorder="1" applyAlignment="1">
      <alignment horizontal="left" wrapText="1"/>
    </xf>
    <xf numFmtId="0" fontId="0" fillId="0" borderId="16" xfId="0" applyBorder="1" applyAlignment="1">
      <alignment horizontal="left" wrapText="1"/>
    </xf>
    <xf numFmtId="0" fontId="0" fillId="0" borderId="43" xfId="0" applyBorder="1" applyAlignment="1">
      <alignment horizontal="left" wrapText="1"/>
    </xf>
    <xf numFmtId="0" fontId="89" fillId="8" borderId="44" xfId="0" applyFont="1" applyFill="1" applyBorder="1" applyAlignment="1">
      <alignment horizontal="left" wrapText="1"/>
    </xf>
    <xf numFmtId="0" fontId="89" fillId="8" borderId="45" xfId="0" applyFont="1" applyFill="1" applyBorder="1" applyAlignment="1">
      <alignment horizontal="left" wrapText="1"/>
    </xf>
    <xf numFmtId="0" fontId="91" fillId="10" borderId="12" xfId="0" applyFont="1" applyFill="1" applyBorder="1" applyAlignment="1">
      <alignment horizontal="center"/>
    </xf>
    <xf numFmtId="0" fontId="91" fillId="10" borderId="13" xfId="0" applyFont="1" applyFill="1" applyBorder="1" applyAlignment="1">
      <alignment horizontal="center"/>
    </xf>
    <xf numFmtId="0" fontId="91" fillId="10" borderId="14" xfId="0" applyFont="1" applyFill="1" applyBorder="1" applyAlignment="1">
      <alignment horizontal="center"/>
    </xf>
    <xf numFmtId="0" fontId="82" fillId="0" borderId="0" xfId="0" applyFont="1" applyAlignment="1">
      <alignment horizontal="center" vertical="center" wrapText="1"/>
    </xf>
    <xf numFmtId="0" fontId="95" fillId="7" borderId="0" xfId="5" applyFont="1" applyFill="1" applyAlignment="1" applyProtection="1">
      <alignment horizontal="left" vertical="center" wrapText="1"/>
      <protection locked="0"/>
    </xf>
    <xf numFmtId="0" fontId="89" fillId="7" borderId="0" xfId="0" applyFont="1" applyFill="1" applyAlignment="1">
      <alignment horizontal="left" vertical="top" wrapText="1"/>
    </xf>
    <xf numFmtId="1" fontId="0" fillId="0" borderId="0" xfId="0" applyNumberFormat="1" applyAlignment="1">
      <alignment horizontal="left"/>
    </xf>
    <xf numFmtId="0" fontId="0" fillId="0" borderId="39" xfId="0" applyBorder="1"/>
    <xf numFmtId="0" fontId="0" fillId="0" borderId="40" xfId="0" applyFill="1" applyBorder="1"/>
    <xf numFmtId="0" fontId="0" fillId="12" borderId="12" xfId="0" applyFill="1" applyBorder="1"/>
    <xf numFmtId="0" fontId="0" fillId="12" borderId="13" xfId="0" applyFill="1" applyBorder="1"/>
    <xf numFmtId="2" fontId="91" fillId="7" borderId="9" xfId="0" applyNumberFormat="1" applyFont="1" applyFill="1" applyBorder="1" applyAlignment="1">
      <alignment horizontal="left"/>
    </xf>
    <xf numFmtId="3" fontId="91" fillId="7" borderId="0" xfId="0" applyNumberFormat="1" applyFont="1" applyFill="1" applyAlignment="1">
      <alignment horizontal="left"/>
    </xf>
    <xf numFmtId="0" fontId="91" fillId="10" borderId="10" xfId="0" applyFont="1" applyFill="1" applyBorder="1" applyAlignment="1">
      <alignment horizontal="left"/>
    </xf>
    <xf numFmtId="0" fontId="0" fillId="0" borderId="40" xfId="0" applyBorder="1"/>
    <xf numFmtId="0" fontId="0" fillId="0" borderId="51" xfId="0" applyBorder="1" applyAlignment="1">
      <alignment horizontal="left"/>
    </xf>
    <xf numFmtId="0" fontId="0" fillId="0" borderId="50" xfId="0" applyBorder="1" applyAlignment="1">
      <alignment horizontal="left"/>
    </xf>
    <xf numFmtId="0" fontId="0" fillId="0" borderId="14" xfId="0" applyBorder="1" applyAlignment="1">
      <alignment horizontal="left"/>
    </xf>
    <xf numFmtId="3" fontId="0" fillId="0" borderId="0" xfId="0" applyNumberFormat="1" applyAlignment="1">
      <alignment horizontal="left" vertical="center" wrapText="1"/>
    </xf>
    <xf numFmtId="3" fontId="0" fillId="0" borderId="40" xfId="0" applyNumberFormat="1" applyBorder="1" applyAlignment="1">
      <alignment horizontal="left" vertical="center" wrapText="1"/>
    </xf>
  </cellXfs>
  <cellStyles count="27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2_gastos7-12 2" xfId="26" xr:uid="{4217ED17-7478-4618-93A3-EB8DD081F6F9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50">
    <dxf>
      <numFmt numFmtId="165" formatCode="0.0"/>
      <alignment horizontal="left" vertical="center" textRotation="0" wrapText="1" indent="0" justifyLastLine="0" shrinkToFit="0" readingOrder="0"/>
    </dxf>
    <dxf>
      <numFmt numFmtId="3" formatCode="#,##0"/>
      <alignment horizontal="left" vertical="center" textRotation="0" wrapText="1" indent="0" justifyLastLine="0" shrinkToFit="0" readingOrder="0"/>
    </dxf>
    <dxf>
      <numFmt numFmtId="165" formatCode="0.0"/>
      <alignment horizontal="left" vertical="center" textRotation="0" wrapText="1" indent="0" justifyLastLine="0" shrinkToFit="0" readingOrder="0"/>
    </dxf>
    <dxf>
      <numFmt numFmtId="3" formatCode="#,##0"/>
      <alignment horizontal="left" vertical="center" textRotation="0" wrapText="1" indent="0" justifyLastLine="0" shrinkToFit="0" readingOrder="0"/>
    </dxf>
    <dxf>
      <numFmt numFmtId="3" formatCode="#,##0"/>
      <alignment horizontal="left" vertical="center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alignment horizontal="left" vertical="center" textRotation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2" formatCode="_-[$S/-280A]\ * #,##0_-;\-[$S/-280A]\ * #,##0_-;_-[$S/-280A]\ * &quot;-&quot;??_-;_-@_-"/>
      <fill>
        <patternFill patternType="solid">
          <fgColor indexed="64"/>
          <bgColor theme="7" tint="0.39997558519241921"/>
        </patternFill>
      </fill>
    </dxf>
    <dxf>
      <numFmt numFmtId="172" formatCode="_-[$S/-280A]\ * #,##0_-;\-[$S/-280A]\ * #,##0_-;_-[$S/-280A]\ * &quot;-&quot;??_-;_-@_-"/>
    </dxf>
    <dxf>
      <numFmt numFmtId="165" formatCode="0.0"/>
      <fill>
        <patternFill patternType="solid">
          <fgColor indexed="64"/>
          <bgColor theme="6"/>
        </patternFill>
      </fill>
    </dxf>
    <dxf>
      <numFmt numFmtId="2" formatCode="0.00"/>
      <fill>
        <patternFill patternType="solid">
          <fgColor indexed="64"/>
          <bgColor theme="6"/>
        </patternFill>
      </fill>
    </dxf>
    <dxf>
      <numFmt numFmtId="172" formatCode="_-[$S/-280A]\ * #,##0_-;\-[$S/-280A]\ * #,##0_-;_-[$S/-280A]\ * &quot;-&quot;??_-;_-@_-"/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numFmt numFmtId="172" formatCode="_-[$S/-280A]\ * #,##0_-;\-[$S/-280A]\ * #,##0_-;_-[$S/-280A]\ * &quot;-&quot;??_-;_-@_-"/>
      <fill>
        <patternFill patternType="solid">
          <fgColor indexed="64"/>
          <bgColor theme="7" tint="0.39997558519241921"/>
        </patternFill>
      </fill>
    </dxf>
    <dxf>
      <numFmt numFmtId="172" formatCode="_-[$S/-280A]\ * #,##0_-;\-[$S/-280A]\ * #,##0_-;_-[$S/-280A]\ * &quot;-&quot;??_-;_-@_-"/>
    </dxf>
    <dxf>
      <numFmt numFmtId="165" formatCode="0.0"/>
      <fill>
        <patternFill patternType="solid">
          <fgColor indexed="64"/>
          <bgColor theme="6"/>
        </patternFill>
      </fill>
    </dxf>
    <dxf>
      <numFmt numFmtId="2" formatCode="0.00"/>
      <fill>
        <patternFill patternType="solid">
          <fgColor indexed="64"/>
          <bgColor theme="6"/>
        </patternFill>
      </fill>
    </dxf>
    <dxf>
      <numFmt numFmtId="172" formatCode="_-[$S/-280A]\ * #,##0_-;\-[$S/-280A]\ * #,##0_-;_-[$S/-280A]\ * &quot;-&quot;??_-;_-@_-"/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numFmt numFmtId="172" formatCode="_-[$S/-280A]\ * #,##0_-;\-[$S/-280A]\ * #,##0_-;_-[$S/-280A]\ * &quot;-&quot;??_-;_-@_-"/>
      <fill>
        <patternFill patternType="solid">
          <fgColor indexed="64"/>
          <bgColor theme="7" tint="0.39997558519241921"/>
        </patternFill>
      </fill>
    </dxf>
    <dxf>
      <numFmt numFmtId="172" formatCode="_-[$S/-280A]\ * #,##0_-;\-[$S/-280A]\ * #,##0_-;_-[$S/-280A]\ * &quot;-&quot;??_-;_-@_-"/>
    </dxf>
    <dxf>
      <numFmt numFmtId="165" formatCode="0.0"/>
      <fill>
        <patternFill patternType="solid">
          <fgColor indexed="64"/>
          <bgColor theme="6"/>
        </patternFill>
      </fill>
    </dxf>
    <dxf>
      <numFmt numFmtId="2" formatCode="0.00"/>
      <fill>
        <patternFill patternType="solid">
          <fgColor indexed="64"/>
          <bgColor theme="6"/>
        </patternFill>
      </fill>
    </dxf>
    <dxf>
      <numFmt numFmtId="172" formatCode="_-[$S/-280A]\ * #,##0_-;\-[$S/-280A]\ * #,##0_-;_-[$S/-280A]\ * &quot;-&quot;??_-;_-@_-"/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border outline="0">
        <bottom style="thin">
          <color indexed="64"/>
        </bottom>
      </border>
    </dxf>
    <dxf>
      <alignment horizontal="left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indent="0" justifyLastLine="0" shrinkToFit="0" readingOrder="0"/>
    </dxf>
    <dxf>
      <numFmt numFmtId="2" formatCode="0.00"/>
    </dxf>
    <dxf>
      <numFmt numFmtId="2" formatCode="0.00"/>
    </dxf>
    <dxf>
      <alignment horizontal="left" vertical="bottom" textRotation="0" wrapText="0" indent="0" justifyLastLine="0" shrinkToFit="0" readingOrder="0"/>
    </dxf>
    <dxf>
      <numFmt numFmtId="172" formatCode="_-[$S/-280A]\ * #,##0_-;\-[$S/-280A]\ * #,##0_-;_-[$S/-280A]\ * &quot;-&quot;??_-;_-@_-"/>
      <fill>
        <patternFill patternType="solid">
          <fgColor indexed="64"/>
          <bgColor theme="7" tint="0.39997558519241921"/>
        </patternFill>
      </fill>
    </dxf>
    <dxf>
      <numFmt numFmtId="172" formatCode="_-[$S/-280A]\ * #,##0_-;\-[$S/-280A]\ * #,##0_-;_-[$S/-280A]\ * &quot;-&quot;??_-;_-@_-"/>
    </dxf>
    <dxf>
      <numFmt numFmtId="165" formatCode="0.0"/>
      <fill>
        <patternFill patternType="solid">
          <fgColor indexed="64"/>
          <bgColor theme="6"/>
        </patternFill>
      </fill>
    </dxf>
    <dxf>
      <numFmt numFmtId="2" formatCode="0.00"/>
      <fill>
        <patternFill patternType="solid">
          <fgColor indexed="64"/>
          <bgColor theme="6"/>
        </patternFill>
      </fill>
    </dxf>
    <dxf>
      <numFmt numFmtId="172" formatCode="_-[$S/-280A]\ * #,##0_-;\-[$S/-280A]\ * #,##0_-;_-[$S/-280A]\ * &quot;-&quot;??_-;_-@_-"/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calcChain" Target="calcChain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externalLink" Target="externalLinks/externalLink2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theme" Target="theme/theme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styles" Target="styles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sharedStrings" Target="sharedStrings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236220</xdr:colOff>
      <xdr:row>0</xdr:row>
      <xdr:rowOff>213360</xdr:rowOff>
    </xdr:from>
    <xdr:to>
      <xdr:col>10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373380</xdr:colOff>
      <xdr:row>0</xdr:row>
      <xdr:rowOff>68580</xdr:rowOff>
    </xdr:from>
    <xdr:to>
      <xdr:col>8</xdr:col>
      <xdr:colOff>378883</xdr:colOff>
      <xdr:row>2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1399520" y="68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635975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57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8</xdr:col>
      <xdr:colOff>333163</xdr:colOff>
      <xdr:row>6</xdr:row>
      <xdr:rowOff>74930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BFA0B-67F4-4B0A-AD51-C2E047FB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15340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9</xdr:col>
      <xdr:colOff>333163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4FAE6-C6A7-41D7-A03E-187953E2C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46226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342900</xdr:colOff>
      <xdr:row>2</xdr:row>
      <xdr:rowOff>167640</xdr:rowOff>
    </xdr:from>
    <xdr:to>
      <xdr:col>9</xdr:col>
      <xdr:colOff>676063</xdr:colOff>
      <xdr:row>5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64268B-7F21-4A44-A359-B4383493C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78440" y="6248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586740</xdr:colOff>
      <xdr:row>87</xdr:row>
      <xdr:rowOff>76200</xdr:rowOff>
    </xdr:from>
    <xdr:to>
      <xdr:col>13</xdr:col>
      <xdr:colOff>660823</xdr:colOff>
      <xdr:row>89</xdr:row>
      <xdr:rowOff>158750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5E6AEA-9380-4250-8665-17DF30690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62456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586740</xdr:colOff>
      <xdr:row>87</xdr:row>
      <xdr:rowOff>76200</xdr:rowOff>
    </xdr:from>
    <xdr:to>
      <xdr:col>13</xdr:col>
      <xdr:colOff>660823</xdr:colOff>
      <xdr:row>89</xdr:row>
      <xdr:rowOff>158750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5927DE-EBDB-4260-988A-9E7E94C2E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8569940" y="171221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586740</xdr:colOff>
      <xdr:row>87</xdr:row>
      <xdr:rowOff>76200</xdr:rowOff>
    </xdr:from>
    <xdr:to>
      <xdr:col>13</xdr:col>
      <xdr:colOff>660823</xdr:colOff>
      <xdr:row>89</xdr:row>
      <xdr:rowOff>158750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87C515-E214-4870-AC89-139F4299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8569940" y="171221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C9CD9A9-2409-4C15-A685-4A2E0528490A}" name="Tabla3" displayName="Tabla3" ref="A5:F28" totalsRowShown="0" headerRowDxfId="49" headerRowBorderDxfId="48">
  <autoFilter ref="A5:F28" xr:uid="{8C9CD9A9-2409-4C15-A685-4A2E0528490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5B57301-DEE3-476C-87AE-14A4CF4CFCB3}" name="año" dataDxfId="47"/>
    <tableColumn id="2" xr3:uid="{034A72CC-35B9-4E45-B3FE-EC05189712A2}" name="pbi_percapita" dataDxfId="46">
      <calculatedColumnFormula>+'c-497'!B6</calculatedColumnFormula>
    </tableColumn>
    <tableColumn id="3" xr3:uid="{6AABE267-FE79-4658-9B17-F95487675997}" name="pobreza_total_la_libertad" dataDxfId="45"/>
    <tableColumn id="4" xr3:uid="{2587F378-FFD5-445B-931A-8EF54A621E33}" name="pobreza_extrema_la_libertad" dataDxfId="44"/>
    <tableColumn id="5" xr3:uid="{92D20B92-BBFE-42F1-9356-DA43FA3B8400}" name="gasto_social_real" dataDxfId="43">
      <calculatedColumnFormula>+'c-498'!F6</calculatedColumnFormula>
    </tableColumn>
    <tableColumn id="6" xr3:uid="{6A624E41-F393-44C4-B680-6E1A4560678F}" name="ingreso_trabajo_anual" dataDxfId="42">
      <calculatedColumnFormula>+'c-497'!D6</calculatedColumnFormula>
    </tableColumn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891003-83FC-44D5-9776-44D3EE270927}" name="Tabla2" displayName="Tabla2" ref="A5:C22" totalsRowShown="0">
  <autoFilter ref="A5:C22" xr:uid="{9D891003-83FC-44D5-9776-44D3EE270927}">
    <filterColumn colId="0" hiddenButton="1"/>
    <filterColumn colId="1" hiddenButton="1"/>
    <filterColumn colId="2" hiddenButton="1"/>
  </autoFilter>
  <tableColumns count="3">
    <tableColumn id="1" xr3:uid="{370249DD-7F75-4538-9FD5-E6FC0C6F6E17}" name="Año" dataDxfId="41"/>
    <tableColumn id="2" xr3:uid="{6672F7C6-DA81-4276-BCA2-E32B3089DAA0}" name="%_pob_urbana" dataDxfId="40">
      <calculatedColumnFormula>+B5+(B5*$K$10)</calculatedColumnFormula>
    </tableColumn>
    <tableColumn id="3" xr3:uid="{8AE48402-6D9D-4AFE-8BE6-DB1DEFDA8E5C}" name="%_pob_rural" dataDxfId="39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CD4829-DA11-4EC6-9C5E-670AD6CE87D1}" name="Tabla1" displayName="Tabla1" ref="A5:G62" totalsRowShown="0" headerRowDxfId="38" dataDxfId="36" headerRowBorderDxfId="37" tableBorderDxfId="35">
  <autoFilter ref="A5:G62" xr:uid="{5DCD4829-DA11-4EC6-9C5E-670AD6CE87D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E5B7474E-42AD-4154-A628-C57FC662340B}" name="departamento" dataDxfId="6"/>
    <tableColumn id="2" xr3:uid="{5DF600C2-641C-4710-85C6-9DE9CF68ACC5}" name="año" dataDxfId="5"/>
    <tableColumn id="3" xr3:uid="{83C99EF3-B441-4F34-A25C-BD498652FFFA}" name="pbi_percapita" dataDxfId="3"/>
    <tableColumn id="4" xr3:uid="{9A75C96C-1DEC-45DD-A0A9-36FEB6099E59}" name="pobreza_total" dataDxfId="2"/>
    <tableColumn id="5" xr3:uid="{AEEDC68A-0024-447E-8B9F-680B6C38ECC8}" name="pobreza_extrema" dataDxfId="0"/>
    <tableColumn id="6" xr3:uid="{573A52E6-7AB4-4B8D-B3C1-CCABF22336C9}" name="gasto_social" dataDxfId="1">
      <calculatedColumnFormula>+La_Libertad!E6</calculatedColumnFormula>
    </tableColumn>
    <tableColumn id="7" xr3:uid="{5F9C8763-8A57-47C8-9DB2-9425AB571C8A}" name="ingreso_trabajo" dataDxf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329A5CD-30EF-42A0-9DAE-77CEA5A1CE06}" name="Tabla35" displayName="Tabla35" ref="A5:F28" totalsRowShown="0" headerRowDxfId="34" headerRowBorderDxfId="33">
  <autoFilter ref="A5:F28" xr:uid="{A329A5CD-30EF-42A0-9DAE-77CEA5A1CE0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1EE38051-6AEF-4117-9455-6BABCA29CCF9}" name="año" dataDxfId="32"/>
    <tableColumn id="2" xr3:uid="{DFE02F3A-3478-4ED3-B37C-122A706763CC}" name="pbi_percapita" dataDxfId="31">
      <calculatedColumnFormula>+'c-497'!B6</calculatedColumnFormula>
    </tableColumn>
    <tableColumn id="3" xr3:uid="{355D911E-4C04-47CD-AEC5-45BCFD6747C5}" name="pobreza_total_la_libertad" dataDxfId="30"/>
    <tableColumn id="4" xr3:uid="{9079891E-FFD0-4B38-A37D-5830509FF189}" name="pobreza_extrema_la_libertad" dataDxfId="29"/>
    <tableColumn id="5" xr3:uid="{B436B09C-C5A6-4C6B-899F-9F2778D15312}" name="gasto_social_real" dataDxfId="28">
      <calculatedColumnFormula>B122</calculatedColumnFormula>
    </tableColumn>
    <tableColumn id="6" xr3:uid="{CF22A66E-FEA9-4893-8B34-A252920130D2}" name="ingreso_trabajo_anual" dataDxfId="27">
      <calculatedColumnFormula>G152</calculatedColumnFormula>
    </tableColumn>
  </tableColumns>
  <tableStyleInfo name="TableStyleMedium1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F515F47-BDC8-4BBF-BD30-3E1883DF71CB}" name="Tabla356" displayName="Tabla356" ref="A5:F28" totalsRowShown="0" headerRowDxfId="26" headerRowBorderDxfId="25">
  <autoFilter ref="A5:F28" xr:uid="{0F515F47-BDC8-4BBF-BD30-3E1883DF71C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73572E0D-2BB0-4840-B761-9E014C8C28BD}" name="año" dataDxfId="24"/>
    <tableColumn id="2" xr3:uid="{865DF523-AE2F-42E5-A7A2-E2867CA72689}" name="pbi_percapita" dataDxfId="23">
      <calculatedColumnFormula>+'c-497'!B6</calculatedColumnFormula>
    </tableColumn>
    <tableColumn id="3" xr3:uid="{D54BD2D7-9C12-4B2B-BDAE-9A06A197B5B9}" name="pobreza_total_piura" dataDxfId="22"/>
    <tableColumn id="4" xr3:uid="{E9AF1140-BCAF-4D57-9E97-F6EE350188D2}" name="pobreza_extrema_piura" dataDxfId="21"/>
    <tableColumn id="5" xr3:uid="{6EF822CB-DDF7-4EE8-9EFB-89B895386648}" name="gasto_social_real" dataDxfId="20">
      <calculatedColumnFormula>B122</calculatedColumnFormula>
    </tableColumn>
    <tableColumn id="6" xr3:uid="{57AF7D15-C180-45F5-92B1-0339D13550F7}" name="ingreso_trabajo_anual" dataDxfId="19">
      <calculatedColumnFormula>G152</calculatedColumnFormula>
    </tableColumn>
  </tableColumns>
  <tableStyleInfo name="TableStyleMedium13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F6D1424-1071-4407-BECA-2C45D1090CFD}" name="Tabla3567" displayName="Tabla3567" ref="A5:F28" totalsRowShown="0" headerRowDxfId="18" headerRowBorderDxfId="17">
  <autoFilter ref="A5:F28" xr:uid="{3F6D1424-1071-4407-BECA-2C45D1090CF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4CC0E9BE-FE29-4EC7-B5D1-3B5ACF93C2EE}" name="año" dataDxfId="16"/>
    <tableColumn id="2" xr3:uid="{53ED079B-C72B-4E1E-97B1-3BE80FECE7ED}" name="pbi_percapita" dataDxfId="15">
      <calculatedColumnFormula>+'c-497'!B6</calculatedColumnFormula>
    </tableColumn>
    <tableColumn id="3" xr3:uid="{092B8482-0A70-4FEF-9DEB-2C67FF5C3DFA}" name="pobreza_total_lambayeque" dataDxfId="14"/>
    <tableColumn id="4" xr3:uid="{71819708-C929-4E9A-AEF9-833FAF127A69}" name="pobreza_extrema_lambayeque" dataDxfId="13"/>
    <tableColumn id="5" xr3:uid="{03EBC63E-EE03-410A-83EF-5C9CC5684919}" name="gasto_social_real" dataDxfId="12">
      <calculatedColumnFormula>B122</calculatedColumnFormula>
    </tableColumn>
    <tableColumn id="6" xr3:uid="{765B586C-26EC-49EF-92B8-CEDBD926DD5B}" name="ingreso_trabajo_anual" dataDxfId="11">
      <calculatedColumnFormula>G152</calculatedColumnFormula>
    </tableColumn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0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1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2.xml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0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83.xml"/></Relationships>
</file>

<file path=xl/worksheets/_rels/sheet40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484.xml"/></Relationships>
</file>

<file path=xl/worksheets/_rels/sheet40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48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23"/>
  <sheetViews>
    <sheetView workbookViewId="0">
      <selection sqref="A1:A24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531" t="s">
        <v>301</v>
      </c>
      <c r="B1" s="324"/>
      <c r="C1" s="532" t="s">
        <v>328</v>
      </c>
      <c r="D1" s="532"/>
      <c r="E1" s="532"/>
      <c r="F1" s="532"/>
      <c r="G1" s="532"/>
      <c r="H1" s="532"/>
      <c r="I1" s="532"/>
      <c r="J1" s="532"/>
      <c r="K1" s="532"/>
      <c r="L1" s="532"/>
      <c r="M1" s="532"/>
    </row>
    <row r="2" spans="1:20" ht="2.25" customHeight="1" x14ac:dyDescent="0.35">
      <c r="A2" s="531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531"/>
      <c r="B3" s="324"/>
      <c r="C3" s="530" t="s">
        <v>302</v>
      </c>
      <c r="D3" s="530"/>
      <c r="E3" s="530"/>
      <c r="F3" s="530"/>
      <c r="G3" s="530"/>
      <c r="H3" s="530"/>
      <c r="I3" s="530"/>
      <c r="J3" s="530"/>
      <c r="K3" s="530"/>
      <c r="L3" s="530"/>
      <c r="M3" s="530"/>
      <c r="N3" s="530"/>
      <c r="O3" s="530"/>
    </row>
    <row r="4" spans="1:20" s="305" customFormat="1" x14ac:dyDescent="0.35">
      <c r="A4" s="531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531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531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531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531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531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531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531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531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531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531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531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531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531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531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531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531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531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531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531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531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530" t="s">
        <v>74</v>
      </c>
      <c r="D84" s="530"/>
      <c r="E84" s="530"/>
      <c r="F84" s="530"/>
      <c r="G84" s="530"/>
      <c r="H84" s="530"/>
      <c r="I84" s="530"/>
      <c r="J84" s="530"/>
      <c r="K84" s="530"/>
      <c r="L84" s="530"/>
      <c r="M84" s="530"/>
      <c r="N84" s="530"/>
      <c r="O84" s="530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530" t="s">
        <v>75</v>
      </c>
      <c r="D189" s="530"/>
      <c r="E189" s="530"/>
      <c r="F189" s="530"/>
      <c r="G189" s="530"/>
      <c r="H189" s="530"/>
      <c r="I189" s="530"/>
      <c r="J189" s="530"/>
      <c r="K189" s="530"/>
      <c r="L189" s="530"/>
      <c r="M189" s="530"/>
      <c r="N189" s="530"/>
      <c r="O189" s="530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530" t="s">
        <v>125</v>
      </c>
      <c r="D360" s="530"/>
      <c r="E360" s="530"/>
      <c r="F360" s="530"/>
      <c r="G360" s="530"/>
      <c r="H360" s="530"/>
      <c r="I360" s="530"/>
      <c r="J360" s="530"/>
      <c r="K360" s="530"/>
      <c r="L360" s="530"/>
      <c r="M360" s="530"/>
      <c r="N360" s="530"/>
      <c r="O360" s="530"/>
    </row>
    <row r="361" spans="3:20" ht="19.5" customHeight="1" x14ac:dyDescent="0.35">
      <c r="C361" s="530" t="s">
        <v>129</v>
      </c>
      <c r="D361" s="530"/>
      <c r="E361" s="530"/>
      <c r="F361" s="530"/>
      <c r="G361" s="530"/>
      <c r="H361" s="530"/>
      <c r="I361" s="530"/>
      <c r="J361" s="530"/>
      <c r="K361" s="530"/>
      <c r="L361" s="530"/>
      <c r="M361" s="530"/>
      <c r="N361" s="530"/>
      <c r="O361" s="530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530" t="s">
        <v>130</v>
      </c>
      <c r="D412" s="530"/>
      <c r="E412" s="530"/>
      <c r="F412" s="530"/>
      <c r="G412" s="530"/>
      <c r="H412" s="530"/>
      <c r="I412" s="530"/>
      <c r="J412" s="530"/>
      <c r="K412" s="530"/>
      <c r="L412" s="530"/>
      <c r="M412" s="530"/>
      <c r="N412" s="530"/>
      <c r="O412" s="530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858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861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872</v>
      </c>
    </row>
    <row r="517" spans="3:15" x14ac:dyDescent="0.35">
      <c r="D517" s="316" t="s">
        <v>137</v>
      </c>
      <c r="E517" s="314">
        <v>499</v>
      </c>
      <c r="G517" s="327" t="s">
        <v>871</v>
      </c>
    </row>
    <row r="518" spans="3:15" x14ac:dyDescent="0.35">
      <c r="D518" s="316" t="s">
        <v>137</v>
      </c>
      <c r="E518" s="314">
        <v>500</v>
      </c>
      <c r="G518" s="327" t="s">
        <v>897</v>
      </c>
    </row>
    <row r="519" spans="3:15" x14ac:dyDescent="0.35">
      <c r="D519" s="316" t="s">
        <v>137</v>
      </c>
      <c r="E519" s="314">
        <v>501</v>
      </c>
      <c r="G519" s="327" t="s">
        <v>898</v>
      </c>
    </row>
    <row r="520" spans="3:15" x14ac:dyDescent="0.35">
      <c r="D520" s="316" t="s">
        <v>137</v>
      </c>
      <c r="E520" s="314">
        <v>502</v>
      </c>
      <c r="G520" s="327" t="s">
        <v>964</v>
      </c>
    </row>
    <row r="521" spans="3:15" x14ac:dyDescent="0.35">
      <c r="D521" s="316" t="s">
        <v>137</v>
      </c>
      <c r="E521" s="314">
        <v>503</v>
      </c>
      <c r="G521" s="327" t="s">
        <v>943</v>
      </c>
    </row>
    <row r="522" spans="3:15" x14ac:dyDescent="0.35">
      <c r="D522" s="316" t="s">
        <v>137</v>
      </c>
      <c r="E522" s="314">
        <v>504</v>
      </c>
      <c r="G522" s="327" t="s">
        <v>955</v>
      </c>
    </row>
    <row r="523" spans="3:15" x14ac:dyDescent="0.35">
      <c r="D523" s="316" t="s">
        <v>137</v>
      </c>
      <c r="E523" s="314">
        <v>505</v>
      </c>
      <c r="G523" s="327" t="s">
        <v>965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  <hyperlink ref="E520" location="'c-502'!A1" display="'c-502'!A1" xr:uid="{EDAC704A-440F-402D-AE3D-A2B6BAA491D7}"/>
    <hyperlink ref="E521" location="'c-503'!A1" display="'c-503'!A1" xr:uid="{17A21B33-A4DB-4394-8258-04FD6F8F52E7}"/>
    <hyperlink ref="E522" location="'c-504'!A1" display="'c-504'!A1" xr:uid="{02F1F354-3827-4F9D-8260-CFC96312F2D6}"/>
    <hyperlink ref="E523" location="'c-505'!A1" display="'c-505'!A1" xr:uid="{28629D9A-01E3-438F-92BA-2114AC3D1462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492" t="s">
        <v>15</v>
      </c>
      <c r="B21" s="493">
        <v>6880023</v>
      </c>
      <c r="C21" s="493">
        <v>7512522</v>
      </c>
      <c r="D21" s="493">
        <v>7910362</v>
      </c>
      <c r="E21" s="493">
        <v>8449884</v>
      </c>
      <c r="F21" s="493">
        <v>8937792</v>
      </c>
      <c r="G21" s="493">
        <v>9782672</v>
      </c>
      <c r="H21" s="493">
        <v>10138533</v>
      </c>
      <c r="I21" s="493">
        <v>10354938</v>
      </c>
      <c r="J21" s="493">
        <v>10809529</v>
      </c>
      <c r="K21" s="493">
        <v>11080412</v>
      </c>
      <c r="L21" s="493">
        <v>11371483</v>
      </c>
      <c r="M21" s="493">
        <v>11837862</v>
      </c>
      <c r="N21" s="493">
        <v>12113549</v>
      </c>
      <c r="O21" s="493">
        <v>11345968</v>
      </c>
      <c r="P21" s="493">
        <v>13078099</v>
      </c>
      <c r="Q21" s="493">
        <v>13361231</v>
      </c>
      <c r="R21" s="493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492" t="s">
        <v>21</v>
      </c>
      <c r="B27" s="493">
        <v>12651720</v>
      </c>
      <c r="C27" s="493">
        <v>13580502</v>
      </c>
      <c r="D27" s="493">
        <v>13998851</v>
      </c>
      <c r="E27" s="493">
        <v>15106528</v>
      </c>
      <c r="F27" s="493">
        <v>16366999</v>
      </c>
      <c r="G27" s="493">
        <v>17066135</v>
      </c>
      <c r="H27" s="493">
        <v>17746782</v>
      </c>
      <c r="I27" s="493">
        <v>18750443</v>
      </c>
      <c r="J27" s="493">
        <v>18866671</v>
      </c>
      <c r="K27" s="493">
        <v>18924869</v>
      </c>
      <c r="L27" s="493">
        <v>18473111</v>
      </c>
      <c r="M27" s="493">
        <v>19758433</v>
      </c>
      <c r="N27" s="493">
        <v>20626256</v>
      </c>
      <c r="O27" s="493">
        <v>18879119</v>
      </c>
      <c r="P27" s="493">
        <v>21145698</v>
      </c>
      <c r="Q27" s="493">
        <v>21050225</v>
      </c>
      <c r="R27" s="493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533"/>
      <c r="B1" s="533"/>
      <c r="C1" s="533"/>
      <c r="D1" s="533"/>
      <c r="E1" s="533"/>
      <c r="F1" s="533"/>
      <c r="G1" s="533"/>
      <c r="H1" s="105"/>
      <c r="I1" s="105"/>
      <c r="J1" s="218"/>
    </row>
    <row r="2" spans="1:12" ht="15.6" x14ac:dyDescent="0.3">
      <c r="A2" s="533"/>
      <c r="B2" s="533"/>
      <c r="C2" s="533"/>
      <c r="D2" s="533"/>
      <c r="E2" s="533"/>
      <c r="F2" s="533"/>
      <c r="G2" s="533"/>
      <c r="H2" s="105"/>
      <c r="I2" s="105"/>
      <c r="J2" s="218"/>
    </row>
    <row r="3" spans="1:12" ht="15.6" x14ac:dyDescent="0.3">
      <c r="A3" s="533"/>
      <c r="B3" s="533"/>
      <c r="C3" s="533"/>
      <c r="D3" s="533"/>
      <c r="E3" s="533"/>
      <c r="F3" s="533"/>
      <c r="G3" s="533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533"/>
      <c r="B36" s="533"/>
      <c r="C36" s="533"/>
      <c r="D36" s="533"/>
      <c r="E36" s="533"/>
      <c r="F36" s="533"/>
      <c r="G36" s="533"/>
      <c r="H36" s="533"/>
      <c r="I36" s="91"/>
    </row>
    <row r="37" spans="1:13" ht="15.6" x14ac:dyDescent="0.3">
      <c r="A37" s="534"/>
      <c r="B37" s="534"/>
      <c r="C37" s="534"/>
      <c r="D37" s="534"/>
      <c r="E37" s="534"/>
      <c r="F37" s="534"/>
      <c r="G37" s="534"/>
      <c r="H37" s="534"/>
      <c r="I37" s="106"/>
    </row>
    <row r="38" spans="1:13" ht="15.6" x14ac:dyDescent="0.3">
      <c r="A38" s="533"/>
      <c r="B38" s="533"/>
      <c r="C38" s="533"/>
      <c r="D38" s="533"/>
      <c r="E38" s="533"/>
      <c r="F38" s="533"/>
      <c r="G38" s="533"/>
      <c r="H38" s="533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533"/>
      <c r="B1" s="533"/>
      <c r="C1" s="533"/>
      <c r="D1" s="533"/>
      <c r="E1" s="533"/>
      <c r="F1" s="533"/>
      <c r="G1" s="533"/>
      <c r="H1" s="533"/>
      <c r="I1" s="80"/>
      <c r="J1" s="83"/>
    </row>
    <row r="2" spans="1:12" ht="15.6" x14ac:dyDescent="0.3">
      <c r="A2" s="533"/>
      <c r="B2" s="533"/>
      <c r="C2" s="533"/>
      <c r="D2" s="533"/>
      <c r="E2" s="533"/>
      <c r="F2" s="533"/>
      <c r="G2" s="533"/>
      <c r="H2" s="533"/>
      <c r="I2" s="80"/>
      <c r="J2" s="83"/>
    </row>
    <row r="3" spans="1:12" ht="15.6" x14ac:dyDescent="0.3">
      <c r="A3" s="533"/>
      <c r="B3" s="533"/>
      <c r="C3" s="533"/>
      <c r="D3" s="533"/>
      <c r="E3" s="533"/>
      <c r="F3" s="533"/>
      <c r="G3" s="533"/>
      <c r="H3" s="533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5"/>
      <c r="B30" s="535"/>
      <c r="C30" s="535"/>
      <c r="D30" s="535"/>
      <c r="E30" s="535"/>
      <c r="F30" s="535"/>
      <c r="G30" s="535"/>
      <c r="H30" s="535"/>
      <c r="I30" s="83"/>
    </row>
    <row r="31" spans="1:18" ht="15.6" x14ac:dyDescent="0.3">
      <c r="A31" s="533"/>
      <c r="B31" s="533"/>
      <c r="C31" s="533"/>
      <c r="D31" s="533"/>
      <c r="E31" s="533"/>
      <c r="F31" s="533"/>
      <c r="G31" s="533"/>
      <c r="H31" s="533"/>
      <c r="I31" s="533"/>
      <c r="J31" s="533"/>
    </row>
    <row r="32" spans="1:18" ht="15.6" x14ac:dyDescent="0.3">
      <c r="A32" s="534"/>
      <c r="B32" s="534"/>
      <c r="C32" s="534"/>
      <c r="D32" s="534"/>
      <c r="E32" s="534"/>
      <c r="F32" s="534"/>
      <c r="G32" s="534"/>
      <c r="H32" s="534"/>
      <c r="I32" s="534"/>
      <c r="J32" s="534"/>
    </row>
    <row r="33" spans="1:10" ht="15.6" x14ac:dyDescent="0.3">
      <c r="A33" s="533"/>
      <c r="B33" s="533"/>
      <c r="C33" s="533"/>
      <c r="D33" s="533"/>
      <c r="E33" s="533"/>
      <c r="F33" s="533"/>
      <c r="G33" s="533"/>
      <c r="H33" s="533"/>
      <c r="I33" s="533"/>
      <c r="J33" s="53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3"/>
      <c r="B1" s="533"/>
      <c r="C1" s="533"/>
      <c r="D1" s="533"/>
      <c r="E1" s="533"/>
      <c r="F1" s="533"/>
      <c r="G1" s="533"/>
      <c r="H1" s="533"/>
      <c r="I1" s="80"/>
      <c r="J1" s="83"/>
    </row>
    <row r="2" spans="1:10" ht="15.6" x14ac:dyDescent="0.3">
      <c r="A2" s="533"/>
      <c r="B2" s="533"/>
      <c r="C2" s="533"/>
      <c r="D2" s="533"/>
      <c r="E2" s="533"/>
      <c r="F2" s="533"/>
      <c r="G2" s="533"/>
      <c r="H2" s="533"/>
      <c r="I2" s="80"/>
      <c r="J2" s="83"/>
    </row>
    <row r="3" spans="1:10" ht="15.6" x14ac:dyDescent="0.3">
      <c r="A3" s="533"/>
      <c r="B3" s="533"/>
      <c r="C3" s="533"/>
      <c r="D3" s="533"/>
      <c r="E3" s="533"/>
      <c r="F3" s="533"/>
      <c r="G3" s="533"/>
      <c r="H3" s="53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5"/>
      <c r="B30" s="535"/>
      <c r="C30" s="535"/>
      <c r="D30" s="535"/>
      <c r="E30" s="535"/>
      <c r="F30" s="535"/>
      <c r="G30" s="535"/>
      <c r="H30" s="535"/>
      <c r="I30" s="83"/>
    </row>
    <row r="31" spans="1:18" ht="15.6" x14ac:dyDescent="0.3">
      <c r="A31" s="533"/>
      <c r="B31" s="533"/>
      <c r="C31" s="533"/>
      <c r="D31" s="533"/>
      <c r="E31" s="533"/>
      <c r="F31" s="533"/>
      <c r="G31" s="533"/>
      <c r="H31" s="533"/>
      <c r="I31" s="533"/>
      <c r="J31" s="533"/>
    </row>
    <row r="32" spans="1:18" ht="15.6" x14ac:dyDescent="0.3">
      <c r="A32" s="534"/>
      <c r="B32" s="534"/>
      <c r="C32" s="534"/>
      <c r="D32" s="534"/>
      <c r="E32" s="534"/>
      <c r="F32" s="534"/>
      <c r="G32" s="534"/>
      <c r="H32" s="534"/>
      <c r="I32" s="534"/>
      <c r="J32" s="534"/>
    </row>
    <row r="33" spans="1:10" ht="15.6" x14ac:dyDescent="0.3">
      <c r="A33" s="533"/>
      <c r="B33" s="533"/>
      <c r="C33" s="533"/>
      <c r="D33" s="533"/>
      <c r="E33" s="533"/>
      <c r="F33" s="533"/>
      <c r="G33" s="533"/>
      <c r="H33" s="533"/>
      <c r="I33" s="533"/>
      <c r="J33" s="53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3"/>
      <c r="B1" s="533"/>
      <c r="C1" s="533"/>
      <c r="D1" s="533"/>
      <c r="E1" s="533"/>
      <c r="F1" s="533"/>
      <c r="G1" s="533"/>
      <c r="H1" s="533"/>
      <c r="I1" s="80"/>
      <c r="J1" s="83"/>
    </row>
    <row r="2" spans="1:10" ht="15.6" x14ac:dyDescent="0.3">
      <c r="A2" s="533"/>
      <c r="B2" s="533"/>
      <c r="C2" s="533"/>
      <c r="D2" s="533"/>
      <c r="E2" s="533"/>
      <c r="F2" s="533"/>
      <c r="G2" s="533"/>
      <c r="H2" s="533"/>
      <c r="I2" s="80"/>
      <c r="J2" s="83"/>
    </row>
    <row r="3" spans="1:10" ht="15.6" x14ac:dyDescent="0.3">
      <c r="A3" s="533"/>
      <c r="B3" s="533"/>
      <c r="C3" s="533"/>
      <c r="D3" s="533"/>
      <c r="E3" s="533"/>
      <c r="F3" s="533"/>
      <c r="G3" s="533"/>
      <c r="H3" s="53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5"/>
      <c r="B30" s="535"/>
      <c r="C30" s="535"/>
      <c r="D30" s="535"/>
      <c r="E30" s="535"/>
      <c r="F30" s="535"/>
      <c r="G30" s="535"/>
      <c r="H30" s="535"/>
      <c r="I30" s="83"/>
    </row>
    <row r="31" spans="1:18" ht="15.6" x14ac:dyDescent="0.3">
      <c r="A31" s="533"/>
      <c r="B31" s="533"/>
      <c r="C31" s="533"/>
      <c r="D31" s="533"/>
      <c r="E31" s="533"/>
      <c r="F31" s="533"/>
      <c r="G31" s="533"/>
      <c r="H31" s="533"/>
      <c r="I31" s="533"/>
      <c r="J31" s="533"/>
    </row>
    <row r="32" spans="1:18" ht="15.6" x14ac:dyDescent="0.3">
      <c r="A32" s="534"/>
      <c r="B32" s="534"/>
      <c r="C32" s="534"/>
      <c r="D32" s="534"/>
      <c r="E32" s="534"/>
      <c r="F32" s="534"/>
      <c r="G32" s="534"/>
      <c r="H32" s="534"/>
      <c r="I32" s="534"/>
      <c r="J32" s="534"/>
    </row>
    <row r="33" spans="1:10" ht="15.6" x14ac:dyDescent="0.3">
      <c r="A33" s="533"/>
      <c r="B33" s="533"/>
      <c r="C33" s="533"/>
      <c r="D33" s="533"/>
      <c r="E33" s="533"/>
      <c r="F33" s="533"/>
      <c r="G33" s="533"/>
      <c r="H33" s="533"/>
      <c r="I33" s="533"/>
      <c r="J33" s="53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3"/>
      <c r="B1" s="533"/>
      <c r="C1" s="533"/>
      <c r="D1" s="533"/>
      <c r="E1" s="533"/>
      <c r="F1" s="533"/>
      <c r="G1" s="533"/>
      <c r="H1" s="533"/>
      <c r="I1" s="80"/>
      <c r="J1" s="83"/>
    </row>
    <row r="2" spans="1:10" ht="15.6" x14ac:dyDescent="0.3">
      <c r="A2" s="533"/>
      <c r="B2" s="533"/>
      <c r="C2" s="533"/>
      <c r="D2" s="533"/>
      <c r="E2" s="533"/>
      <c r="F2" s="533"/>
      <c r="G2" s="533"/>
      <c r="H2" s="533"/>
      <c r="I2" s="80"/>
      <c r="J2" s="83"/>
    </row>
    <row r="3" spans="1:10" ht="15.6" x14ac:dyDescent="0.3">
      <c r="A3" s="533"/>
      <c r="B3" s="533"/>
      <c r="C3" s="533"/>
      <c r="D3" s="533"/>
      <c r="E3" s="533"/>
      <c r="F3" s="533"/>
      <c r="G3" s="533"/>
      <c r="H3" s="53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5"/>
      <c r="B30" s="535"/>
      <c r="C30" s="535"/>
      <c r="D30" s="535"/>
      <c r="E30" s="535"/>
      <c r="F30" s="535"/>
      <c r="G30" s="535"/>
      <c r="H30" s="535"/>
      <c r="I30" s="83"/>
    </row>
    <row r="31" spans="1:18" ht="15.6" x14ac:dyDescent="0.3">
      <c r="A31" s="533"/>
      <c r="B31" s="533"/>
      <c r="C31" s="533"/>
      <c r="D31" s="533"/>
      <c r="E31" s="533"/>
      <c r="F31" s="533"/>
      <c r="G31" s="533"/>
      <c r="H31" s="533"/>
      <c r="I31" s="533"/>
      <c r="J31" s="533"/>
    </row>
    <row r="32" spans="1:18" ht="15.6" x14ac:dyDescent="0.3">
      <c r="A32" s="534"/>
      <c r="B32" s="534"/>
      <c r="C32" s="534"/>
      <c r="D32" s="534"/>
      <c r="E32" s="534"/>
      <c r="F32" s="534"/>
      <c r="G32" s="534"/>
      <c r="H32" s="534"/>
      <c r="I32" s="534"/>
      <c r="J32" s="534"/>
    </row>
    <row r="33" spans="1:10" ht="15.6" x14ac:dyDescent="0.3">
      <c r="A33" s="533"/>
      <c r="B33" s="533"/>
      <c r="C33" s="533"/>
      <c r="D33" s="533"/>
      <c r="E33" s="533"/>
      <c r="F33" s="533"/>
      <c r="G33" s="533"/>
      <c r="H33" s="533"/>
      <c r="I33" s="533"/>
      <c r="J33" s="53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3"/>
      <c r="B1" s="533"/>
      <c r="C1" s="533"/>
      <c r="D1" s="533"/>
      <c r="E1" s="533"/>
      <c r="F1" s="533"/>
      <c r="G1" s="533"/>
      <c r="H1" s="533"/>
      <c r="I1" s="80"/>
      <c r="J1" s="83"/>
    </row>
    <row r="2" spans="1:10" ht="15.6" x14ac:dyDescent="0.3">
      <c r="A2" s="533"/>
      <c r="B2" s="533"/>
      <c r="C2" s="533"/>
      <c r="D2" s="533"/>
      <c r="E2" s="533"/>
      <c r="F2" s="533"/>
      <c r="G2" s="533"/>
      <c r="H2" s="533"/>
      <c r="I2" s="80"/>
      <c r="J2" s="83"/>
    </row>
    <row r="3" spans="1:10" ht="15.6" x14ac:dyDescent="0.3">
      <c r="A3" s="533"/>
      <c r="B3" s="533"/>
      <c r="C3" s="533"/>
      <c r="D3" s="533"/>
      <c r="E3" s="533"/>
      <c r="F3" s="533"/>
      <c r="G3" s="533"/>
      <c r="H3" s="53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5"/>
      <c r="B30" s="535"/>
      <c r="C30" s="535"/>
      <c r="D30" s="535"/>
      <c r="E30" s="535"/>
      <c r="F30" s="535"/>
      <c r="G30" s="535"/>
      <c r="H30" s="535"/>
      <c r="I30" s="83"/>
    </row>
    <row r="31" spans="1:18" ht="15.6" x14ac:dyDescent="0.3">
      <c r="A31" s="533"/>
      <c r="B31" s="533"/>
      <c r="C31" s="533"/>
      <c r="D31" s="533"/>
      <c r="E31" s="533"/>
      <c r="F31" s="533"/>
      <c r="G31" s="533"/>
      <c r="H31" s="533"/>
      <c r="I31" s="533"/>
      <c r="J31" s="533"/>
    </row>
    <row r="32" spans="1:18" ht="15.6" x14ac:dyDescent="0.3">
      <c r="A32" s="534"/>
      <c r="B32" s="534"/>
      <c r="C32" s="534"/>
      <c r="D32" s="534"/>
      <c r="E32" s="534"/>
      <c r="F32" s="534"/>
      <c r="G32" s="534"/>
      <c r="H32" s="534"/>
      <c r="I32" s="534"/>
      <c r="J32" s="534"/>
    </row>
    <row r="33" spans="1:10" ht="15.6" x14ac:dyDescent="0.3">
      <c r="A33" s="533"/>
      <c r="B33" s="533"/>
      <c r="C33" s="533"/>
      <c r="D33" s="533"/>
      <c r="E33" s="533"/>
      <c r="F33" s="533"/>
      <c r="G33" s="533"/>
      <c r="H33" s="533"/>
      <c r="I33" s="533"/>
      <c r="J33" s="53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3"/>
      <c r="B1" s="533"/>
      <c r="C1" s="533"/>
      <c r="D1" s="533"/>
      <c r="E1" s="533"/>
      <c r="F1" s="533"/>
      <c r="G1" s="533"/>
      <c r="H1" s="533"/>
      <c r="I1" s="80"/>
      <c r="J1" s="83"/>
    </row>
    <row r="2" spans="1:10" ht="15.6" x14ac:dyDescent="0.3">
      <c r="A2" s="533"/>
      <c r="B2" s="533"/>
      <c r="C2" s="533"/>
      <c r="D2" s="533"/>
      <c r="E2" s="533"/>
      <c r="F2" s="533"/>
      <c r="G2" s="533"/>
      <c r="H2" s="533"/>
      <c r="I2" s="80"/>
      <c r="J2" s="83"/>
    </row>
    <row r="3" spans="1:10" ht="15.6" x14ac:dyDescent="0.3">
      <c r="A3" s="533"/>
      <c r="B3" s="533"/>
      <c r="C3" s="533"/>
      <c r="D3" s="533"/>
      <c r="E3" s="533"/>
      <c r="F3" s="533"/>
      <c r="G3" s="533"/>
      <c r="H3" s="53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5"/>
      <c r="B30" s="535"/>
      <c r="C30" s="535"/>
      <c r="D30" s="535"/>
      <c r="E30" s="535"/>
      <c r="F30" s="535"/>
      <c r="G30" s="535"/>
      <c r="H30" s="535"/>
      <c r="I30" s="83"/>
    </row>
    <row r="31" spans="1:18" ht="15.6" x14ac:dyDescent="0.3">
      <c r="A31" s="533"/>
      <c r="B31" s="533"/>
      <c r="C31" s="533"/>
      <c r="D31" s="533"/>
      <c r="E31" s="533"/>
      <c r="F31" s="533"/>
      <c r="G31" s="533"/>
      <c r="H31" s="533"/>
      <c r="I31" s="533"/>
      <c r="J31" s="533"/>
    </row>
    <row r="32" spans="1:18" ht="15.6" x14ac:dyDescent="0.3">
      <c r="A32" s="534"/>
      <c r="B32" s="534"/>
      <c r="C32" s="534"/>
      <c r="D32" s="534"/>
      <c r="E32" s="534"/>
      <c r="F32" s="534"/>
      <c r="G32" s="534"/>
      <c r="H32" s="534"/>
      <c r="I32" s="534"/>
      <c r="J32" s="534"/>
    </row>
    <row r="33" spans="1:10" ht="15.6" x14ac:dyDescent="0.3">
      <c r="A33" s="533"/>
      <c r="B33" s="533"/>
      <c r="C33" s="533"/>
      <c r="D33" s="533"/>
      <c r="E33" s="533"/>
      <c r="F33" s="533"/>
      <c r="G33" s="533"/>
      <c r="H33" s="533"/>
      <c r="I33" s="533"/>
      <c r="J33" s="53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3"/>
      <c r="B1" s="533"/>
      <c r="C1" s="533"/>
      <c r="D1" s="533"/>
      <c r="E1" s="533"/>
      <c r="F1" s="533"/>
      <c r="G1" s="533"/>
      <c r="H1" s="533"/>
      <c r="I1" s="80"/>
      <c r="J1" s="83"/>
    </row>
    <row r="2" spans="1:10" ht="15.6" x14ac:dyDescent="0.3">
      <c r="A2" s="533"/>
      <c r="B2" s="533"/>
      <c r="C2" s="533"/>
      <c r="D2" s="533"/>
      <c r="E2" s="533"/>
      <c r="F2" s="533"/>
      <c r="G2" s="533"/>
      <c r="H2" s="533"/>
      <c r="I2" s="80"/>
      <c r="J2" s="83"/>
    </row>
    <row r="3" spans="1:10" ht="15.6" x14ac:dyDescent="0.3">
      <c r="A3" s="533"/>
      <c r="B3" s="533"/>
      <c r="C3" s="533"/>
      <c r="D3" s="533"/>
      <c r="E3" s="533"/>
      <c r="F3" s="533"/>
      <c r="G3" s="533"/>
      <c r="H3" s="53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5"/>
      <c r="B30" s="535"/>
      <c r="C30" s="535"/>
      <c r="D30" s="535"/>
      <c r="E30" s="535"/>
      <c r="F30" s="535"/>
      <c r="G30" s="535"/>
      <c r="H30" s="535"/>
      <c r="I30" s="83"/>
    </row>
    <row r="31" spans="1:18" ht="15.6" x14ac:dyDescent="0.3">
      <c r="A31" s="533"/>
      <c r="B31" s="533"/>
      <c r="C31" s="533"/>
      <c r="D31" s="533"/>
      <c r="E31" s="533"/>
      <c r="F31" s="533"/>
      <c r="G31" s="533"/>
      <c r="H31" s="533"/>
      <c r="I31" s="533"/>
      <c r="J31" s="533"/>
    </row>
    <row r="32" spans="1:18" ht="15.6" x14ac:dyDescent="0.3">
      <c r="A32" s="534"/>
      <c r="B32" s="534"/>
      <c r="C32" s="534"/>
      <c r="D32" s="534"/>
      <c r="E32" s="534"/>
      <c r="F32" s="534"/>
      <c r="G32" s="534"/>
      <c r="H32" s="534"/>
      <c r="I32" s="534"/>
      <c r="J32" s="534"/>
    </row>
    <row r="33" spans="1:10" ht="15.6" x14ac:dyDescent="0.3">
      <c r="A33" s="533"/>
      <c r="B33" s="533"/>
      <c r="C33" s="533"/>
      <c r="D33" s="533"/>
      <c r="E33" s="533"/>
      <c r="F33" s="533"/>
      <c r="G33" s="533"/>
      <c r="H33" s="533"/>
      <c r="I33" s="533"/>
      <c r="J33" s="53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3"/>
      <c r="B1" s="533"/>
      <c r="C1" s="533"/>
      <c r="D1" s="533"/>
      <c r="E1" s="533"/>
      <c r="F1" s="533"/>
      <c r="G1" s="533"/>
      <c r="H1" s="533"/>
      <c r="I1" s="80"/>
      <c r="J1" s="83"/>
    </row>
    <row r="2" spans="1:10" ht="15.6" x14ac:dyDescent="0.3">
      <c r="A2" s="533"/>
      <c r="B2" s="533"/>
      <c r="C2" s="533"/>
      <c r="D2" s="533"/>
      <c r="E2" s="533"/>
      <c r="F2" s="533"/>
      <c r="G2" s="533"/>
      <c r="H2" s="533"/>
      <c r="I2" s="80"/>
      <c r="J2" s="83"/>
    </row>
    <row r="3" spans="1:10" ht="15.6" x14ac:dyDescent="0.3">
      <c r="A3" s="533"/>
      <c r="B3" s="533"/>
      <c r="C3" s="533"/>
      <c r="D3" s="533"/>
      <c r="E3" s="533"/>
      <c r="F3" s="533"/>
      <c r="G3" s="533"/>
      <c r="H3" s="53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5"/>
      <c r="B30" s="535"/>
      <c r="C30" s="535"/>
      <c r="D30" s="535"/>
      <c r="E30" s="535"/>
      <c r="F30" s="535"/>
      <c r="G30" s="535"/>
      <c r="H30" s="535"/>
      <c r="I30" s="83"/>
    </row>
    <row r="31" spans="1:18" ht="15.6" x14ac:dyDescent="0.3">
      <c r="A31" s="533"/>
      <c r="B31" s="533"/>
      <c r="C31" s="533"/>
      <c r="D31" s="533"/>
      <c r="E31" s="533"/>
      <c r="F31" s="533"/>
      <c r="G31" s="533"/>
      <c r="H31" s="533"/>
      <c r="I31" s="533"/>
      <c r="J31" s="533"/>
    </row>
    <row r="32" spans="1:18" ht="15.6" x14ac:dyDescent="0.3">
      <c r="A32" s="534"/>
      <c r="B32" s="534"/>
      <c r="C32" s="534"/>
      <c r="D32" s="534"/>
      <c r="E32" s="534"/>
      <c r="F32" s="534"/>
      <c r="G32" s="534"/>
      <c r="H32" s="534"/>
      <c r="I32" s="534"/>
      <c r="J32" s="534"/>
    </row>
    <row r="33" spans="1:10" ht="15.6" x14ac:dyDescent="0.3">
      <c r="A33" s="533"/>
      <c r="B33" s="533"/>
      <c r="C33" s="533"/>
      <c r="D33" s="533"/>
      <c r="E33" s="533"/>
      <c r="F33" s="533"/>
      <c r="G33" s="533"/>
      <c r="H33" s="533"/>
      <c r="I33" s="533"/>
      <c r="J33" s="53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3"/>
      <c r="B1" s="533"/>
      <c r="C1" s="533"/>
      <c r="D1" s="533"/>
      <c r="E1" s="533"/>
      <c r="F1" s="533"/>
      <c r="G1" s="533"/>
      <c r="H1" s="533"/>
      <c r="I1" s="80"/>
      <c r="J1" s="83"/>
    </row>
    <row r="2" spans="1:10" ht="15.6" x14ac:dyDescent="0.3">
      <c r="A2" s="533"/>
      <c r="B2" s="533"/>
      <c r="C2" s="533"/>
      <c r="D2" s="533"/>
      <c r="E2" s="533"/>
      <c r="F2" s="533"/>
      <c r="G2" s="533"/>
      <c r="H2" s="533"/>
      <c r="I2" s="80"/>
      <c r="J2" s="83"/>
    </row>
    <row r="3" spans="1:10" ht="15.6" x14ac:dyDescent="0.3">
      <c r="A3" s="533"/>
      <c r="B3" s="533"/>
      <c r="C3" s="533"/>
      <c r="D3" s="533"/>
      <c r="E3" s="533"/>
      <c r="F3" s="533"/>
      <c r="G3" s="533"/>
      <c r="H3" s="53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5"/>
      <c r="B30" s="535"/>
      <c r="C30" s="535"/>
      <c r="D30" s="535"/>
      <c r="E30" s="535"/>
      <c r="F30" s="535"/>
      <c r="G30" s="535"/>
      <c r="H30" s="535"/>
      <c r="I30" s="83"/>
    </row>
    <row r="31" spans="1:18" ht="15.6" x14ac:dyDescent="0.3">
      <c r="A31" s="533"/>
      <c r="B31" s="533"/>
      <c r="C31" s="533"/>
      <c r="D31" s="533"/>
      <c r="E31" s="533"/>
      <c r="F31" s="533"/>
      <c r="G31" s="533"/>
      <c r="H31" s="533"/>
      <c r="I31" s="533"/>
      <c r="J31" s="533"/>
    </row>
    <row r="32" spans="1:18" ht="15.6" x14ac:dyDescent="0.3">
      <c r="A32" s="534"/>
      <c r="B32" s="534"/>
      <c r="C32" s="534"/>
      <c r="D32" s="534"/>
      <c r="E32" s="534"/>
      <c r="F32" s="534"/>
      <c r="G32" s="534"/>
      <c r="H32" s="534"/>
      <c r="I32" s="534"/>
      <c r="J32" s="534"/>
    </row>
    <row r="33" spans="1:10" ht="15.6" x14ac:dyDescent="0.3">
      <c r="A33" s="533"/>
      <c r="B33" s="533"/>
      <c r="C33" s="533"/>
      <c r="D33" s="533"/>
      <c r="E33" s="533"/>
      <c r="F33" s="533"/>
      <c r="G33" s="533"/>
      <c r="H33" s="533"/>
      <c r="I33" s="533"/>
      <c r="J33" s="53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3"/>
      <c r="B1" s="533"/>
      <c r="C1" s="533"/>
      <c r="D1" s="533"/>
      <c r="E1" s="533"/>
      <c r="F1" s="533"/>
      <c r="G1" s="533"/>
      <c r="H1" s="533"/>
      <c r="I1" s="80"/>
      <c r="J1" s="83"/>
    </row>
    <row r="2" spans="1:10" ht="15.6" x14ac:dyDescent="0.3">
      <c r="A2" s="533"/>
      <c r="B2" s="533"/>
      <c r="C2" s="533"/>
      <c r="D2" s="533"/>
      <c r="E2" s="533"/>
      <c r="F2" s="533"/>
      <c r="G2" s="533"/>
      <c r="H2" s="533"/>
      <c r="I2" s="80"/>
      <c r="J2" s="83"/>
    </row>
    <row r="3" spans="1:10" ht="15.6" x14ac:dyDescent="0.3">
      <c r="A3" s="533"/>
      <c r="B3" s="533"/>
      <c r="C3" s="533"/>
      <c r="D3" s="533"/>
      <c r="E3" s="533"/>
      <c r="F3" s="533"/>
      <c r="G3" s="533"/>
      <c r="H3" s="53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5"/>
      <c r="B30" s="535"/>
      <c r="C30" s="535"/>
      <c r="D30" s="535"/>
      <c r="E30" s="535"/>
      <c r="F30" s="535"/>
      <c r="G30" s="535"/>
      <c r="H30" s="535"/>
      <c r="I30" s="83"/>
    </row>
    <row r="31" spans="1:18" ht="15.6" x14ac:dyDescent="0.3">
      <c r="A31" s="533"/>
      <c r="B31" s="533"/>
      <c r="C31" s="533"/>
      <c r="D31" s="533"/>
      <c r="E31" s="533"/>
      <c r="F31" s="533"/>
      <c r="G31" s="533"/>
      <c r="H31" s="533"/>
      <c r="I31" s="533"/>
      <c r="J31" s="533"/>
    </row>
    <row r="32" spans="1:18" ht="15.6" x14ac:dyDescent="0.3">
      <c r="A32" s="534"/>
      <c r="B32" s="534"/>
      <c r="C32" s="534"/>
      <c r="D32" s="534"/>
      <c r="E32" s="534"/>
      <c r="F32" s="534"/>
      <c r="G32" s="534"/>
      <c r="H32" s="534"/>
      <c r="I32" s="534"/>
      <c r="J32" s="534"/>
    </row>
    <row r="33" spans="1:10" ht="15.6" x14ac:dyDescent="0.3">
      <c r="A33" s="533"/>
      <c r="B33" s="533"/>
      <c r="C33" s="533"/>
      <c r="D33" s="533"/>
      <c r="E33" s="533"/>
      <c r="F33" s="533"/>
      <c r="G33" s="533"/>
      <c r="H33" s="533"/>
      <c r="I33" s="533"/>
      <c r="J33" s="53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3"/>
      <c r="B1" s="533"/>
      <c r="C1" s="533"/>
      <c r="D1" s="533"/>
      <c r="E1" s="533"/>
      <c r="F1" s="533"/>
      <c r="G1" s="533"/>
      <c r="H1" s="533"/>
      <c r="I1" s="80"/>
      <c r="J1" s="83"/>
    </row>
    <row r="2" spans="1:10" ht="15.6" x14ac:dyDescent="0.3">
      <c r="A2" s="533"/>
      <c r="B2" s="533"/>
      <c r="C2" s="533"/>
      <c r="D2" s="533"/>
      <c r="E2" s="533"/>
      <c r="F2" s="533"/>
      <c r="G2" s="533"/>
      <c r="H2" s="533"/>
      <c r="I2" s="80"/>
      <c r="J2" s="83"/>
    </row>
    <row r="3" spans="1:10" ht="15.6" x14ac:dyDescent="0.3">
      <c r="A3" s="533"/>
      <c r="B3" s="533"/>
      <c r="C3" s="533"/>
      <c r="D3" s="533"/>
      <c r="E3" s="533"/>
      <c r="F3" s="533"/>
      <c r="G3" s="533"/>
      <c r="H3" s="53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5"/>
      <c r="B30" s="535"/>
      <c r="C30" s="535"/>
      <c r="D30" s="535"/>
      <c r="E30" s="535"/>
      <c r="F30" s="535"/>
      <c r="G30" s="535"/>
      <c r="H30" s="535"/>
      <c r="I30" s="83"/>
    </row>
    <row r="31" spans="1:18" ht="15.6" x14ac:dyDescent="0.3">
      <c r="A31" s="533"/>
      <c r="B31" s="533"/>
      <c r="C31" s="533"/>
      <c r="D31" s="533"/>
      <c r="E31" s="533"/>
      <c r="F31" s="533"/>
      <c r="G31" s="533"/>
      <c r="H31" s="533"/>
      <c r="I31" s="533"/>
      <c r="J31" s="533"/>
    </row>
    <row r="32" spans="1:18" ht="15.6" x14ac:dyDescent="0.3">
      <c r="A32" s="534"/>
      <c r="B32" s="534"/>
      <c r="C32" s="534"/>
      <c r="D32" s="534"/>
      <c r="E32" s="534"/>
      <c r="F32" s="534"/>
      <c r="G32" s="534"/>
      <c r="H32" s="534"/>
      <c r="I32" s="534"/>
      <c r="J32" s="534"/>
    </row>
    <row r="33" spans="1:10" ht="15.6" x14ac:dyDescent="0.3">
      <c r="A33" s="533"/>
      <c r="B33" s="533"/>
      <c r="C33" s="533"/>
      <c r="D33" s="533"/>
      <c r="E33" s="533"/>
      <c r="F33" s="533"/>
      <c r="G33" s="533"/>
      <c r="H33" s="533"/>
      <c r="I33" s="533"/>
      <c r="J33" s="53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3"/>
      <c r="B1" s="533"/>
      <c r="C1" s="533"/>
      <c r="D1" s="533"/>
      <c r="E1" s="533"/>
      <c r="F1" s="533"/>
      <c r="G1" s="533"/>
      <c r="H1" s="533"/>
      <c r="I1" s="80"/>
      <c r="J1" s="83"/>
    </row>
    <row r="2" spans="1:10" ht="15.6" x14ac:dyDescent="0.3">
      <c r="A2" s="533"/>
      <c r="B2" s="533"/>
      <c r="C2" s="533"/>
      <c r="D2" s="533"/>
      <c r="E2" s="533"/>
      <c r="F2" s="533"/>
      <c r="G2" s="533"/>
      <c r="H2" s="533"/>
      <c r="I2" s="80"/>
      <c r="J2" s="83"/>
    </row>
    <row r="3" spans="1:10" ht="15.6" x14ac:dyDescent="0.3">
      <c r="A3" s="533"/>
      <c r="B3" s="533"/>
      <c r="C3" s="533"/>
      <c r="D3" s="533"/>
      <c r="E3" s="533"/>
      <c r="F3" s="533"/>
      <c r="G3" s="533"/>
      <c r="H3" s="53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5"/>
      <c r="B30" s="535"/>
      <c r="C30" s="535"/>
      <c r="D30" s="535"/>
      <c r="E30" s="535"/>
      <c r="F30" s="535"/>
      <c r="G30" s="535"/>
      <c r="H30" s="535"/>
      <c r="I30" s="83"/>
    </row>
    <row r="31" spans="1:18" ht="15.6" x14ac:dyDescent="0.3">
      <c r="A31" s="533"/>
      <c r="B31" s="533"/>
      <c r="C31" s="533"/>
      <c r="D31" s="533"/>
      <c r="E31" s="533"/>
      <c r="F31" s="533"/>
      <c r="G31" s="533"/>
      <c r="H31" s="533"/>
      <c r="I31" s="533"/>
      <c r="J31" s="533"/>
    </row>
    <row r="32" spans="1:18" ht="15.6" x14ac:dyDescent="0.3">
      <c r="A32" s="534"/>
      <c r="B32" s="534"/>
      <c r="C32" s="534"/>
      <c r="D32" s="534"/>
      <c r="E32" s="534"/>
      <c r="F32" s="534"/>
      <c r="G32" s="534"/>
      <c r="H32" s="534"/>
      <c r="I32" s="534"/>
      <c r="J32" s="534"/>
    </row>
    <row r="33" spans="1:10" ht="15.6" x14ac:dyDescent="0.3">
      <c r="A33" s="533"/>
      <c r="B33" s="533"/>
      <c r="C33" s="533"/>
      <c r="D33" s="533"/>
      <c r="E33" s="533"/>
      <c r="F33" s="533"/>
      <c r="G33" s="533"/>
      <c r="H33" s="533"/>
      <c r="I33" s="533"/>
      <c r="J33" s="53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3"/>
      <c r="B1" s="533"/>
      <c r="C1" s="533"/>
      <c r="D1" s="533"/>
      <c r="E1" s="533"/>
      <c r="F1" s="533"/>
      <c r="G1" s="533"/>
      <c r="H1" s="533"/>
      <c r="I1" s="80"/>
      <c r="J1" s="83"/>
    </row>
    <row r="2" spans="1:10" ht="15.6" x14ac:dyDescent="0.3">
      <c r="A2" s="533"/>
      <c r="B2" s="533"/>
      <c r="C2" s="533"/>
      <c r="D2" s="533"/>
      <c r="E2" s="533"/>
      <c r="F2" s="533"/>
      <c r="G2" s="533"/>
      <c r="H2" s="533"/>
      <c r="I2" s="80"/>
      <c r="J2" s="83"/>
    </row>
    <row r="3" spans="1:10" ht="15.6" x14ac:dyDescent="0.3">
      <c r="A3" s="533"/>
      <c r="B3" s="533"/>
      <c r="C3" s="533"/>
      <c r="D3" s="533"/>
      <c r="E3" s="533"/>
      <c r="F3" s="533"/>
      <c r="G3" s="533"/>
      <c r="H3" s="53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5"/>
      <c r="B30" s="535"/>
      <c r="C30" s="535"/>
      <c r="D30" s="535"/>
      <c r="E30" s="535"/>
      <c r="F30" s="535"/>
      <c r="G30" s="535"/>
      <c r="H30" s="535"/>
      <c r="I30" s="83"/>
    </row>
    <row r="31" spans="1:18" ht="15.6" x14ac:dyDescent="0.3">
      <c r="A31" s="533"/>
      <c r="B31" s="533"/>
      <c r="C31" s="533"/>
      <c r="D31" s="533"/>
      <c r="E31" s="533"/>
      <c r="F31" s="533"/>
      <c r="G31" s="533"/>
      <c r="H31" s="533"/>
      <c r="I31" s="533"/>
      <c r="J31" s="533"/>
    </row>
    <row r="32" spans="1:18" ht="15.6" x14ac:dyDescent="0.3">
      <c r="A32" s="534"/>
      <c r="B32" s="534"/>
      <c r="C32" s="534"/>
      <c r="D32" s="534"/>
      <c r="E32" s="534"/>
      <c r="F32" s="534"/>
      <c r="G32" s="534"/>
      <c r="H32" s="534"/>
      <c r="I32" s="534"/>
      <c r="J32" s="534"/>
    </row>
    <row r="33" spans="1:10" ht="15.6" x14ac:dyDescent="0.3">
      <c r="A33" s="533"/>
      <c r="B33" s="533"/>
      <c r="C33" s="533"/>
      <c r="D33" s="533"/>
      <c r="E33" s="533"/>
      <c r="F33" s="533"/>
      <c r="G33" s="533"/>
      <c r="H33" s="533"/>
      <c r="I33" s="533"/>
      <c r="J33" s="53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3"/>
      <c r="B1" s="533"/>
      <c r="C1" s="533"/>
      <c r="D1" s="533"/>
      <c r="E1" s="533"/>
      <c r="F1" s="533"/>
      <c r="G1" s="533"/>
      <c r="H1" s="533"/>
      <c r="I1" s="80"/>
      <c r="J1" s="83"/>
    </row>
    <row r="2" spans="1:10" ht="15.6" x14ac:dyDescent="0.3">
      <c r="A2" s="533"/>
      <c r="B2" s="533"/>
      <c r="C2" s="533"/>
      <c r="D2" s="533"/>
      <c r="E2" s="533"/>
      <c r="F2" s="533"/>
      <c r="G2" s="533"/>
      <c r="H2" s="533"/>
      <c r="I2" s="80"/>
      <c r="J2" s="83"/>
    </row>
    <row r="3" spans="1:10" ht="15.6" x14ac:dyDescent="0.3">
      <c r="A3" s="533"/>
      <c r="B3" s="533"/>
      <c r="C3" s="533"/>
      <c r="D3" s="533"/>
      <c r="E3" s="533"/>
      <c r="F3" s="533"/>
      <c r="G3" s="533"/>
      <c r="H3" s="53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5"/>
      <c r="B30" s="535"/>
      <c r="C30" s="535"/>
      <c r="D30" s="535"/>
      <c r="E30" s="535"/>
      <c r="F30" s="535"/>
      <c r="G30" s="535"/>
      <c r="H30" s="535"/>
      <c r="I30" s="83"/>
    </row>
    <row r="31" spans="1:18" ht="15.6" x14ac:dyDescent="0.3">
      <c r="A31" s="533"/>
      <c r="B31" s="533"/>
      <c r="C31" s="533"/>
      <c r="D31" s="533"/>
      <c r="E31" s="533"/>
      <c r="F31" s="533"/>
      <c r="G31" s="533"/>
      <c r="H31" s="533"/>
      <c r="I31" s="533"/>
      <c r="J31" s="533"/>
    </row>
    <row r="32" spans="1:18" ht="15.6" x14ac:dyDescent="0.3">
      <c r="A32" s="534"/>
      <c r="B32" s="534"/>
      <c r="C32" s="534"/>
      <c r="D32" s="534"/>
      <c r="E32" s="534"/>
      <c r="F32" s="534"/>
      <c r="G32" s="534"/>
      <c r="H32" s="534"/>
      <c r="I32" s="534"/>
      <c r="J32" s="534"/>
    </row>
    <row r="33" spans="1:10" ht="15.6" x14ac:dyDescent="0.3">
      <c r="A33" s="533"/>
      <c r="B33" s="533"/>
      <c r="C33" s="533"/>
      <c r="D33" s="533"/>
      <c r="E33" s="533"/>
      <c r="F33" s="533"/>
      <c r="G33" s="533"/>
      <c r="H33" s="533"/>
      <c r="I33" s="533"/>
      <c r="J33" s="53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533"/>
      <c r="B54" s="533"/>
      <c r="C54" s="533"/>
      <c r="D54" s="533"/>
      <c r="E54" s="533"/>
      <c r="F54" s="533"/>
      <c r="G54" s="533"/>
      <c r="H54" s="533"/>
      <c r="I54" s="533"/>
      <c r="J54" s="533"/>
    </row>
    <row r="55" spans="1:16" s="195" customFormat="1" ht="15.6" x14ac:dyDescent="0.3">
      <c r="A55" s="533"/>
      <c r="B55" s="533"/>
      <c r="C55" s="533"/>
      <c r="D55" s="533"/>
      <c r="E55" s="533"/>
      <c r="F55" s="533"/>
      <c r="G55" s="533"/>
      <c r="H55" s="533"/>
      <c r="I55" s="533"/>
      <c r="J55" s="533"/>
    </row>
    <row r="56" spans="1:16" s="195" customFormat="1" ht="15.6" x14ac:dyDescent="0.3">
      <c r="A56" s="533"/>
      <c r="B56" s="533"/>
      <c r="C56" s="533"/>
      <c r="D56" s="533"/>
      <c r="E56" s="533"/>
      <c r="F56" s="533"/>
      <c r="G56" s="533"/>
      <c r="H56" s="533"/>
      <c r="I56" s="533"/>
      <c r="J56" s="533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533"/>
      <c r="B54" s="533"/>
      <c r="C54" s="533"/>
      <c r="D54" s="533"/>
      <c r="E54" s="533"/>
      <c r="F54" s="533"/>
      <c r="G54" s="533"/>
      <c r="H54" s="533"/>
      <c r="I54" s="533"/>
      <c r="J54" s="533"/>
    </row>
    <row r="55" spans="1:12" s="195" customFormat="1" ht="15.6" x14ac:dyDescent="0.3">
      <c r="A55" s="536"/>
      <c r="B55" s="536"/>
      <c r="C55" s="536"/>
      <c r="D55" s="536"/>
      <c r="E55" s="536"/>
      <c r="F55" s="536"/>
      <c r="G55" s="536"/>
      <c r="H55" s="536"/>
      <c r="I55" s="536"/>
      <c r="J55" s="536"/>
    </row>
    <row r="56" spans="1:12" s="195" customFormat="1" ht="15.6" x14ac:dyDescent="0.3">
      <c r="A56" s="533"/>
      <c r="B56" s="533"/>
      <c r="C56" s="533"/>
      <c r="D56" s="533"/>
      <c r="E56" s="533"/>
      <c r="F56" s="533"/>
      <c r="G56" s="533"/>
      <c r="H56" s="533"/>
      <c r="I56" s="533"/>
      <c r="J56" s="53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533"/>
      <c r="B54" s="533"/>
      <c r="C54" s="533"/>
      <c r="D54" s="533"/>
      <c r="E54" s="533"/>
      <c r="F54" s="533"/>
      <c r="G54" s="533"/>
      <c r="H54" s="533"/>
      <c r="I54" s="533"/>
      <c r="J54" s="533"/>
    </row>
    <row r="55" spans="1:16" s="195" customFormat="1" ht="15.6" x14ac:dyDescent="0.3">
      <c r="A55" s="533"/>
      <c r="B55" s="533"/>
      <c r="C55" s="533"/>
      <c r="D55" s="533"/>
      <c r="E55" s="533"/>
      <c r="F55" s="533"/>
      <c r="G55" s="533"/>
      <c r="H55" s="533"/>
      <c r="I55" s="533"/>
      <c r="J55" s="533"/>
    </row>
    <row r="56" spans="1:16" s="195" customFormat="1" ht="15.6" x14ac:dyDescent="0.3">
      <c r="A56" s="533"/>
      <c r="B56" s="533"/>
      <c r="C56" s="533"/>
      <c r="D56" s="533"/>
      <c r="E56" s="533"/>
      <c r="F56" s="533"/>
      <c r="G56" s="533"/>
      <c r="H56" s="533"/>
      <c r="I56" s="533"/>
      <c r="J56" s="533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533"/>
      <c r="B54" s="533"/>
      <c r="C54" s="533"/>
      <c r="D54" s="533"/>
      <c r="E54" s="533"/>
      <c r="F54" s="533"/>
      <c r="G54" s="533"/>
      <c r="H54" s="533"/>
      <c r="I54" s="533"/>
      <c r="J54" s="533"/>
    </row>
    <row r="55" spans="1:12" s="195" customFormat="1" ht="15.6" x14ac:dyDescent="0.3">
      <c r="A55" s="536"/>
      <c r="B55" s="536"/>
      <c r="C55" s="536"/>
      <c r="D55" s="536"/>
      <c r="E55" s="536"/>
      <c r="F55" s="536"/>
      <c r="G55" s="536"/>
      <c r="H55" s="536"/>
      <c r="I55" s="536"/>
      <c r="J55" s="536"/>
    </row>
    <row r="56" spans="1:12" s="195" customFormat="1" ht="15.6" x14ac:dyDescent="0.3">
      <c r="A56" s="533"/>
      <c r="B56" s="533"/>
      <c r="C56" s="533"/>
      <c r="D56" s="533"/>
      <c r="E56" s="533"/>
      <c r="F56" s="533"/>
      <c r="G56" s="533"/>
      <c r="H56" s="533"/>
      <c r="I56" s="533"/>
      <c r="J56" s="53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533"/>
      <c r="B54" s="533"/>
      <c r="C54" s="533"/>
      <c r="D54" s="533"/>
      <c r="E54" s="533"/>
      <c r="F54" s="533"/>
      <c r="G54" s="533"/>
      <c r="H54" s="533"/>
      <c r="I54" s="533"/>
      <c r="J54" s="533"/>
    </row>
    <row r="55" spans="1:16" s="195" customFormat="1" ht="15.6" x14ac:dyDescent="0.3">
      <c r="A55" s="533"/>
      <c r="B55" s="533"/>
      <c r="C55" s="533"/>
      <c r="D55" s="533"/>
      <c r="E55" s="533"/>
      <c r="F55" s="533"/>
      <c r="G55" s="533"/>
      <c r="H55" s="533"/>
      <c r="I55" s="533"/>
      <c r="J55" s="533"/>
    </row>
    <row r="56" spans="1:16" s="195" customFormat="1" ht="15.6" x14ac:dyDescent="0.3">
      <c r="A56" s="533"/>
      <c r="B56" s="533"/>
      <c r="C56" s="533"/>
      <c r="D56" s="533"/>
      <c r="E56" s="533"/>
      <c r="F56" s="533"/>
      <c r="G56" s="533"/>
      <c r="H56" s="533"/>
      <c r="I56" s="533"/>
      <c r="J56" s="533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533"/>
      <c r="B54" s="533"/>
      <c r="C54" s="533"/>
      <c r="D54" s="533"/>
      <c r="E54" s="533"/>
      <c r="F54" s="533"/>
      <c r="G54" s="533"/>
      <c r="H54" s="533"/>
      <c r="I54" s="533"/>
      <c r="J54" s="533"/>
    </row>
    <row r="55" spans="1:12" s="195" customFormat="1" ht="15.6" x14ac:dyDescent="0.3">
      <c r="A55" s="536"/>
      <c r="B55" s="536"/>
      <c r="C55" s="536"/>
      <c r="D55" s="536"/>
      <c r="E55" s="536"/>
      <c r="F55" s="536"/>
      <c r="G55" s="536"/>
      <c r="H55" s="536"/>
      <c r="I55" s="536"/>
      <c r="J55" s="536"/>
    </row>
    <row r="56" spans="1:12" s="195" customFormat="1" ht="15.6" x14ac:dyDescent="0.3">
      <c r="A56" s="533"/>
      <c r="B56" s="533"/>
      <c r="C56" s="533"/>
      <c r="D56" s="533"/>
      <c r="E56" s="533"/>
      <c r="F56" s="533"/>
      <c r="G56" s="533"/>
      <c r="H56" s="533"/>
      <c r="I56" s="533"/>
      <c r="J56" s="53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3"/>
      <c r="B1" s="533"/>
      <c r="C1" s="533"/>
      <c r="D1" s="533"/>
      <c r="E1" s="533"/>
      <c r="F1" s="533"/>
      <c r="G1" s="533"/>
      <c r="H1" s="533"/>
      <c r="I1" s="80"/>
      <c r="J1" s="83"/>
    </row>
    <row r="2" spans="1:10" ht="15.6" x14ac:dyDescent="0.3">
      <c r="A2" s="533"/>
      <c r="B2" s="533"/>
      <c r="C2" s="533"/>
      <c r="D2" s="533"/>
      <c r="E2" s="533"/>
      <c r="F2" s="533"/>
      <c r="G2" s="533"/>
      <c r="H2" s="533"/>
      <c r="I2" s="80"/>
      <c r="J2" s="83"/>
    </row>
    <row r="3" spans="1:10" ht="15.6" x14ac:dyDescent="0.3">
      <c r="A3" s="533"/>
      <c r="B3" s="533"/>
      <c r="C3" s="533"/>
      <c r="D3" s="533"/>
      <c r="E3" s="533"/>
      <c r="F3" s="533"/>
      <c r="G3" s="533"/>
      <c r="H3" s="53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5"/>
      <c r="B30" s="535"/>
      <c r="C30" s="535"/>
      <c r="D30" s="535"/>
      <c r="E30" s="535"/>
      <c r="F30" s="535"/>
      <c r="G30" s="535"/>
      <c r="H30" s="535"/>
      <c r="I30" s="83"/>
    </row>
    <row r="31" spans="1:18" ht="15.6" x14ac:dyDescent="0.3">
      <c r="A31" s="533"/>
      <c r="B31" s="533"/>
      <c r="C31" s="533"/>
      <c r="D31" s="533"/>
      <c r="E31" s="533"/>
      <c r="F31" s="533"/>
      <c r="G31" s="533"/>
      <c r="H31" s="533"/>
      <c r="I31" s="533"/>
      <c r="J31" s="533"/>
    </row>
    <row r="32" spans="1:18" ht="15.6" x14ac:dyDescent="0.3">
      <c r="A32" s="534"/>
      <c r="B32" s="534"/>
      <c r="C32" s="534"/>
      <c r="D32" s="534"/>
      <c r="E32" s="534"/>
      <c r="F32" s="534"/>
      <c r="G32" s="534"/>
      <c r="H32" s="534"/>
      <c r="I32" s="534"/>
      <c r="J32" s="534"/>
    </row>
    <row r="33" spans="1:10" ht="15.6" x14ac:dyDescent="0.3">
      <c r="A33" s="533"/>
      <c r="B33" s="533"/>
      <c r="C33" s="533"/>
      <c r="D33" s="533"/>
      <c r="E33" s="533"/>
      <c r="F33" s="533"/>
      <c r="G33" s="533"/>
      <c r="H33" s="533"/>
      <c r="I33" s="533"/>
      <c r="J33" s="53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3"/>
      <c r="B1" s="533"/>
      <c r="C1" s="533"/>
      <c r="D1" s="533"/>
      <c r="E1" s="533"/>
      <c r="F1" s="533"/>
      <c r="G1" s="533"/>
      <c r="H1" s="533"/>
      <c r="I1" s="80"/>
      <c r="J1" s="83"/>
    </row>
    <row r="2" spans="1:10" ht="15.6" x14ac:dyDescent="0.3">
      <c r="A2" s="533"/>
      <c r="B2" s="533"/>
      <c r="C2" s="533"/>
      <c r="D2" s="533"/>
      <c r="E2" s="533"/>
      <c r="F2" s="533"/>
      <c r="G2" s="533"/>
      <c r="H2" s="533"/>
      <c r="I2" s="80"/>
      <c r="J2" s="83"/>
    </row>
    <row r="3" spans="1:10" ht="15.6" x14ac:dyDescent="0.3">
      <c r="A3" s="533"/>
      <c r="B3" s="533"/>
      <c r="C3" s="533"/>
      <c r="D3" s="533"/>
      <c r="E3" s="533"/>
      <c r="F3" s="533"/>
      <c r="G3" s="533"/>
      <c r="H3" s="53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5"/>
      <c r="B30" s="535"/>
      <c r="C30" s="535"/>
      <c r="D30" s="535"/>
      <c r="E30" s="535"/>
      <c r="F30" s="535"/>
      <c r="G30" s="535"/>
      <c r="H30" s="535"/>
      <c r="I30" s="83"/>
    </row>
    <row r="31" spans="1:18" ht="15.6" x14ac:dyDescent="0.3">
      <c r="A31" s="533"/>
      <c r="B31" s="533"/>
      <c r="C31" s="533"/>
      <c r="D31" s="533"/>
      <c r="E31" s="533"/>
      <c r="F31" s="533"/>
      <c r="G31" s="533"/>
      <c r="H31" s="533"/>
      <c r="I31" s="533"/>
      <c r="J31" s="533"/>
    </row>
    <row r="32" spans="1:18" ht="15.6" x14ac:dyDescent="0.3">
      <c r="A32" s="534"/>
      <c r="B32" s="534"/>
      <c r="C32" s="534"/>
      <c r="D32" s="534"/>
      <c r="E32" s="534"/>
      <c r="F32" s="534"/>
      <c r="G32" s="534"/>
      <c r="H32" s="534"/>
      <c r="I32" s="534"/>
      <c r="J32" s="534"/>
    </row>
    <row r="33" spans="1:10" ht="15.6" x14ac:dyDescent="0.3">
      <c r="A33" s="533"/>
      <c r="B33" s="533"/>
      <c r="C33" s="533"/>
      <c r="D33" s="533"/>
      <c r="E33" s="533"/>
      <c r="F33" s="533"/>
      <c r="G33" s="533"/>
      <c r="H33" s="533"/>
      <c r="I33" s="533"/>
      <c r="J33" s="53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3"/>
      <c r="B1" s="533"/>
      <c r="C1" s="533"/>
      <c r="D1" s="533"/>
      <c r="E1" s="533"/>
      <c r="F1" s="533"/>
      <c r="G1" s="533"/>
      <c r="H1" s="533"/>
      <c r="I1" s="80"/>
      <c r="J1" s="83"/>
    </row>
    <row r="2" spans="1:10" ht="15.6" x14ac:dyDescent="0.3">
      <c r="A2" s="533"/>
      <c r="B2" s="533"/>
      <c r="C2" s="533"/>
      <c r="D2" s="533"/>
      <c r="E2" s="533"/>
      <c r="F2" s="533"/>
      <c r="G2" s="533"/>
      <c r="H2" s="533"/>
      <c r="I2" s="80"/>
      <c r="J2" s="83"/>
    </row>
    <row r="3" spans="1:10" ht="15.6" x14ac:dyDescent="0.3">
      <c r="A3" s="533"/>
      <c r="B3" s="533"/>
      <c r="C3" s="533"/>
      <c r="D3" s="533"/>
      <c r="E3" s="533"/>
      <c r="F3" s="533"/>
      <c r="G3" s="533"/>
      <c r="H3" s="53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5"/>
      <c r="B30" s="535"/>
      <c r="C30" s="535"/>
      <c r="D30" s="535"/>
      <c r="E30" s="535"/>
      <c r="F30" s="535"/>
      <c r="G30" s="535"/>
      <c r="H30" s="535"/>
      <c r="I30" s="83"/>
    </row>
    <row r="31" spans="1:18" ht="15.6" x14ac:dyDescent="0.3">
      <c r="A31" s="533"/>
      <c r="B31" s="533"/>
      <c r="C31" s="533"/>
      <c r="D31" s="533"/>
      <c r="E31" s="533"/>
      <c r="F31" s="533"/>
      <c r="G31" s="533"/>
      <c r="H31" s="533"/>
      <c r="I31" s="533"/>
      <c r="J31" s="533"/>
    </row>
    <row r="32" spans="1:18" ht="15.6" x14ac:dyDescent="0.3">
      <c r="A32" s="534"/>
      <c r="B32" s="534"/>
      <c r="C32" s="534"/>
      <c r="D32" s="534"/>
      <c r="E32" s="534"/>
      <c r="F32" s="534"/>
      <c r="G32" s="534"/>
      <c r="H32" s="534"/>
      <c r="I32" s="534"/>
      <c r="J32" s="534"/>
    </row>
    <row r="33" spans="1:10" ht="15.6" x14ac:dyDescent="0.3">
      <c r="A33" s="533"/>
      <c r="B33" s="533"/>
      <c r="C33" s="533"/>
      <c r="D33" s="533"/>
      <c r="E33" s="533"/>
      <c r="F33" s="533"/>
      <c r="G33" s="533"/>
      <c r="H33" s="533"/>
      <c r="I33" s="533"/>
      <c r="J33" s="53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3"/>
      <c r="B1" s="533"/>
      <c r="C1" s="533"/>
      <c r="D1" s="533"/>
      <c r="E1" s="533"/>
      <c r="F1" s="533"/>
      <c r="G1" s="533"/>
      <c r="H1" s="533"/>
      <c r="I1" s="80"/>
      <c r="J1" s="83"/>
    </row>
    <row r="2" spans="1:10" ht="15.6" x14ac:dyDescent="0.3">
      <c r="A2" s="533"/>
      <c r="B2" s="533"/>
      <c r="C2" s="533"/>
      <c r="D2" s="533"/>
      <c r="E2" s="533"/>
      <c r="F2" s="533"/>
      <c r="G2" s="533"/>
      <c r="H2" s="533"/>
      <c r="I2" s="80"/>
      <c r="J2" s="83"/>
    </row>
    <row r="3" spans="1:10" ht="15.6" x14ac:dyDescent="0.3">
      <c r="A3" s="533"/>
      <c r="B3" s="533"/>
      <c r="C3" s="533"/>
      <c r="D3" s="533"/>
      <c r="E3" s="533"/>
      <c r="F3" s="533"/>
      <c r="G3" s="533"/>
      <c r="H3" s="53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5"/>
      <c r="B30" s="535"/>
      <c r="C30" s="535"/>
      <c r="D30" s="535"/>
      <c r="E30" s="535"/>
      <c r="F30" s="535"/>
      <c r="G30" s="535"/>
      <c r="H30" s="535"/>
      <c r="I30" s="83"/>
    </row>
    <row r="31" spans="1:18" ht="15.6" x14ac:dyDescent="0.3">
      <c r="A31" s="533"/>
      <c r="B31" s="533"/>
      <c r="C31" s="533"/>
      <c r="D31" s="533"/>
      <c r="E31" s="533"/>
      <c r="F31" s="533"/>
      <c r="G31" s="533"/>
      <c r="H31" s="533"/>
      <c r="I31" s="533"/>
      <c r="J31" s="533"/>
    </row>
    <row r="32" spans="1:18" ht="15.6" x14ac:dyDescent="0.3">
      <c r="A32" s="534"/>
      <c r="B32" s="534"/>
      <c r="C32" s="534"/>
      <c r="D32" s="534"/>
      <c r="E32" s="534"/>
      <c r="F32" s="534"/>
      <c r="G32" s="534"/>
      <c r="H32" s="534"/>
      <c r="I32" s="534"/>
      <c r="J32" s="534"/>
    </row>
    <row r="33" spans="1:10" ht="15.6" x14ac:dyDescent="0.3">
      <c r="A33" s="533"/>
      <c r="B33" s="533"/>
      <c r="C33" s="533"/>
      <c r="D33" s="533"/>
      <c r="E33" s="533"/>
      <c r="F33" s="533"/>
      <c r="G33" s="533"/>
      <c r="H33" s="533"/>
      <c r="I33" s="533"/>
      <c r="J33" s="53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3"/>
      <c r="B1" s="533"/>
      <c r="C1" s="533"/>
      <c r="D1" s="533"/>
      <c r="E1" s="533"/>
      <c r="F1" s="533"/>
      <c r="G1" s="533"/>
      <c r="H1" s="533"/>
      <c r="I1" s="80"/>
      <c r="J1" s="83"/>
    </row>
    <row r="2" spans="1:10" ht="15.6" x14ac:dyDescent="0.3">
      <c r="A2" s="533"/>
      <c r="B2" s="533"/>
      <c r="C2" s="533"/>
      <c r="D2" s="533"/>
      <c r="E2" s="533"/>
      <c r="F2" s="533"/>
      <c r="G2" s="533"/>
      <c r="H2" s="533"/>
      <c r="I2" s="80"/>
      <c r="J2" s="83"/>
    </row>
    <row r="3" spans="1:10" ht="15.6" x14ac:dyDescent="0.3">
      <c r="A3" s="533"/>
      <c r="B3" s="533"/>
      <c r="C3" s="533"/>
      <c r="D3" s="533"/>
      <c r="E3" s="533"/>
      <c r="F3" s="533"/>
      <c r="G3" s="533"/>
      <c r="H3" s="53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5"/>
      <c r="B30" s="535"/>
      <c r="C30" s="535"/>
      <c r="D30" s="535"/>
      <c r="E30" s="535"/>
      <c r="F30" s="535"/>
      <c r="G30" s="535"/>
      <c r="H30" s="535"/>
      <c r="I30" s="83"/>
    </row>
    <row r="31" spans="1:18" ht="15.6" x14ac:dyDescent="0.3">
      <c r="A31" s="533"/>
      <c r="B31" s="533"/>
      <c r="C31" s="533"/>
      <c r="D31" s="533"/>
      <c r="E31" s="533"/>
      <c r="F31" s="533"/>
      <c r="G31" s="533"/>
      <c r="H31" s="533"/>
      <c r="I31" s="533"/>
      <c r="J31" s="533"/>
    </row>
    <row r="32" spans="1:18" ht="15.6" x14ac:dyDescent="0.3">
      <c r="A32" s="534"/>
      <c r="B32" s="534"/>
      <c r="C32" s="534"/>
      <c r="D32" s="534"/>
      <c r="E32" s="534"/>
      <c r="F32" s="534"/>
      <c r="G32" s="534"/>
      <c r="H32" s="534"/>
      <c r="I32" s="534"/>
      <c r="J32" s="534"/>
    </row>
    <row r="33" spans="1:10" ht="15.6" x14ac:dyDescent="0.3">
      <c r="A33" s="533"/>
      <c r="B33" s="533"/>
      <c r="C33" s="533"/>
      <c r="D33" s="533"/>
      <c r="E33" s="533"/>
      <c r="F33" s="533"/>
      <c r="G33" s="533"/>
      <c r="H33" s="533"/>
      <c r="I33" s="533"/>
      <c r="J33" s="53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3"/>
      <c r="B1" s="533"/>
      <c r="C1" s="533"/>
      <c r="D1" s="533"/>
      <c r="E1" s="533"/>
      <c r="F1" s="533"/>
      <c r="G1" s="533"/>
      <c r="H1" s="533"/>
      <c r="I1" s="80"/>
      <c r="J1" s="83"/>
    </row>
    <row r="2" spans="1:10" ht="15.6" x14ac:dyDescent="0.3">
      <c r="A2" s="533"/>
      <c r="B2" s="533"/>
      <c r="C2" s="533"/>
      <c r="D2" s="533"/>
      <c r="E2" s="533"/>
      <c r="F2" s="533"/>
      <c r="G2" s="533"/>
      <c r="H2" s="533"/>
      <c r="I2" s="80"/>
      <c r="J2" s="83"/>
    </row>
    <row r="3" spans="1:10" ht="15.6" x14ac:dyDescent="0.3">
      <c r="A3" s="533"/>
      <c r="B3" s="533"/>
      <c r="C3" s="533"/>
      <c r="D3" s="533"/>
      <c r="E3" s="533"/>
      <c r="F3" s="533"/>
      <c r="G3" s="533"/>
      <c r="H3" s="53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5"/>
      <c r="B30" s="535"/>
      <c r="C30" s="535"/>
      <c r="D30" s="535"/>
      <c r="E30" s="535"/>
      <c r="F30" s="535"/>
      <c r="G30" s="535"/>
      <c r="H30" s="535"/>
      <c r="I30" s="83"/>
    </row>
    <row r="31" spans="1:18" ht="15.6" x14ac:dyDescent="0.3">
      <c r="A31" s="533"/>
      <c r="B31" s="533"/>
      <c r="C31" s="533"/>
      <c r="D31" s="533"/>
      <c r="E31" s="533"/>
      <c r="F31" s="533"/>
      <c r="G31" s="533"/>
      <c r="H31" s="533"/>
      <c r="I31" s="533"/>
      <c r="J31" s="533"/>
    </row>
    <row r="32" spans="1:18" ht="15.6" x14ac:dyDescent="0.3">
      <c r="A32" s="534"/>
      <c r="B32" s="534"/>
      <c r="C32" s="534"/>
      <c r="D32" s="534"/>
      <c r="E32" s="534"/>
      <c r="F32" s="534"/>
      <c r="G32" s="534"/>
      <c r="H32" s="534"/>
      <c r="I32" s="534"/>
      <c r="J32" s="534"/>
    </row>
    <row r="33" spans="1:10" ht="15.6" x14ac:dyDescent="0.3">
      <c r="A33" s="533"/>
      <c r="B33" s="533"/>
      <c r="C33" s="533"/>
      <c r="D33" s="533"/>
      <c r="E33" s="533"/>
      <c r="F33" s="533"/>
      <c r="G33" s="533"/>
      <c r="H33" s="533"/>
      <c r="I33" s="533"/>
      <c r="J33" s="53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3"/>
      <c r="B1" s="533"/>
      <c r="C1" s="533"/>
      <c r="D1" s="533"/>
      <c r="E1" s="533"/>
      <c r="F1" s="533"/>
      <c r="G1" s="533"/>
      <c r="H1" s="533"/>
      <c r="I1" s="80"/>
      <c r="J1" s="83"/>
    </row>
    <row r="2" spans="1:10" ht="15.6" x14ac:dyDescent="0.3">
      <c r="A2" s="533"/>
      <c r="B2" s="533"/>
      <c r="C2" s="533"/>
      <c r="D2" s="533"/>
      <c r="E2" s="533"/>
      <c r="F2" s="533"/>
      <c r="G2" s="533"/>
      <c r="H2" s="533"/>
      <c r="I2" s="80"/>
      <c r="J2" s="83"/>
    </row>
    <row r="3" spans="1:10" ht="15.6" x14ac:dyDescent="0.3">
      <c r="A3" s="533"/>
      <c r="B3" s="533"/>
      <c r="C3" s="533"/>
      <c r="D3" s="533"/>
      <c r="E3" s="533"/>
      <c r="F3" s="533"/>
      <c r="G3" s="533"/>
      <c r="H3" s="53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5"/>
      <c r="B30" s="535"/>
      <c r="C30" s="535"/>
      <c r="D30" s="535"/>
      <c r="E30" s="535"/>
      <c r="F30" s="535"/>
      <c r="G30" s="535"/>
      <c r="H30" s="535"/>
      <c r="I30" s="83"/>
    </row>
    <row r="31" spans="1:18" ht="15.6" x14ac:dyDescent="0.3">
      <c r="A31" s="533"/>
      <c r="B31" s="533"/>
      <c r="C31" s="533"/>
      <c r="D31" s="533"/>
      <c r="E31" s="533"/>
      <c r="F31" s="533"/>
      <c r="G31" s="533"/>
      <c r="H31" s="533"/>
      <c r="I31" s="533"/>
      <c r="J31" s="533"/>
    </row>
    <row r="32" spans="1:18" ht="15.6" x14ac:dyDescent="0.3">
      <c r="A32" s="534"/>
      <c r="B32" s="534"/>
      <c r="C32" s="534"/>
      <c r="D32" s="534"/>
      <c r="E32" s="534"/>
      <c r="F32" s="534"/>
      <c r="G32" s="534"/>
      <c r="H32" s="534"/>
      <c r="I32" s="534"/>
      <c r="J32" s="534"/>
    </row>
    <row r="33" spans="1:10" ht="15.6" x14ac:dyDescent="0.3">
      <c r="A33" s="533"/>
      <c r="B33" s="533"/>
      <c r="C33" s="533"/>
      <c r="D33" s="533"/>
      <c r="E33" s="533"/>
      <c r="F33" s="533"/>
      <c r="G33" s="533"/>
      <c r="H33" s="533"/>
      <c r="I33" s="533"/>
      <c r="J33" s="53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3"/>
      <c r="B1" s="533"/>
      <c r="C1" s="533"/>
      <c r="D1" s="533"/>
      <c r="E1" s="533"/>
      <c r="F1" s="533"/>
      <c r="G1" s="533"/>
      <c r="H1" s="533"/>
      <c r="I1" s="80"/>
      <c r="J1" s="83"/>
    </row>
    <row r="2" spans="1:10" ht="15.6" x14ac:dyDescent="0.3">
      <c r="A2" s="533"/>
      <c r="B2" s="533"/>
      <c r="C2" s="533"/>
      <c r="D2" s="533"/>
      <c r="E2" s="533"/>
      <c r="F2" s="533"/>
      <c r="G2" s="533"/>
      <c r="H2" s="533"/>
      <c r="I2" s="80"/>
      <c r="J2" s="83"/>
    </row>
    <row r="3" spans="1:10" ht="15.6" x14ac:dyDescent="0.3">
      <c r="A3" s="533"/>
      <c r="B3" s="533"/>
      <c r="C3" s="533"/>
      <c r="D3" s="533"/>
      <c r="E3" s="533"/>
      <c r="F3" s="533"/>
      <c r="G3" s="533"/>
      <c r="H3" s="53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5"/>
      <c r="B30" s="535"/>
      <c r="C30" s="535"/>
      <c r="D30" s="535"/>
      <c r="E30" s="535"/>
      <c r="F30" s="535"/>
      <c r="G30" s="535"/>
      <c r="H30" s="535"/>
      <c r="I30" s="83"/>
    </row>
    <row r="31" spans="1:18" ht="15.6" x14ac:dyDescent="0.3">
      <c r="A31" s="533"/>
      <c r="B31" s="533"/>
      <c r="C31" s="533"/>
      <c r="D31" s="533"/>
      <c r="E31" s="533"/>
      <c r="F31" s="533"/>
      <c r="G31" s="533"/>
      <c r="H31" s="533"/>
      <c r="I31" s="533"/>
      <c r="J31" s="533"/>
    </row>
    <row r="32" spans="1:18" ht="15.6" x14ac:dyDescent="0.3">
      <c r="A32" s="534"/>
      <c r="B32" s="534"/>
      <c r="C32" s="534"/>
      <c r="D32" s="534"/>
      <c r="E32" s="534"/>
      <c r="F32" s="534"/>
      <c r="G32" s="534"/>
      <c r="H32" s="534"/>
      <c r="I32" s="534"/>
      <c r="J32" s="534"/>
    </row>
    <row r="33" spans="1:10" ht="15.6" x14ac:dyDescent="0.3">
      <c r="A33" s="533"/>
      <c r="B33" s="533"/>
      <c r="C33" s="533"/>
      <c r="D33" s="533"/>
      <c r="E33" s="533"/>
      <c r="F33" s="533"/>
      <c r="G33" s="533"/>
      <c r="H33" s="533"/>
      <c r="I33" s="533"/>
      <c r="J33" s="53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3"/>
      <c r="B1" s="533"/>
      <c r="C1" s="533"/>
      <c r="D1" s="533"/>
      <c r="E1" s="533"/>
      <c r="F1" s="533"/>
      <c r="G1" s="533"/>
      <c r="H1" s="533"/>
      <c r="I1" s="80"/>
      <c r="J1" s="83"/>
    </row>
    <row r="2" spans="1:10" ht="15.6" x14ac:dyDescent="0.3">
      <c r="A2" s="533"/>
      <c r="B2" s="533"/>
      <c r="C2" s="533"/>
      <c r="D2" s="533"/>
      <c r="E2" s="533"/>
      <c r="F2" s="533"/>
      <c r="G2" s="533"/>
      <c r="H2" s="533"/>
      <c r="I2" s="80"/>
      <c r="J2" s="83"/>
    </row>
    <row r="3" spans="1:10" ht="15.6" x14ac:dyDescent="0.3">
      <c r="A3" s="533"/>
      <c r="B3" s="533"/>
      <c r="C3" s="533"/>
      <c r="D3" s="533"/>
      <c r="E3" s="533"/>
      <c r="F3" s="533"/>
      <c r="G3" s="533"/>
      <c r="H3" s="53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5"/>
      <c r="B30" s="535"/>
      <c r="C30" s="535"/>
      <c r="D30" s="535"/>
      <c r="E30" s="535"/>
      <c r="F30" s="535"/>
      <c r="G30" s="535"/>
      <c r="H30" s="535"/>
      <c r="I30" s="83"/>
    </row>
    <row r="31" spans="1:18" ht="15.6" x14ac:dyDescent="0.3">
      <c r="A31" s="533"/>
      <c r="B31" s="533"/>
      <c r="C31" s="533"/>
      <c r="D31" s="533"/>
      <c r="E31" s="533"/>
      <c r="F31" s="533"/>
      <c r="G31" s="533"/>
      <c r="H31" s="533"/>
      <c r="I31" s="533"/>
      <c r="J31" s="533"/>
    </row>
    <row r="32" spans="1:18" ht="15.6" x14ac:dyDescent="0.3">
      <c r="A32" s="534"/>
      <c r="B32" s="534"/>
      <c r="C32" s="534"/>
      <c r="D32" s="534"/>
      <c r="E32" s="534"/>
      <c r="F32" s="534"/>
      <c r="G32" s="534"/>
      <c r="H32" s="534"/>
      <c r="I32" s="534"/>
      <c r="J32" s="534"/>
    </row>
    <row r="33" spans="1:10" ht="15.6" x14ac:dyDescent="0.3">
      <c r="A33" s="533"/>
      <c r="B33" s="533"/>
      <c r="C33" s="533"/>
      <c r="D33" s="533"/>
      <c r="E33" s="533"/>
      <c r="F33" s="533"/>
      <c r="G33" s="533"/>
      <c r="H33" s="533"/>
      <c r="I33" s="533"/>
      <c r="J33" s="53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3"/>
      <c r="B1" s="533"/>
      <c r="C1" s="533"/>
      <c r="D1" s="533"/>
      <c r="E1" s="533"/>
      <c r="F1" s="533"/>
      <c r="G1" s="533"/>
      <c r="H1" s="533"/>
      <c r="I1" s="80"/>
      <c r="J1" s="83"/>
    </row>
    <row r="2" spans="1:10" ht="15.6" x14ac:dyDescent="0.3">
      <c r="A2" s="533"/>
      <c r="B2" s="533"/>
      <c r="C2" s="533"/>
      <c r="D2" s="533"/>
      <c r="E2" s="533"/>
      <c r="F2" s="533"/>
      <c r="G2" s="533"/>
      <c r="H2" s="533"/>
      <c r="I2" s="80"/>
      <c r="J2" s="83"/>
    </row>
    <row r="3" spans="1:10" ht="15.6" x14ac:dyDescent="0.3">
      <c r="A3" s="533"/>
      <c r="B3" s="533"/>
      <c r="C3" s="533"/>
      <c r="D3" s="533"/>
      <c r="E3" s="533"/>
      <c r="F3" s="533"/>
      <c r="G3" s="533"/>
      <c r="H3" s="53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35"/>
      <c r="B30" s="535"/>
      <c r="C30" s="535"/>
      <c r="D30" s="535"/>
      <c r="E30" s="535"/>
      <c r="F30" s="535"/>
      <c r="G30" s="535"/>
      <c r="H30" s="535"/>
      <c r="I30" s="83"/>
    </row>
    <row r="31" spans="1:18" ht="15.6" x14ac:dyDescent="0.3">
      <c r="A31" s="533"/>
      <c r="B31" s="533"/>
      <c r="C31" s="533"/>
      <c r="D31" s="533"/>
      <c r="E31" s="533"/>
      <c r="F31" s="533"/>
      <c r="G31" s="533"/>
      <c r="H31" s="533"/>
      <c r="I31" s="533"/>
      <c r="J31" s="533"/>
    </row>
    <row r="32" spans="1:18" ht="15.6" x14ac:dyDescent="0.3">
      <c r="A32" s="534"/>
      <c r="B32" s="534"/>
      <c r="C32" s="534"/>
      <c r="D32" s="534"/>
      <c r="E32" s="534"/>
      <c r="F32" s="534"/>
      <c r="G32" s="534"/>
      <c r="H32" s="534"/>
      <c r="I32" s="534"/>
      <c r="J32" s="534"/>
    </row>
    <row r="33" spans="1:10" ht="15.6" x14ac:dyDescent="0.3">
      <c r="A33" s="533"/>
      <c r="B33" s="533"/>
      <c r="C33" s="533"/>
      <c r="D33" s="533"/>
      <c r="E33" s="533"/>
      <c r="F33" s="533"/>
      <c r="G33" s="533"/>
      <c r="H33" s="533"/>
      <c r="I33" s="533"/>
      <c r="J33" s="53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10" priority="1" operator="lessThan">
      <formula>0</formula>
    </cfRule>
    <cfRule type="cellIs" dxfId="9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workbookViewId="0"/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H56"/>
  <sheetViews>
    <sheetView workbookViewId="0"/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33203125" customWidth="1"/>
  </cols>
  <sheetData>
    <row r="1" spans="1:8" ht="18" x14ac:dyDescent="0.3">
      <c r="A1" s="229" t="s">
        <v>847</v>
      </c>
    </row>
    <row r="2" spans="1:8" ht="18" x14ac:dyDescent="0.3">
      <c r="A2" s="304" t="s">
        <v>858</v>
      </c>
    </row>
    <row r="3" spans="1:8" x14ac:dyDescent="0.3">
      <c r="A3" s="231" t="s">
        <v>848</v>
      </c>
    </row>
    <row r="5" spans="1:8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</row>
    <row r="6" spans="1:8" x14ac:dyDescent="0.3">
      <c r="A6" s="345">
        <v>2001</v>
      </c>
      <c r="B6" s="345"/>
      <c r="C6" s="345"/>
      <c r="D6" s="345"/>
      <c r="E6" s="345"/>
      <c r="F6" s="345"/>
      <c r="G6" s="345"/>
      <c r="H6" s="347">
        <f>+C35</f>
        <v>5936.5217696629215</v>
      </c>
    </row>
    <row r="7" spans="1:8" x14ac:dyDescent="0.3">
      <c r="A7" s="345">
        <v>2002</v>
      </c>
      <c r="B7" s="345"/>
      <c r="C7" s="345"/>
      <c r="D7" s="345"/>
      <c r="E7" s="345"/>
      <c r="F7" s="345"/>
      <c r="G7" s="345"/>
      <c r="H7" s="347">
        <f t="shared" ref="H7:H27" si="0">+C36</f>
        <v>6225.6502808988771</v>
      </c>
    </row>
    <row r="8" spans="1:8" x14ac:dyDescent="0.3">
      <c r="A8" s="345">
        <v>2003</v>
      </c>
      <c r="B8" s="345"/>
      <c r="C8" s="345"/>
      <c r="D8" s="345"/>
      <c r="E8" s="345"/>
      <c r="F8" s="345"/>
      <c r="G8" s="345"/>
      <c r="H8" s="347">
        <f t="shared" si="0"/>
        <v>6539.1857443820227</v>
      </c>
    </row>
    <row r="9" spans="1:8" x14ac:dyDescent="0.3">
      <c r="A9" s="345">
        <v>2004</v>
      </c>
      <c r="B9" s="345"/>
      <c r="C9" s="345"/>
      <c r="D9" s="345"/>
      <c r="E9" s="345"/>
      <c r="F9" s="345"/>
      <c r="G9" s="345"/>
      <c r="H9" s="347">
        <f t="shared" si="0"/>
        <v>6402.1313202247193</v>
      </c>
    </row>
    <row r="10" spans="1:8" x14ac:dyDescent="0.3">
      <c r="A10" s="345">
        <v>2005</v>
      </c>
      <c r="B10" s="345"/>
      <c r="C10" s="345"/>
      <c r="D10" s="345"/>
      <c r="E10" s="345"/>
      <c r="F10" s="345"/>
      <c r="G10" s="345"/>
      <c r="H10" s="347">
        <f t="shared" si="0"/>
        <v>6940.9617275280898</v>
      </c>
    </row>
    <row r="11" spans="1:8" x14ac:dyDescent="0.3">
      <c r="A11" s="345">
        <v>2006</v>
      </c>
      <c r="B11" s="345"/>
      <c r="C11" s="345"/>
      <c r="D11" s="345"/>
      <c r="E11" s="345"/>
      <c r="F11" s="345"/>
      <c r="G11" s="345"/>
      <c r="H11" s="347">
        <f t="shared" si="0"/>
        <v>7915.3623595505624</v>
      </c>
    </row>
    <row r="12" spans="1:8" x14ac:dyDescent="0.3">
      <c r="A12" s="345">
        <v>2007</v>
      </c>
      <c r="B12" s="348">
        <v>28122158</v>
      </c>
      <c r="C12" s="347">
        <v>319693000000</v>
      </c>
      <c r="D12" s="347">
        <f>+C12/B12</f>
        <v>11368.010947097304</v>
      </c>
      <c r="F12" s="347">
        <v>1660271</v>
      </c>
      <c r="G12" s="347">
        <v>14615612000</v>
      </c>
      <c r="H12" s="347">
        <f t="shared" si="0"/>
        <v>8610.0217696629225</v>
      </c>
    </row>
    <row r="13" spans="1:8" x14ac:dyDescent="0.3">
      <c r="A13" s="345">
        <v>2008</v>
      </c>
      <c r="B13" s="348">
        <v>28300372</v>
      </c>
      <c r="C13" s="347">
        <v>348870000000</v>
      </c>
      <c r="D13" s="347">
        <f t="shared" ref="D13:D28" si="1">+C13/B13</f>
        <v>12327.399795310112</v>
      </c>
      <c r="E13" s="349">
        <f>(D13-D12)/D12</f>
        <v>8.439373015010837E-2</v>
      </c>
      <c r="F13" s="347">
        <v>1676529</v>
      </c>
      <c r="G13" s="347">
        <v>15653801000</v>
      </c>
      <c r="H13" s="347">
        <f t="shared" si="0"/>
        <v>9150.7296348314612</v>
      </c>
    </row>
    <row r="14" spans="1:8" x14ac:dyDescent="0.3">
      <c r="A14" s="345">
        <v>2009</v>
      </c>
      <c r="B14" s="348">
        <v>28485319</v>
      </c>
      <c r="C14" s="347">
        <v>352693000000</v>
      </c>
      <c r="D14" s="347">
        <f t="shared" si="1"/>
        <v>12381.571012071165</v>
      </c>
      <c r="E14" s="349">
        <f t="shared" ref="E14:E28" si="2">(D14-D13)/D13</f>
        <v>4.3943749420427012E-3</v>
      </c>
      <c r="F14" s="347">
        <v>1693454</v>
      </c>
      <c r="G14" s="347">
        <v>15716171000</v>
      </c>
      <c r="H14" s="347">
        <f t="shared" si="0"/>
        <v>9233.3377808988771</v>
      </c>
    </row>
    <row r="15" spans="1:8" x14ac:dyDescent="0.3">
      <c r="A15" s="345">
        <v>2010</v>
      </c>
      <c r="B15" s="348">
        <v>28692915</v>
      </c>
      <c r="C15" s="347">
        <v>382081000000</v>
      </c>
      <c r="D15" s="347">
        <f t="shared" si="1"/>
        <v>13316.214124636692</v>
      </c>
      <c r="E15" s="349">
        <f t="shared" si="2"/>
        <v>7.5486633453405519E-2</v>
      </c>
      <c r="F15" s="347">
        <v>1711902</v>
      </c>
      <c r="G15" s="347">
        <v>16624855000</v>
      </c>
      <c r="H15" s="347">
        <f t="shared" si="0"/>
        <v>9711</v>
      </c>
    </row>
    <row r="16" spans="1:8" x14ac:dyDescent="0.3">
      <c r="A16" s="345">
        <v>2011</v>
      </c>
      <c r="B16" s="348">
        <v>28905725</v>
      </c>
      <c r="C16" s="347">
        <v>406256000000</v>
      </c>
      <c r="D16" s="347">
        <f t="shared" si="1"/>
        <v>14054.516882036343</v>
      </c>
      <c r="E16" s="349">
        <f t="shared" si="2"/>
        <v>5.5443893473723686E-2</v>
      </c>
      <c r="F16" s="347">
        <v>1730877</v>
      </c>
      <c r="G16" s="347">
        <v>17378414000</v>
      </c>
      <c r="H16" s="347">
        <f t="shared" si="0"/>
        <v>10040</v>
      </c>
    </row>
    <row r="17" spans="1:8" x14ac:dyDescent="0.3">
      <c r="A17" s="345">
        <v>2012</v>
      </c>
      <c r="B17" s="348">
        <v>29113162</v>
      </c>
      <c r="C17" s="347">
        <v>431199000000</v>
      </c>
      <c r="D17" s="347">
        <f t="shared" si="1"/>
        <v>14811.135939132961</v>
      </c>
      <c r="E17" s="349">
        <f t="shared" si="2"/>
        <v>5.3834583105711965E-2</v>
      </c>
      <c r="F17" s="347">
        <v>1749812</v>
      </c>
      <c r="G17" s="347">
        <v>18712792000</v>
      </c>
      <c r="H17" s="347">
        <f t="shared" si="0"/>
        <v>10694</v>
      </c>
    </row>
    <row r="18" spans="1:8" x14ac:dyDescent="0.3">
      <c r="A18" s="345">
        <v>2013</v>
      </c>
      <c r="B18" s="348">
        <v>29341346</v>
      </c>
      <c r="C18" s="347">
        <v>456435000000</v>
      </c>
      <c r="D18" s="347">
        <f t="shared" si="1"/>
        <v>15556.034818579898</v>
      </c>
      <c r="E18" s="349">
        <f t="shared" si="2"/>
        <v>5.0293163367626417E-2</v>
      </c>
      <c r="F18" s="347">
        <v>1770194</v>
      </c>
      <c r="G18" s="347">
        <v>19532083000</v>
      </c>
      <c r="H18" s="347">
        <f t="shared" si="0"/>
        <v>11034</v>
      </c>
    </row>
    <row r="19" spans="1:8" x14ac:dyDescent="0.3">
      <c r="A19" s="345">
        <v>2014</v>
      </c>
      <c r="B19" s="348">
        <v>29616414</v>
      </c>
      <c r="C19" s="347">
        <v>467308000000</v>
      </c>
      <c r="D19" s="347">
        <f t="shared" si="1"/>
        <v>15778.682726409754</v>
      </c>
      <c r="E19" s="349">
        <f t="shared" si="2"/>
        <v>1.4312638820011436E-2</v>
      </c>
      <c r="F19" s="347">
        <v>1793523</v>
      </c>
      <c r="G19" s="347">
        <v>19821258000</v>
      </c>
      <c r="H19" s="347">
        <f t="shared" si="0"/>
        <v>11052</v>
      </c>
    </row>
    <row r="20" spans="1:8" x14ac:dyDescent="0.3">
      <c r="A20" s="345">
        <v>2015</v>
      </c>
      <c r="B20" s="348">
        <v>29964499</v>
      </c>
      <c r="C20" s="347">
        <v>482506000000</v>
      </c>
      <c r="D20" s="347">
        <f t="shared" si="1"/>
        <v>16102.588599929537</v>
      </c>
      <c r="E20" s="349">
        <f t="shared" si="2"/>
        <v>2.0528068098970138E-2</v>
      </c>
      <c r="F20" s="347">
        <v>1821292</v>
      </c>
      <c r="G20" s="347">
        <v>20274733000</v>
      </c>
      <c r="H20" s="347">
        <f t="shared" si="0"/>
        <v>11132</v>
      </c>
    </row>
    <row r="21" spans="1:8" x14ac:dyDescent="0.3">
      <c r="A21" s="345">
        <v>2016</v>
      </c>
      <c r="B21" s="348">
        <v>30422831</v>
      </c>
      <c r="C21" s="347">
        <v>501581000000</v>
      </c>
      <c r="D21" s="347">
        <f t="shared" si="1"/>
        <v>16486.992942898705</v>
      </c>
      <c r="E21" s="349">
        <f t="shared" si="2"/>
        <v>2.387220791139447E-2</v>
      </c>
      <c r="F21" s="347">
        <v>1855780</v>
      </c>
      <c r="G21" s="347">
        <v>20448345000</v>
      </c>
      <c r="H21" s="347">
        <f t="shared" si="0"/>
        <v>11019</v>
      </c>
    </row>
    <row r="22" spans="1:8" x14ac:dyDescent="0.3">
      <c r="A22" s="345">
        <v>2017</v>
      </c>
      <c r="B22" s="346">
        <v>30973992</v>
      </c>
      <c r="C22" s="347">
        <v>514215000000</v>
      </c>
      <c r="D22" s="347">
        <f t="shared" si="1"/>
        <v>16601.508775491387</v>
      </c>
      <c r="E22" s="349">
        <f t="shared" si="2"/>
        <v>6.9458289324983696E-3</v>
      </c>
      <c r="F22" s="347">
        <v>1895988</v>
      </c>
      <c r="G22" s="347">
        <v>20797558000</v>
      </c>
      <c r="H22" s="347">
        <f t="shared" si="0"/>
        <v>10969</v>
      </c>
    </row>
    <row r="23" spans="1:8" x14ac:dyDescent="0.3">
      <c r="A23" s="345">
        <v>2018</v>
      </c>
      <c r="B23" s="346">
        <v>31562130</v>
      </c>
      <c r="C23" s="347">
        <v>534626000000</v>
      </c>
      <c r="D23" s="347">
        <f t="shared" si="1"/>
        <v>16938.844114766653</v>
      </c>
      <c r="E23" s="349">
        <f t="shared" si="2"/>
        <v>2.0319559133882416E-2</v>
      </c>
      <c r="F23" s="347">
        <v>1938501</v>
      </c>
      <c r="G23" s="347">
        <v>21840178000</v>
      </c>
      <c r="H23" s="347">
        <f t="shared" si="0"/>
        <v>11267</v>
      </c>
    </row>
    <row r="24" spans="1:8" x14ac:dyDescent="0.3">
      <c r="A24" s="345">
        <v>2019</v>
      </c>
      <c r="B24" s="346">
        <v>32131400</v>
      </c>
      <c r="C24" s="347">
        <v>546605000000</v>
      </c>
      <c r="D24" s="347">
        <f t="shared" si="1"/>
        <v>17011.552562291094</v>
      </c>
      <c r="E24" s="349">
        <f t="shared" si="2"/>
        <v>4.2924090352219777E-3</v>
      </c>
      <c r="F24" s="347">
        <v>1979901</v>
      </c>
      <c r="G24" s="347">
        <v>22637274000</v>
      </c>
      <c r="H24" s="347">
        <f>+C53</f>
        <v>11434</v>
      </c>
    </row>
    <row r="25" spans="1:8" x14ac:dyDescent="0.3">
      <c r="A25" s="345">
        <v>2020</v>
      </c>
      <c r="B25" s="346">
        <v>32625948</v>
      </c>
      <c r="C25" s="347">
        <v>487191000000</v>
      </c>
      <c r="D25" s="347">
        <f t="shared" si="1"/>
        <v>14932.623566984168</v>
      </c>
      <c r="E25" s="349">
        <f t="shared" si="2"/>
        <v>-0.12220689367972291</v>
      </c>
      <c r="F25" s="347">
        <v>2016771</v>
      </c>
      <c r="G25" s="347">
        <v>21224496000</v>
      </c>
      <c r="H25" s="347">
        <f t="shared" si="0"/>
        <v>10524</v>
      </c>
    </row>
    <row r="26" spans="1:8" x14ac:dyDescent="0.3">
      <c r="A26" s="345">
        <v>2021</v>
      </c>
      <c r="B26" s="346">
        <v>33035304</v>
      </c>
      <c r="C26" s="347">
        <v>552560000000</v>
      </c>
      <c r="D26" s="347">
        <f t="shared" si="1"/>
        <v>16726.348272744817</v>
      </c>
      <c r="E26" s="349">
        <f t="shared" si="2"/>
        <v>0.12012120292957432</v>
      </c>
      <c r="F26" s="347">
        <v>2048492</v>
      </c>
      <c r="G26" s="347">
        <v>23530168000</v>
      </c>
      <c r="H26" s="347">
        <f t="shared" si="0"/>
        <v>11487</v>
      </c>
    </row>
    <row r="27" spans="1:8" x14ac:dyDescent="0.3">
      <c r="A27" s="345">
        <v>2022</v>
      </c>
      <c r="B27" s="346">
        <v>33396698</v>
      </c>
      <c r="C27" s="347">
        <v>567390000000</v>
      </c>
      <c r="D27" s="347">
        <f t="shared" si="1"/>
        <v>16989.404162052189</v>
      </c>
      <c r="E27" s="349">
        <f t="shared" si="2"/>
        <v>1.5727036470717007E-2</v>
      </c>
      <c r="F27" s="347">
        <v>2077345</v>
      </c>
      <c r="G27" s="347">
        <v>23892523000</v>
      </c>
      <c r="H27" s="347">
        <f t="shared" si="0"/>
        <v>11501</v>
      </c>
    </row>
    <row r="28" spans="1:8" x14ac:dyDescent="0.3">
      <c r="A28" s="345">
        <v>2023</v>
      </c>
      <c r="B28" s="346">
        <v>33725844</v>
      </c>
      <c r="C28" s="347">
        <v>564260577000</v>
      </c>
      <c r="D28" s="347">
        <f t="shared" si="1"/>
        <v>16730.806707164986</v>
      </c>
      <c r="E28" s="349">
        <f t="shared" si="2"/>
        <v>-1.5221102071655411E-2</v>
      </c>
      <c r="F28" s="347">
        <v>2104254</v>
      </c>
      <c r="G28" s="347">
        <v>23269987000</v>
      </c>
      <c r="H28" s="347">
        <f t="shared" ref="H28" si="3">G28/F28</f>
        <v>11058.544738420362</v>
      </c>
    </row>
    <row r="33" spans="1:5" x14ac:dyDescent="0.3">
      <c r="A33" s="537" t="s">
        <v>1054</v>
      </c>
      <c r="B33" s="537"/>
      <c r="C33" s="537"/>
      <c r="D33" s="537"/>
    </row>
    <row r="34" spans="1:5" x14ac:dyDescent="0.3">
      <c r="B34" t="s">
        <v>1055</v>
      </c>
      <c r="C34" t="s">
        <v>1056</v>
      </c>
      <c r="D34" t="s">
        <v>875</v>
      </c>
    </row>
    <row r="35" spans="1:5" ht="15.6" x14ac:dyDescent="0.3">
      <c r="A35">
        <v>2001</v>
      </c>
      <c r="B35">
        <v>3162</v>
      </c>
      <c r="C35" s="331">
        <f>B35*$E$35</f>
        <v>5936.5217696629215</v>
      </c>
      <c r="E35" s="508">
        <f>+C46/B46</f>
        <v>1.8774578651685394</v>
      </c>
    </row>
    <row r="36" spans="1:5" x14ac:dyDescent="0.3">
      <c r="A36">
        <v>2002</v>
      </c>
      <c r="B36">
        <v>3316</v>
      </c>
      <c r="C36" s="331">
        <f t="shared" ref="C36:C43" si="4">B36*$E$35</f>
        <v>6225.6502808988771</v>
      </c>
    </row>
    <row r="37" spans="1:5" x14ac:dyDescent="0.3">
      <c r="A37">
        <v>2003</v>
      </c>
      <c r="B37">
        <v>3483</v>
      </c>
      <c r="C37" s="331">
        <f t="shared" si="4"/>
        <v>6539.1857443820227</v>
      </c>
    </row>
    <row r="38" spans="1:5" x14ac:dyDescent="0.3">
      <c r="A38">
        <v>2004</v>
      </c>
      <c r="B38">
        <v>3410</v>
      </c>
      <c r="C38" s="331">
        <f t="shared" si="4"/>
        <v>6402.1313202247193</v>
      </c>
    </row>
    <row r="39" spans="1:5" x14ac:dyDescent="0.3">
      <c r="A39">
        <v>2005</v>
      </c>
      <c r="B39">
        <v>3697</v>
      </c>
      <c r="C39" s="331">
        <f t="shared" si="4"/>
        <v>6940.9617275280898</v>
      </c>
    </row>
    <row r="40" spans="1:5" x14ac:dyDescent="0.3">
      <c r="A40">
        <v>2006</v>
      </c>
      <c r="B40">
        <v>4216</v>
      </c>
      <c r="C40" s="331">
        <f t="shared" si="4"/>
        <v>7915.3623595505624</v>
      </c>
    </row>
    <row r="41" spans="1:5" x14ac:dyDescent="0.3">
      <c r="A41">
        <v>2007</v>
      </c>
      <c r="B41">
        <v>4586</v>
      </c>
      <c r="C41" s="331">
        <f t="shared" si="4"/>
        <v>8610.0217696629225</v>
      </c>
    </row>
    <row r="42" spans="1:5" x14ac:dyDescent="0.3">
      <c r="A42">
        <v>2008</v>
      </c>
      <c r="B42">
        <v>4874</v>
      </c>
      <c r="C42" s="331">
        <f t="shared" si="4"/>
        <v>9150.7296348314612</v>
      </c>
    </row>
    <row r="43" spans="1:5" x14ac:dyDescent="0.3">
      <c r="A43">
        <v>2009</v>
      </c>
      <c r="B43">
        <v>4918</v>
      </c>
      <c r="C43" s="331">
        <f t="shared" si="4"/>
        <v>9233.3377808988771</v>
      </c>
    </row>
    <row r="44" spans="1:5" x14ac:dyDescent="0.3">
      <c r="A44">
        <v>2010</v>
      </c>
      <c r="B44">
        <v>5262</v>
      </c>
      <c r="C44">
        <v>9711</v>
      </c>
    </row>
    <row r="45" spans="1:5" x14ac:dyDescent="0.3">
      <c r="A45">
        <v>2011</v>
      </c>
      <c r="B45">
        <v>5435</v>
      </c>
      <c r="C45" s="331">
        <v>10040</v>
      </c>
    </row>
    <row r="46" spans="1:5" x14ac:dyDescent="0.3">
      <c r="A46">
        <v>2012</v>
      </c>
      <c r="B46">
        <v>5696</v>
      </c>
      <c r="C46" s="331">
        <v>10694</v>
      </c>
    </row>
    <row r="47" spans="1:5" x14ac:dyDescent="0.3">
      <c r="A47">
        <v>2013</v>
      </c>
      <c r="B47" s="331"/>
      <c r="C47" s="331">
        <v>11034</v>
      </c>
    </row>
    <row r="48" spans="1:5" x14ac:dyDescent="0.3">
      <c r="A48">
        <v>2014</v>
      </c>
      <c r="B48" s="331"/>
      <c r="C48" s="331">
        <v>11052</v>
      </c>
    </row>
    <row r="49" spans="1:3" x14ac:dyDescent="0.3">
      <c r="A49">
        <v>2015</v>
      </c>
      <c r="B49" s="331"/>
      <c r="C49" s="331">
        <v>11132</v>
      </c>
    </row>
    <row r="50" spans="1:3" x14ac:dyDescent="0.3">
      <c r="A50">
        <v>2016</v>
      </c>
      <c r="C50" s="331">
        <v>11019</v>
      </c>
    </row>
    <row r="51" spans="1:3" x14ac:dyDescent="0.3">
      <c r="A51">
        <v>2017</v>
      </c>
      <c r="C51" s="331">
        <v>10969</v>
      </c>
    </row>
    <row r="52" spans="1:3" x14ac:dyDescent="0.3">
      <c r="A52">
        <v>2018</v>
      </c>
      <c r="C52" s="331">
        <v>11267</v>
      </c>
    </row>
    <row r="53" spans="1:3" x14ac:dyDescent="0.3">
      <c r="A53">
        <v>2019</v>
      </c>
      <c r="C53" s="331">
        <v>11434</v>
      </c>
    </row>
    <row r="54" spans="1:3" x14ac:dyDescent="0.3">
      <c r="A54">
        <v>2020</v>
      </c>
      <c r="C54" s="331">
        <v>10524</v>
      </c>
    </row>
    <row r="55" spans="1:3" x14ac:dyDescent="0.3">
      <c r="A55">
        <v>2021</v>
      </c>
      <c r="C55" s="331">
        <v>11487</v>
      </c>
    </row>
    <row r="56" spans="1:3" x14ac:dyDescent="0.3">
      <c r="A56">
        <v>2022</v>
      </c>
      <c r="C56" s="331">
        <v>11501</v>
      </c>
    </row>
  </sheetData>
  <mergeCells count="1">
    <mergeCell ref="A33:D33"/>
  </mergeCells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J28"/>
  <sheetViews>
    <sheetView workbookViewId="0"/>
  </sheetViews>
  <sheetFormatPr baseColWidth="10" defaultRowHeight="14.4" x14ac:dyDescent="0.3"/>
  <cols>
    <col min="2" max="2" width="22" customWidth="1"/>
    <col min="3" max="3" width="23.21875" customWidth="1"/>
    <col min="4" max="4" width="20.6640625" customWidth="1"/>
    <col min="5" max="5" width="25.33203125" customWidth="1"/>
    <col min="6" max="6" width="17.6640625" customWidth="1"/>
    <col min="7" max="7" width="17.33203125" customWidth="1"/>
    <col min="8" max="8" width="16.33203125" customWidth="1"/>
    <col min="9" max="9" width="24" customWidth="1"/>
    <col min="10" max="10" width="18.21875" customWidth="1"/>
  </cols>
  <sheetData>
    <row r="1" spans="1:10" ht="18" x14ac:dyDescent="0.3">
      <c r="A1" s="229" t="s">
        <v>859</v>
      </c>
    </row>
    <row r="2" spans="1:10" ht="18" x14ac:dyDescent="0.3">
      <c r="A2" s="304" t="s">
        <v>1008</v>
      </c>
    </row>
    <row r="3" spans="1:10" x14ac:dyDescent="0.3">
      <c r="A3" s="231" t="s">
        <v>848</v>
      </c>
      <c r="F3" t="s">
        <v>1016</v>
      </c>
      <c r="G3" s="478">
        <f>+J28</f>
        <v>4.2898909299283416E-2</v>
      </c>
    </row>
    <row r="4" spans="1:10" x14ac:dyDescent="0.3">
      <c r="G4" s="349"/>
    </row>
    <row r="5" spans="1:10" ht="18.600000000000001" customHeight="1" thickBot="1" x14ac:dyDescent="0.35">
      <c r="A5" s="351" t="s">
        <v>849</v>
      </c>
      <c r="B5" s="353" t="s">
        <v>1009</v>
      </c>
      <c r="C5" s="350" t="s">
        <v>860</v>
      </c>
      <c r="D5" s="350" t="s">
        <v>862</v>
      </c>
      <c r="E5" s="350" t="s">
        <v>863</v>
      </c>
      <c r="F5" s="475" t="s">
        <v>1013</v>
      </c>
      <c r="G5" s="363" t="s">
        <v>1014</v>
      </c>
      <c r="H5" s="363" t="s">
        <v>875</v>
      </c>
      <c r="I5" s="363" t="s">
        <v>1015</v>
      </c>
      <c r="J5" s="477" t="s">
        <v>1017</v>
      </c>
    </row>
    <row r="6" spans="1:10" ht="18.600000000000001" customHeight="1" x14ac:dyDescent="0.3">
      <c r="A6" s="352">
        <v>2001</v>
      </c>
      <c r="B6" s="509">
        <f>+'c-496'!H6</f>
        <v>5936.5217696629215</v>
      </c>
      <c r="C6" s="510">
        <f>+I6/H6</f>
        <v>553.90641384562286</v>
      </c>
      <c r="D6" s="509">
        <f>C6*14</f>
        <v>7754.6897938387201</v>
      </c>
      <c r="E6" s="354"/>
      <c r="F6" s="373">
        <v>182527</v>
      </c>
      <c r="G6" s="373">
        <v>223580</v>
      </c>
      <c r="H6" s="415">
        <f>F6/G6</f>
        <v>0.81638339744163158</v>
      </c>
      <c r="I6" s="511">
        <v>452.2</v>
      </c>
      <c r="J6" s="477"/>
    </row>
    <row r="7" spans="1:10" ht="18.600000000000001" customHeight="1" x14ac:dyDescent="0.3">
      <c r="A7" s="352">
        <v>2002</v>
      </c>
      <c r="B7" s="509">
        <f>+'c-496'!H7</f>
        <v>6225.6502808988771</v>
      </c>
      <c r="C7" s="510">
        <f t="shared" ref="C7:C28" si="0">+I7/H7</f>
        <v>624.02618700406356</v>
      </c>
      <c r="D7" s="509">
        <f t="shared" ref="D7:D28" si="1">C7*14</f>
        <v>8736.3666180568907</v>
      </c>
      <c r="E7" s="354">
        <f t="shared" ref="E7:E12" si="2">+(D7-D6)/D6</f>
        <v>0.12659137248767005</v>
      </c>
      <c r="F7" s="373">
        <v>192691</v>
      </c>
      <c r="G7" s="373">
        <v>235773</v>
      </c>
      <c r="H7" s="415">
        <f t="shared" ref="H7:H28" si="3">F7/G7</f>
        <v>0.81727339432420165</v>
      </c>
      <c r="I7" s="511">
        <v>510</v>
      </c>
      <c r="J7" s="477"/>
    </row>
    <row r="8" spans="1:10" ht="18.600000000000001" customHeight="1" x14ac:dyDescent="0.3">
      <c r="A8" s="352">
        <v>2003</v>
      </c>
      <c r="B8" s="509">
        <f>+'c-496'!H8</f>
        <v>6539.1857443820227</v>
      </c>
      <c r="C8" s="510">
        <f t="shared" si="0"/>
        <v>592.17699731326184</v>
      </c>
      <c r="D8" s="509">
        <f t="shared" si="1"/>
        <v>8290.4779623856666</v>
      </c>
      <c r="E8" s="354">
        <f t="shared" si="2"/>
        <v>-5.103822620603312E-2</v>
      </c>
      <c r="F8" s="373">
        <v>204337</v>
      </c>
      <c r="G8" s="373">
        <v>245593</v>
      </c>
      <c r="H8" s="415">
        <f t="shared" si="3"/>
        <v>0.83201475612089926</v>
      </c>
      <c r="I8" s="511">
        <v>492.7</v>
      </c>
      <c r="J8" s="477"/>
    </row>
    <row r="9" spans="1:10" ht="18.600000000000001" customHeight="1" x14ac:dyDescent="0.3">
      <c r="A9" s="352">
        <v>2004</v>
      </c>
      <c r="B9" s="509">
        <f>+'c-496'!H9</f>
        <v>6402.1313202247193</v>
      </c>
      <c r="C9" s="510">
        <f t="shared" si="0"/>
        <v>648.67998332858053</v>
      </c>
      <c r="D9" s="509">
        <f t="shared" si="1"/>
        <v>9081.5197666001277</v>
      </c>
      <c r="E9" s="354">
        <f t="shared" si="2"/>
        <v>9.5415705560458544E-2</v>
      </c>
      <c r="F9" s="373">
        <v>227935</v>
      </c>
      <c r="G9" s="373">
        <v>257770</v>
      </c>
      <c r="H9" s="415">
        <f t="shared" si="3"/>
        <v>0.88425728362493694</v>
      </c>
      <c r="I9" s="511">
        <v>573.6</v>
      </c>
      <c r="J9" s="477"/>
    </row>
    <row r="10" spans="1:10" ht="18.600000000000001" customHeight="1" x14ac:dyDescent="0.3">
      <c r="A10" s="352">
        <v>2005</v>
      </c>
      <c r="B10" s="509">
        <f>+'c-496'!H10</f>
        <v>6940.9617275280898</v>
      </c>
      <c r="C10" s="510">
        <f t="shared" si="0"/>
        <v>649.44770427798312</v>
      </c>
      <c r="D10" s="509">
        <f t="shared" si="1"/>
        <v>9092.2678598917628</v>
      </c>
      <c r="E10" s="354">
        <f t="shared" si="2"/>
        <v>1.1835126243037268E-3</v>
      </c>
      <c r="F10" s="373">
        <v>250749</v>
      </c>
      <c r="G10" s="373">
        <v>273971</v>
      </c>
      <c r="H10" s="415">
        <f t="shared" si="3"/>
        <v>0.91523920414934423</v>
      </c>
      <c r="I10" s="511">
        <v>594.4</v>
      </c>
      <c r="J10" s="477"/>
    </row>
    <row r="11" spans="1:10" ht="18.600000000000001" customHeight="1" x14ac:dyDescent="0.3">
      <c r="A11" s="352">
        <v>2006</v>
      </c>
      <c r="B11" s="509">
        <f>+'c-496'!H11</f>
        <v>7915.3623595505624</v>
      </c>
      <c r="C11" s="510">
        <f t="shared" si="0"/>
        <v>600.62182029896201</v>
      </c>
      <c r="D11" s="509">
        <f t="shared" si="1"/>
        <v>8408.7054841854679</v>
      </c>
      <c r="E11" s="354">
        <f t="shared" si="2"/>
        <v>-7.5180624486620912E-2</v>
      </c>
      <c r="F11" s="373">
        <v>290271</v>
      </c>
      <c r="G11" s="373">
        <v>294598</v>
      </c>
      <c r="H11" s="415">
        <f t="shared" si="3"/>
        <v>0.98531218813433896</v>
      </c>
      <c r="I11" s="511">
        <v>591.79999999999995</v>
      </c>
      <c r="J11" s="477"/>
    </row>
    <row r="12" spans="1:10" x14ac:dyDescent="0.3">
      <c r="A12" s="352">
        <v>2007</v>
      </c>
      <c r="B12" s="509">
        <f>+'c-496'!H12</f>
        <v>8610.0217696629225</v>
      </c>
      <c r="C12" s="510">
        <f t="shared" si="0"/>
        <v>819.21043320433716</v>
      </c>
      <c r="D12" s="509">
        <f t="shared" si="1"/>
        <v>11468.94606486072</v>
      </c>
      <c r="E12" s="354">
        <f t="shared" si="2"/>
        <v>0.36393718229646033</v>
      </c>
      <c r="F12" s="331">
        <f>+'c-500'!B20</f>
        <v>319693</v>
      </c>
      <c r="G12" s="331">
        <f>+'c-501'!B64</f>
        <v>319693</v>
      </c>
      <c r="H12" s="415">
        <f t="shared" si="3"/>
        <v>1</v>
      </c>
      <c r="I12" s="347">
        <v>819.21043320433716</v>
      </c>
    </row>
    <row r="13" spans="1:10" x14ac:dyDescent="0.3">
      <c r="A13" s="352">
        <v>2008</v>
      </c>
      <c r="B13" s="509">
        <f>+'c-496'!H13</f>
        <v>9150.7296348314612</v>
      </c>
      <c r="C13" s="510">
        <f t="shared" si="0"/>
        <v>754.5372577247457</v>
      </c>
      <c r="D13" s="509">
        <f t="shared" si="1"/>
        <v>10563.52160814644</v>
      </c>
      <c r="E13" s="354">
        <f>+(D13-D12)/D12</f>
        <v>-7.894574197086654E-2</v>
      </c>
      <c r="F13" s="331">
        <f>+'c-500'!B21</f>
        <v>352719</v>
      </c>
      <c r="G13" s="331">
        <f>+'c-501'!B65</f>
        <v>348870</v>
      </c>
      <c r="H13" s="415">
        <f t="shared" si="3"/>
        <v>1.0110327629202855</v>
      </c>
      <c r="I13" s="347">
        <v>762.86188840374518</v>
      </c>
      <c r="J13">
        <f>+(I13-I12)/I12</f>
        <v>-6.8783968705311713E-2</v>
      </c>
    </row>
    <row r="14" spans="1:10" x14ac:dyDescent="0.3">
      <c r="A14" s="352">
        <v>2009</v>
      </c>
      <c r="B14" s="509">
        <f>+'c-496'!H14</f>
        <v>9233.3377808988771</v>
      </c>
      <c r="C14" s="510">
        <f t="shared" si="0"/>
        <v>896.92087586647926</v>
      </c>
      <c r="D14" s="509">
        <f t="shared" si="1"/>
        <v>12556.89226213071</v>
      </c>
      <c r="E14" s="354">
        <f t="shared" ref="E14:E28" si="4">+(D14-D13)/D13</f>
        <v>0.18870323060133753</v>
      </c>
      <c r="F14" s="331">
        <f>+'c-500'!B22</f>
        <v>363943</v>
      </c>
      <c r="G14" s="331">
        <f>+'c-501'!B66</f>
        <v>352693</v>
      </c>
      <c r="H14" s="415">
        <f t="shared" si="3"/>
        <v>1.0318974292089722</v>
      </c>
      <c r="I14" s="347">
        <v>925.53034601047966</v>
      </c>
      <c r="J14">
        <f>+(I14-I13)/I13</f>
        <v>0.21323447937228984</v>
      </c>
    </row>
    <row r="15" spans="1:10" x14ac:dyDescent="0.3">
      <c r="A15" s="352">
        <v>2010</v>
      </c>
      <c r="B15" s="509">
        <f>+'c-496'!H15</f>
        <v>9711</v>
      </c>
      <c r="C15" s="510">
        <f t="shared" si="0"/>
        <v>815.75511289556266</v>
      </c>
      <c r="D15" s="509">
        <f t="shared" si="1"/>
        <v>11420.571580537877</v>
      </c>
      <c r="E15" s="354">
        <f t="shared" si="4"/>
        <v>-9.049378284623566E-2</v>
      </c>
      <c r="F15" s="331">
        <f>+'c-500'!B23</f>
        <v>416784</v>
      </c>
      <c r="G15" s="331">
        <f>+'c-501'!B67</f>
        <v>382081</v>
      </c>
      <c r="H15" s="415">
        <f t="shared" si="3"/>
        <v>1.0908262907603361</v>
      </c>
      <c r="I15" s="347">
        <v>889.84712396864586</v>
      </c>
      <c r="J15">
        <f t="shared" ref="J15:J26" si="5">+(I15-I14)/I14</f>
        <v>-3.8554351238343693E-2</v>
      </c>
    </row>
    <row r="16" spans="1:10" x14ac:dyDescent="0.3">
      <c r="A16" s="352">
        <v>2011</v>
      </c>
      <c r="B16" s="509">
        <f>+'c-496'!H16</f>
        <v>10040</v>
      </c>
      <c r="C16" s="510">
        <f t="shared" si="0"/>
        <v>769.02212252597451</v>
      </c>
      <c r="D16" s="509">
        <f t="shared" si="1"/>
        <v>10766.309715363643</v>
      </c>
      <c r="E16" s="354">
        <f t="shared" si="4"/>
        <v>-5.7288014050818653E-2</v>
      </c>
      <c r="F16" s="331">
        <f>+'c-500'!B24</f>
        <v>473049</v>
      </c>
      <c r="G16" s="331">
        <f>+'c-501'!B68</f>
        <v>406256</v>
      </c>
      <c r="H16" s="415">
        <f t="shared" si="3"/>
        <v>1.1644111102359103</v>
      </c>
      <c r="I16" s="347">
        <v>895.45790348644618</v>
      </c>
      <c r="J16">
        <f t="shared" si="5"/>
        <v>6.3053297208813842E-3</v>
      </c>
    </row>
    <row r="17" spans="1:10" x14ac:dyDescent="0.3">
      <c r="A17" s="352">
        <v>2012</v>
      </c>
      <c r="B17" s="509">
        <f>+'c-496'!H17</f>
        <v>10694</v>
      </c>
      <c r="C17" s="510">
        <f t="shared" si="0"/>
        <v>849.38682580011437</v>
      </c>
      <c r="D17" s="509">
        <f t="shared" si="1"/>
        <v>11891.4155612016</v>
      </c>
      <c r="E17" s="354">
        <f t="shared" si="4"/>
        <v>0.10450245957836593</v>
      </c>
      <c r="F17" s="331">
        <f>+'c-500'!B25</f>
        <v>508131</v>
      </c>
      <c r="G17" s="331">
        <f>+'c-501'!B69</f>
        <v>431199</v>
      </c>
      <c r="H17" s="415">
        <f t="shared" si="3"/>
        <v>1.1784141428899417</v>
      </c>
      <c r="I17" s="347">
        <v>1000.92944830725</v>
      </c>
      <c r="J17">
        <f t="shared" si="5"/>
        <v>0.11778503982169641</v>
      </c>
    </row>
    <row r="18" spans="1:10" x14ac:dyDescent="0.3">
      <c r="A18" s="352">
        <v>2013</v>
      </c>
      <c r="B18" s="509">
        <f>+'c-496'!H18</f>
        <v>11034</v>
      </c>
      <c r="C18" s="510">
        <f t="shared" si="0"/>
        <v>873.63369244531486</v>
      </c>
      <c r="D18" s="509">
        <f t="shared" si="1"/>
        <v>12230.871694234407</v>
      </c>
      <c r="E18" s="354">
        <f t="shared" si="4"/>
        <v>2.8546318248296565E-2</v>
      </c>
      <c r="F18" s="331">
        <f>+'c-500'!B26</f>
        <v>543556</v>
      </c>
      <c r="G18" s="331">
        <f>+'c-501'!B70</f>
        <v>456435</v>
      </c>
      <c r="H18" s="415">
        <f t="shared" si="3"/>
        <v>1.1908727420114584</v>
      </c>
      <c r="I18" s="347">
        <v>1040.3865508359472</v>
      </c>
      <c r="J18">
        <f t="shared" si="5"/>
        <v>3.9420463245862312E-2</v>
      </c>
    </row>
    <row r="19" spans="1:10" x14ac:dyDescent="0.3">
      <c r="A19" s="352">
        <v>2014</v>
      </c>
      <c r="B19" s="509">
        <f>+'c-496'!H19</f>
        <v>11052</v>
      </c>
      <c r="C19" s="510">
        <f t="shared" si="0"/>
        <v>895.5006220151846</v>
      </c>
      <c r="D19" s="509">
        <f t="shared" si="1"/>
        <v>12537.008708212585</v>
      </c>
      <c r="E19" s="354">
        <f t="shared" si="4"/>
        <v>2.502986063720131E-2</v>
      </c>
      <c r="F19" s="331">
        <f>+'c-500'!B27</f>
        <v>570041</v>
      </c>
      <c r="G19" s="331">
        <f>+'c-501'!B71</f>
        <v>467308</v>
      </c>
      <c r="H19" s="415">
        <f t="shared" si="3"/>
        <v>1.2198400198584232</v>
      </c>
      <c r="I19" s="347">
        <v>1092.3674965422331</v>
      </c>
      <c r="J19">
        <f t="shared" si="5"/>
        <v>4.9963108101041237E-2</v>
      </c>
    </row>
    <row r="20" spans="1:10" x14ac:dyDescent="0.3">
      <c r="A20" s="352">
        <v>2015</v>
      </c>
      <c r="B20" s="509">
        <f>+'c-496'!H20</f>
        <v>11132</v>
      </c>
      <c r="C20" s="510">
        <f t="shared" si="0"/>
        <v>901.18369426671063</v>
      </c>
      <c r="D20" s="509">
        <f t="shared" si="1"/>
        <v>12616.571719733949</v>
      </c>
      <c r="E20" s="354">
        <f t="shared" si="4"/>
        <v>6.3462515958248684E-3</v>
      </c>
      <c r="F20" s="331">
        <f>+'c-500'!B28</f>
        <v>604416</v>
      </c>
      <c r="G20" s="331">
        <f>+'c-501'!B72</f>
        <v>482506</v>
      </c>
      <c r="H20" s="415">
        <f t="shared" si="3"/>
        <v>1.2526600705483455</v>
      </c>
      <c r="I20" s="347">
        <v>1128.8768300371564</v>
      </c>
      <c r="J20">
        <f t="shared" si="5"/>
        <v>3.3422207828857547E-2</v>
      </c>
    </row>
    <row r="21" spans="1:10" x14ac:dyDescent="0.3">
      <c r="A21" s="352">
        <v>2016</v>
      </c>
      <c r="B21" s="509">
        <f>+'c-496'!H21</f>
        <v>11019</v>
      </c>
      <c r="C21" s="510">
        <f t="shared" si="0"/>
        <v>932.25691445470488</v>
      </c>
      <c r="D21" s="509">
        <f t="shared" si="1"/>
        <v>13051.596802365868</v>
      </c>
      <c r="E21" s="354">
        <f t="shared" si="4"/>
        <v>3.4480450973181836E-2</v>
      </c>
      <c r="F21" s="331">
        <f>+'c-500'!B29</f>
        <v>647668</v>
      </c>
      <c r="G21" s="331">
        <f>+'c-501'!B73</f>
        <v>501581</v>
      </c>
      <c r="H21" s="415">
        <f t="shared" si="3"/>
        <v>1.2912530578311379</v>
      </c>
      <c r="I21" s="347">
        <v>1203.7795914738592</v>
      </c>
      <c r="J21">
        <f t="shared" si="5"/>
        <v>6.635158012255192E-2</v>
      </c>
    </row>
    <row r="22" spans="1:10" x14ac:dyDescent="0.3">
      <c r="A22" s="352">
        <v>2017</v>
      </c>
      <c r="B22" s="509">
        <f>+'c-496'!H22</f>
        <v>10969</v>
      </c>
      <c r="C22" s="510">
        <f t="shared" si="0"/>
        <v>939.11239988431373</v>
      </c>
      <c r="D22" s="509">
        <f t="shared" si="1"/>
        <v>13147.573598380392</v>
      </c>
      <c r="E22" s="354">
        <f t="shared" si="4"/>
        <v>7.3536439615669016E-3</v>
      </c>
      <c r="F22" s="331">
        <f>+'c-500'!B30</f>
        <v>687989</v>
      </c>
      <c r="G22" s="331">
        <f>+'c-501'!B74</f>
        <v>514215</v>
      </c>
      <c r="H22" s="415">
        <f t="shared" si="3"/>
        <v>1.337940355687796</v>
      </c>
      <c r="I22" s="347">
        <v>1256.4763783320384</v>
      </c>
      <c r="J22">
        <f t="shared" si="5"/>
        <v>4.3776109207549652E-2</v>
      </c>
    </row>
    <row r="23" spans="1:10" x14ac:dyDescent="0.3">
      <c r="A23" s="352">
        <v>2018</v>
      </c>
      <c r="B23" s="509">
        <f>+'c-496'!H23</f>
        <v>11267</v>
      </c>
      <c r="C23" s="510">
        <f t="shared" si="0"/>
        <v>926.91219839864152</v>
      </c>
      <c r="D23" s="509">
        <f t="shared" si="1"/>
        <v>12976.770777580981</v>
      </c>
      <c r="E23" s="354">
        <f t="shared" si="4"/>
        <v>-1.2991204766516837E-2</v>
      </c>
      <c r="F23" s="331">
        <f>+'c-500'!B31</f>
        <v>731588</v>
      </c>
      <c r="G23" s="331">
        <f>+'c-501'!B75</f>
        <v>534626</v>
      </c>
      <c r="H23" s="415">
        <f t="shared" si="3"/>
        <v>1.3684108142888673</v>
      </c>
      <c r="I23" s="347">
        <v>1268.3966761849692</v>
      </c>
      <c r="J23">
        <f t="shared" si="5"/>
        <v>9.4870847224003824E-3</v>
      </c>
    </row>
    <row r="24" spans="1:10" x14ac:dyDescent="0.3">
      <c r="A24" s="352">
        <v>2019</v>
      </c>
      <c r="B24" s="509">
        <f>+'c-496'!H24</f>
        <v>11434</v>
      </c>
      <c r="C24" s="510">
        <f t="shared" si="0"/>
        <v>937.92722669002671</v>
      </c>
      <c r="D24" s="509">
        <f t="shared" si="1"/>
        <v>13130.981173660373</v>
      </c>
      <c r="E24" s="354">
        <f t="shared" si="4"/>
        <v>1.1883572479049261E-2</v>
      </c>
      <c r="F24" s="331">
        <f>+'c-500'!B32</f>
        <v>761984</v>
      </c>
      <c r="G24" s="331">
        <f>+'c-501'!B76</f>
        <v>546605</v>
      </c>
      <c r="H24" s="415">
        <f t="shared" si="3"/>
        <v>1.3940304241637014</v>
      </c>
      <c r="I24" s="347">
        <v>1307.499089657382</v>
      </c>
      <c r="J24">
        <f t="shared" si="5"/>
        <v>3.0828221333741884E-2</v>
      </c>
    </row>
    <row r="25" spans="1:10" x14ac:dyDescent="0.3">
      <c r="A25" s="352">
        <v>2020</v>
      </c>
      <c r="B25" s="509">
        <f>+'c-496'!H25</f>
        <v>10524</v>
      </c>
      <c r="C25" s="510">
        <f t="shared" si="0"/>
        <v>807.24130823134271</v>
      </c>
      <c r="D25" s="509">
        <f t="shared" si="1"/>
        <v>11301.378315238799</v>
      </c>
      <c r="E25" s="354">
        <f t="shared" si="4"/>
        <v>-0.13933481696642758</v>
      </c>
      <c r="F25" s="331">
        <f>+'c-500'!B33</f>
        <v>703915</v>
      </c>
      <c r="G25" s="331">
        <f>+'c-501'!B77</f>
        <v>486843</v>
      </c>
      <c r="H25" s="415">
        <f t="shared" si="3"/>
        <v>1.4458768021723636</v>
      </c>
      <c r="I25" s="347">
        <v>1167.1714813269691</v>
      </c>
      <c r="J25">
        <f t="shared" si="5"/>
        <v>-0.10732520537906029</v>
      </c>
    </row>
    <row r="26" spans="1:10" x14ac:dyDescent="0.3">
      <c r="A26" s="352">
        <v>2021</v>
      </c>
      <c r="B26" s="509">
        <f>+'c-496'!H26</f>
        <v>11487</v>
      </c>
      <c r="C26" s="510">
        <f t="shared" si="0"/>
        <v>883.54722073344897</v>
      </c>
      <c r="D26" s="509">
        <f t="shared" si="1"/>
        <v>12369.661090268286</v>
      </c>
      <c r="E26" s="354">
        <f t="shared" si="4"/>
        <v>9.452676879146793E-2</v>
      </c>
      <c r="F26" s="331">
        <f>+'c-500'!B34</f>
        <v>878281</v>
      </c>
      <c r="G26" s="331">
        <f>+'c-501'!B78</f>
        <v>551898</v>
      </c>
      <c r="H26" s="415">
        <f t="shared" si="3"/>
        <v>1.5913828279863309</v>
      </c>
      <c r="I26" s="347">
        <v>1406.061874790259</v>
      </c>
      <c r="J26">
        <f t="shared" si="5"/>
        <v>0.20467463203581104</v>
      </c>
    </row>
    <row r="27" spans="1:10" x14ac:dyDescent="0.3">
      <c r="A27" s="352">
        <v>2022</v>
      </c>
      <c r="B27" s="509">
        <f>+'c-496'!H27</f>
        <v>11501</v>
      </c>
      <c r="C27" s="510">
        <f t="shared" si="0"/>
        <v>881.65774389335866</v>
      </c>
      <c r="D27" s="509">
        <f t="shared" si="1"/>
        <v>12343.208414507022</v>
      </c>
      <c r="E27" s="354">
        <f t="shared" si="4"/>
        <v>-2.1385125726747101E-3</v>
      </c>
      <c r="F27" s="331">
        <f>+'c-500'!B35</f>
        <v>943706</v>
      </c>
      <c r="G27" s="331">
        <f>+'c-501'!B79</f>
        <v>567401</v>
      </c>
      <c r="H27" s="415">
        <f t="shared" si="3"/>
        <v>1.6632082072467267</v>
      </c>
      <c r="I27" s="347">
        <f>+I26+(I26*$G$3)</f>
        <v>1466.3803956260667</v>
      </c>
    </row>
    <row r="28" spans="1:10" x14ac:dyDescent="0.3">
      <c r="A28" s="352">
        <v>2023</v>
      </c>
      <c r="B28" s="347">
        <f>+'c-496'!H28</f>
        <v>11058.544738420362</v>
      </c>
      <c r="C28" s="510">
        <f t="shared" si="0"/>
        <v>864.69786839463802</v>
      </c>
      <c r="D28" s="509">
        <f t="shared" si="1"/>
        <v>12105.770157524932</v>
      </c>
      <c r="E28" s="354">
        <f t="shared" si="4"/>
        <v>-1.923634836328518E-2</v>
      </c>
      <c r="F28" s="331">
        <f>+'c-500'!B36</f>
        <v>999447</v>
      </c>
      <c r="G28" s="331">
        <f>+'c-501'!B80</f>
        <v>565113</v>
      </c>
      <c r="H28" s="415">
        <f t="shared" si="3"/>
        <v>1.7685790275573203</v>
      </c>
      <c r="I28" s="347">
        <f>+I27+(I27*$G$3)</f>
        <v>1529.2865152162767</v>
      </c>
      <c r="J28" s="479">
        <f>+AVERAGE(J13:J26)</f>
        <v>4.2898909299283416E-2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31"/>
  <sheetViews>
    <sheetView workbookViewId="0"/>
  </sheetViews>
  <sheetFormatPr baseColWidth="10" defaultRowHeight="14.4" x14ac:dyDescent="0.3"/>
  <cols>
    <col min="2" max="2" width="20.21875" customWidth="1"/>
    <col min="3" max="3" width="26.88671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7" ht="18" x14ac:dyDescent="0.3">
      <c r="A1" s="229" t="s">
        <v>869</v>
      </c>
    </row>
    <row r="2" spans="1:7" ht="18" x14ac:dyDescent="0.3">
      <c r="A2" s="304" t="s">
        <v>872</v>
      </c>
      <c r="F2" s="331"/>
    </row>
    <row r="3" spans="1:7" x14ac:dyDescent="0.3">
      <c r="A3" s="231" t="s">
        <v>848</v>
      </c>
    </row>
    <row r="5" spans="1:7" ht="15" customHeight="1" thickBot="1" x14ac:dyDescent="0.35">
      <c r="A5" s="351" t="s">
        <v>849</v>
      </c>
      <c r="B5" s="353" t="s">
        <v>874</v>
      </c>
      <c r="C5" s="350" t="s">
        <v>895</v>
      </c>
      <c r="D5" s="350" t="s">
        <v>896</v>
      </c>
      <c r="E5" s="363" t="s">
        <v>875</v>
      </c>
      <c r="F5" s="363" t="s">
        <v>876</v>
      </c>
      <c r="G5" s="339" t="s">
        <v>877</v>
      </c>
    </row>
    <row r="6" spans="1:7" ht="15" customHeight="1" x14ac:dyDescent="0.3">
      <c r="A6" s="352">
        <v>2001</v>
      </c>
      <c r="B6" s="509">
        <f>+'c-499'!B22</f>
        <v>268003542</v>
      </c>
      <c r="C6" s="347">
        <v>21387</v>
      </c>
      <c r="D6" s="361">
        <v>25240</v>
      </c>
      <c r="E6" s="512">
        <f>C6/D6</f>
        <v>0.84734548335974647</v>
      </c>
      <c r="F6" s="331">
        <f t="shared" ref="F6:F11" si="0">B6/E6</f>
        <v>316286033.57553655</v>
      </c>
      <c r="G6" s="349"/>
    </row>
    <row r="7" spans="1:7" ht="15" customHeight="1" x14ac:dyDescent="0.3">
      <c r="A7" s="352">
        <v>2002</v>
      </c>
      <c r="B7" s="509">
        <f>+'c-499'!C22</f>
        <v>188953799</v>
      </c>
      <c r="C7" s="347">
        <v>21514</v>
      </c>
      <c r="D7" s="361">
        <v>25240</v>
      </c>
      <c r="E7" s="512">
        <f t="shared" ref="E7:E12" si="1">C7/D7</f>
        <v>0.85237717908082411</v>
      </c>
      <c r="F7" s="331">
        <f t="shared" si="0"/>
        <v>221678622.60667473</v>
      </c>
      <c r="G7" s="349">
        <f t="shared" ref="G7:G12" si="2">(F7-F6)/F6</f>
        <v>-0.29911978691992208</v>
      </c>
    </row>
    <row r="8" spans="1:7" ht="15" customHeight="1" x14ac:dyDescent="0.3">
      <c r="A8" s="352">
        <v>2003</v>
      </c>
      <c r="B8" s="509">
        <f>+'c-499'!D22</f>
        <v>399607816</v>
      </c>
      <c r="C8" s="347">
        <v>23537</v>
      </c>
      <c r="D8" s="361">
        <v>26224</v>
      </c>
      <c r="E8" s="512">
        <f t="shared" si="1"/>
        <v>0.89753660768761445</v>
      </c>
      <c r="F8" s="331">
        <f t="shared" si="0"/>
        <v>445227317.27849764</v>
      </c>
      <c r="G8" s="349">
        <f t="shared" si="2"/>
        <v>1.0084359603247186</v>
      </c>
    </row>
    <row r="9" spans="1:7" ht="15" customHeight="1" x14ac:dyDescent="0.3">
      <c r="A9" s="352">
        <v>2004</v>
      </c>
      <c r="B9" s="509">
        <f>+'c-499'!E22</f>
        <v>376716451</v>
      </c>
      <c r="C9" s="347">
        <v>25657</v>
      </c>
      <c r="D9" s="361">
        <v>27299</v>
      </c>
      <c r="E9" s="512">
        <f t="shared" si="1"/>
        <v>0.93985127660353862</v>
      </c>
      <c r="F9" s="331">
        <f t="shared" si="0"/>
        <v>400825599.08987802</v>
      </c>
      <c r="G9" s="349">
        <f t="shared" si="2"/>
        <v>-9.9728198305598453E-2</v>
      </c>
    </row>
    <row r="10" spans="1:7" ht="15" customHeight="1" x14ac:dyDescent="0.3">
      <c r="A10" s="352">
        <v>2005</v>
      </c>
      <c r="B10" s="509">
        <f>+'c-499'!F22</f>
        <v>409445244</v>
      </c>
      <c r="C10" s="347">
        <v>28697</v>
      </c>
      <c r="D10" s="361">
        <v>29783</v>
      </c>
      <c r="E10" s="512">
        <f t="shared" si="1"/>
        <v>0.96353624550918304</v>
      </c>
      <c r="F10" s="331">
        <f t="shared" si="0"/>
        <v>424940157.57925916</v>
      </c>
      <c r="G10" s="349">
        <f t="shared" si="2"/>
        <v>6.0162221535091806E-2</v>
      </c>
    </row>
    <row r="11" spans="1:7" ht="15" customHeight="1" x14ac:dyDescent="0.3">
      <c r="A11" s="352">
        <v>2006</v>
      </c>
      <c r="B11" s="509">
        <f>+'c-499'!G22</f>
        <v>462265719</v>
      </c>
      <c r="C11" s="347">
        <v>31688</v>
      </c>
      <c r="D11" s="361">
        <v>32046</v>
      </c>
      <c r="E11" s="512">
        <f t="shared" si="1"/>
        <v>0.98882855894651434</v>
      </c>
      <c r="F11" s="331">
        <f t="shared" si="0"/>
        <v>467488236.27474123</v>
      </c>
      <c r="G11" s="349">
        <f t="shared" si="2"/>
        <v>0.10012722482587698</v>
      </c>
    </row>
    <row r="12" spans="1:7" x14ac:dyDescent="0.3">
      <c r="A12" s="352">
        <v>2007</v>
      </c>
      <c r="B12" s="347">
        <f>+'c-499'!H22</f>
        <v>586844046</v>
      </c>
      <c r="C12" s="347">
        <v>33424</v>
      </c>
      <c r="D12" s="395">
        <v>33424</v>
      </c>
      <c r="E12" s="512">
        <f t="shared" si="1"/>
        <v>1</v>
      </c>
      <c r="F12" s="331">
        <f>B12/E12</f>
        <v>586844046</v>
      </c>
      <c r="G12" s="349">
        <f t="shared" si="2"/>
        <v>0.25531296931953978</v>
      </c>
    </row>
    <row r="13" spans="1:7" x14ac:dyDescent="0.3">
      <c r="A13" s="352">
        <v>2008</v>
      </c>
      <c r="B13" s="347">
        <f>+'c-499'!I22</f>
        <v>754493359</v>
      </c>
      <c r="C13" s="347">
        <v>36580</v>
      </c>
      <c r="D13" s="361">
        <v>35043</v>
      </c>
      <c r="E13" s="362">
        <f t="shared" ref="E13:E28" si="3">(C13/D13)</f>
        <v>1.0438604000799019</v>
      </c>
      <c r="F13" s="331">
        <f t="shared" ref="F13:F28" si="4">B13/E13</f>
        <v>722791437.38209403</v>
      </c>
      <c r="G13" s="349">
        <f>(F13-F12)/F12</f>
        <v>0.23165846583726613</v>
      </c>
    </row>
    <row r="14" spans="1:7" x14ac:dyDescent="0.3">
      <c r="A14" s="352">
        <v>2009</v>
      </c>
      <c r="B14" s="347">
        <f>+'c-499'!J22</f>
        <v>893095747</v>
      </c>
      <c r="C14" s="347">
        <v>41731</v>
      </c>
      <c r="D14" s="361">
        <v>39272</v>
      </c>
      <c r="E14" s="362">
        <f t="shared" si="3"/>
        <v>1.0626145854552862</v>
      </c>
      <c r="F14" s="331">
        <f t="shared" si="4"/>
        <v>840470062.45199013</v>
      </c>
      <c r="G14" s="349">
        <f t="shared" ref="G14:G28" si="5">(F14-F13)/F13</f>
        <v>0.16281131593938192</v>
      </c>
    </row>
    <row r="15" spans="1:7" x14ac:dyDescent="0.3">
      <c r="A15" s="352">
        <v>2010</v>
      </c>
      <c r="B15" s="347">
        <f>+'c-499'!K22</f>
        <v>1071390748</v>
      </c>
      <c r="C15" s="347">
        <v>43870</v>
      </c>
      <c r="D15" s="361">
        <v>40804</v>
      </c>
      <c r="E15" s="362">
        <f t="shared" si="3"/>
        <v>1.0751396921870404</v>
      </c>
      <c r="F15" s="331">
        <f t="shared" si="4"/>
        <v>996513063.17282891</v>
      </c>
      <c r="G15" s="349">
        <f t="shared" si="5"/>
        <v>0.18566158116994486</v>
      </c>
    </row>
    <row r="16" spans="1:7" x14ac:dyDescent="0.3">
      <c r="A16" s="352">
        <v>2011</v>
      </c>
      <c r="B16" s="347">
        <f>+'c-499'!L22</f>
        <v>1110935369</v>
      </c>
      <c r="C16" s="347">
        <v>49019</v>
      </c>
      <c r="D16" s="361">
        <v>43817</v>
      </c>
      <c r="E16" s="362">
        <f t="shared" si="3"/>
        <v>1.1187210443435196</v>
      </c>
      <c r="F16" s="331">
        <f t="shared" si="4"/>
        <v>993040556.997756</v>
      </c>
      <c r="G16" s="349">
        <f t="shared" si="5"/>
        <v>-3.4846569537349448E-3</v>
      </c>
    </row>
    <row r="17" spans="1:10" x14ac:dyDescent="0.3">
      <c r="A17" s="352">
        <v>2012</v>
      </c>
      <c r="B17" s="347">
        <f>+'c-499'!M22</f>
        <v>1378244641</v>
      </c>
      <c r="C17" s="347">
        <v>55240</v>
      </c>
      <c r="D17" s="361">
        <v>47442</v>
      </c>
      <c r="E17" s="362">
        <f t="shared" si="3"/>
        <v>1.164369124404536</v>
      </c>
      <c r="F17" s="331">
        <f t="shared" si="4"/>
        <v>1183683603.517777</v>
      </c>
      <c r="G17" s="349">
        <f t="shared" si="5"/>
        <v>0.19197911422307776</v>
      </c>
    </row>
    <row r="18" spans="1:10" x14ac:dyDescent="0.3">
      <c r="A18" s="352">
        <v>2013</v>
      </c>
      <c r="B18" s="347">
        <f>+'c-499'!N22</f>
        <v>1527842992</v>
      </c>
      <c r="C18" s="347">
        <v>62514</v>
      </c>
      <c r="D18" s="361">
        <v>51019</v>
      </c>
      <c r="E18" s="362">
        <f t="shared" si="3"/>
        <v>1.2253082185068307</v>
      </c>
      <c r="F18" s="331">
        <f t="shared" si="4"/>
        <v>1246905039.0128293</v>
      </c>
      <c r="G18" s="349">
        <f t="shared" si="5"/>
        <v>5.3410755464691081E-2</v>
      </c>
    </row>
    <row r="19" spans="1:10" x14ac:dyDescent="0.3">
      <c r="A19" s="352">
        <v>2014</v>
      </c>
      <c r="B19" s="347">
        <f>+'c-499'!O22</f>
        <v>1699818063</v>
      </c>
      <c r="C19" s="347">
        <v>70697</v>
      </c>
      <c r="D19" s="361">
        <v>54342</v>
      </c>
      <c r="E19" s="362">
        <f t="shared" si="3"/>
        <v>1.3009642633690333</v>
      </c>
      <c r="F19" s="331">
        <f t="shared" si="4"/>
        <v>1306583209.7478817</v>
      </c>
      <c r="G19" s="349">
        <f t="shared" si="5"/>
        <v>4.7861039026916886E-2</v>
      </c>
    </row>
    <row r="20" spans="1:10" x14ac:dyDescent="0.3">
      <c r="A20" s="352">
        <v>2015</v>
      </c>
      <c r="B20" s="347">
        <f>+'c-499'!P22</f>
        <v>1672887805</v>
      </c>
      <c r="C20" s="347">
        <v>78366</v>
      </c>
      <c r="D20" s="361">
        <v>58712</v>
      </c>
      <c r="E20" s="362">
        <f t="shared" si="3"/>
        <v>1.33475269110233</v>
      </c>
      <c r="F20" s="331">
        <f t="shared" si="4"/>
        <v>1253331659.2292576</v>
      </c>
      <c r="G20" s="349">
        <f t="shared" si="5"/>
        <v>-4.0756340752993059E-2</v>
      </c>
      <c r="J20" s="331"/>
    </row>
    <row r="21" spans="1:10" x14ac:dyDescent="0.3">
      <c r="A21" s="352">
        <v>2016</v>
      </c>
      <c r="B21" s="347">
        <f>+'c-499'!Q22</f>
        <v>1880742649</v>
      </c>
      <c r="C21" s="347">
        <v>85257</v>
      </c>
      <c r="D21" s="361">
        <v>61749</v>
      </c>
      <c r="E21" s="362">
        <f t="shared" si="3"/>
        <v>1.380702521498324</v>
      </c>
      <c r="F21" s="331">
        <f t="shared" si="4"/>
        <v>1362163550.5952706</v>
      </c>
      <c r="G21" s="349">
        <f t="shared" si="5"/>
        <v>8.6834071863260642E-2</v>
      </c>
    </row>
    <row r="22" spans="1:10" x14ac:dyDescent="0.3">
      <c r="A22" s="352">
        <v>2017</v>
      </c>
      <c r="B22" s="347">
        <f>+'c-499'!R22</f>
        <v>2123294316</v>
      </c>
      <c r="C22" s="347">
        <v>90899</v>
      </c>
      <c r="D22" s="361">
        <v>63759</v>
      </c>
      <c r="E22" s="362">
        <f t="shared" si="3"/>
        <v>1.4256653962577832</v>
      </c>
      <c r="F22" s="331">
        <f t="shared" si="4"/>
        <v>1489335661.4907095</v>
      </c>
      <c r="G22" s="349">
        <f t="shared" si="5"/>
        <v>9.336038307577986E-2</v>
      </c>
    </row>
    <row r="23" spans="1:10" x14ac:dyDescent="0.3">
      <c r="A23" s="352">
        <v>2018</v>
      </c>
      <c r="B23" s="347">
        <f>+'c-499'!S22</f>
        <v>2141584326</v>
      </c>
      <c r="C23" s="347">
        <v>95673</v>
      </c>
      <c r="D23" s="361">
        <v>65492</v>
      </c>
      <c r="E23" s="362">
        <f t="shared" si="3"/>
        <v>1.4608349111341843</v>
      </c>
      <c r="F23" s="331">
        <f t="shared" si="4"/>
        <v>1466000237.0406699</v>
      </c>
      <c r="G23" s="349">
        <f t="shared" si="5"/>
        <v>-1.5668344654208223E-2</v>
      </c>
    </row>
    <row r="24" spans="1:10" x14ac:dyDescent="0.3">
      <c r="A24" s="352">
        <v>2019</v>
      </c>
      <c r="B24" s="347">
        <f>+'c-499'!T22</f>
        <v>2215077406</v>
      </c>
      <c r="C24" s="347">
        <v>100920</v>
      </c>
      <c r="D24" s="361">
        <v>67840</v>
      </c>
      <c r="E24" s="362">
        <f t="shared" si="3"/>
        <v>1.4876179245283019</v>
      </c>
      <c r="F24" s="331">
        <f t="shared" si="4"/>
        <v>1489009623.6924295</v>
      </c>
      <c r="G24" s="349">
        <f t="shared" si="5"/>
        <v>1.569534988494091E-2</v>
      </c>
    </row>
    <row r="25" spans="1:10" x14ac:dyDescent="0.3">
      <c r="A25" s="352">
        <v>2020</v>
      </c>
      <c r="B25" s="347">
        <f>+'c-499'!U22</f>
        <v>2735851743</v>
      </c>
      <c r="C25" s="347">
        <v>111346</v>
      </c>
      <c r="D25" s="361">
        <v>73636</v>
      </c>
      <c r="E25" s="362">
        <f t="shared" si="3"/>
        <v>1.5121136400673583</v>
      </c>
      <c r="F25" s="331">
        <f t="shared" si="4"/>
        <v>1809289771.9500299</v>
      </c>
      <c r="G25" s="349">
        <f t="shared" si="5"/>
        <v>0.215096090153785</v>
      </c>
    </row>
    <row r="26" spans="1:10" x14ac:dyDescent="0.3">
      <c r="A26" s="352">
        <v>2021</v>
      </c>
      <c r="B26" s="347">
        <f>+'c-499'!V22</f>
        <v>3312827864</v>
      </c>
      <c r="C26" s="347">
        <v>120762</v>
      </c>
      <c r="D26" s="361">
        <v>77353</v>
      </c>
      <c r="E26" s="362">
        <f t="shared" si="3"/>
        <v>1.5611805618398769</v>
      </c>
      <c r="F26" s="331">
        <f t="shared" si="4"/>
        <v>2122001737.0032959</v>
      </c>
      <c r="G26" s="349">
        <f t="shared" si="5"/>
        <v>0.17283686112713112</v>
      </c>
    </row>
    <row r="27" spans="1:10" x14ac:dyDescent="0.3">
      <c r="A27" s="352">
        <v>2022</v>
      </c>
      <c r="B27" s="347">
        <f>+'c-499'!W22</f>
        <v>3207197735</v>
      </c>
      <c r="C27" s="347">
        <v>126409</v>
      </c>
      <c r="D27" s="361">
        <v>77199</v>
      </c>
      <c r="E27" s="362">
        <f t="shared" si="3"/>
        <v>1.6374434902006503</v>
      </c>
      <c r="F27" s="331">
        <f t="shared" si="4"/>
        <v>1958661629.6645412</v>
      </c>
      <c r="G27" s="349">
        <f t="shared" si="5"/>
        <v>-7.6974539883942122E-2</v>
      </c>
    </row>
    <row r="28" spans="1:10" x14ac:dyDescent="0.3">
      <c r="A28" s="352">
        <v>2023</v>
      </c>
      <c r="B28" s="347">
        <f>+'c-499'!X22</f>
        <v>3244806375</v>
      </c>
      <c r="C28" s="347">
        <v>135567</v>
      </c>
      <c r="D28" s="361">
        <v>79902</v>
      </c>
      <c r="E28" s="362">
        <f t="shared" si="3"/>
        <v>1.6966659157467898</v>
      </c>
      <c r="F28" s="331">
        <f t="shared" si="4"/>
        <v>1912460399.4722166</v>
      </c>
      <c r="G28" s="349">
        <f t="shared" si="5"/>
        <v>-2.3588163209302005E-2</v>
      </c>
    </row>
    <row r="31" spans="1:10" x14ac:dyDescent="0.3">
      <c r="F31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X61"/>
  <sheetViews>
    <sheetView topLeftCell="A8" workbookViewId="0">
      <selection activeCell="C28" sqref="C28"/>
    </sheetView>
  </sheetViews>
  <sheetFormatPr baseColWidth="10" defaultRowHeight="14.4" x14ac:dyDescent="0.3"/>
  <cols>
    <col min="1" max="1" width="23.5546875" customWidth="1"/>
    <col min="2" max="2" width="24.109375" customWidth="1"/>
    <col min="3" max="3" width="24.6640625" customWidth="1"/>
    <col min="4" max="4" width="17.6640625" customWidth="1"/>
    <col min="5" max="8" width="13.6640625" customWidth="1"/>
    <col min="9" max="9" width="16.21875" customWidth="1"/>
    <col min="10" max="10" width="13.6640625" customWidth="1"/>
    <col min="11" max="11" width="15.44140625" customWidth="1"/>
    <col min="12" max="12" width="15.33203125" customWidth="1"/>
    <col min="13" max="14" width="15.6640625" customWidth="1"/>
    <col min="15" max="16" width="16.21875" customWidth="1"/>
    <col min="17" max="17" width="16.33203125" customWidth="1"/>
    <col min="18" max="18" width="15.21875" customWidth="1"/>
    <col min="19" max="19" width="14.44140625" customWidth="1"/>
    <col min="20" max="20" width="14.21875" customWidth="1"/>
    <col min="21" max="21" width="17.77734375" customWidth="1"/>
    <col min="22" max="22" width="15.21875" customWidth="1"/>
    <col min="23" max="23" width="15.5546875" customWidth="1"/>
    <col min="24" max="24" width="14.77734375" customWidth="1"/>
  </cols>
  <sheetData>
    <row r="1" spans="1:24" ht="18" x14ac:dyDescent="0.3">
      <c r="A1" s="229" t="s">
        <v>870</v>
      </c>
    </row>
    <row r="2" spans="1:24" ht="18" x14ac:dyDescent="0.3">
      <c r="A2" s="304" t="s">
        <v>1011</v>
      </c>
    </row>
    <row r="3" spans="1:24" x14ac:dyDescent="0.3">
      <c r="A3" s="231" t="s">
        <v>1012</v>
      </c>
    </row>
    <row r="5" spans="1:24" ht="15" thickBot="1" x14ac:dyDescent="0.35">
      <c r="A5" s="351" t="s">
        <v>878</v>
      </c>
      <c r="B5" s="351">
        <v>2001</v>
      </c>
      <c r="C5" s="351">
        <v>2002</v>
      </c>
      <c r="D5" s="351">
        <v>2003</v>
      </c>
      <c r="E5" s="351">
        <v>2004</v>
      </c>
      <c r="F5" s="351">
        <v>2005</v>
      </c>
      <c r="G5" s="351">
        <v>2006</v>
      </c>
      <c r="H5" s="351">
        <v>2007</v>
      </c>
      <c r="I5" s="351">
        <v>2008</v>
      </c>
      <c r="J5" s="351">
        <v>2009</v>
      </c>
      <c r="K5" s="351">
        <v>2010</v>
      </c>
      <c r="L5" s="351">
        <v>2011</v>
      </c>
      <c r="M5" s="351">
        <v>2012</v>
      </c>
      <c r="N5" s="351">
        <v>2013</v>
      </c>
      <c r="O5" s="351">
        <v>2014</v>
      </c>
      <c r="P5" s="351">
        <v>2015</v>
      </c>
      <c r="Q5" s="351">
        <v>2016</v>
      </c>
      <c r="R5" s="351">
        <v>2017</v>
      </c>
      <c r="S5" s="351">
        <v>2018</v>
      </c>
      <c r="T5" s="351">
        <v>2019</v>
      </c>
      <c r="U5" s="351">
        <v>2020</v>
      </c>
      <c r="V5" s="351">
        <v>2021</v>
      </c>
      <c r="W5" s="351">
        <v>2022</v>
      </c>
      <c r="X5" s="351">
        <v>2023</v>
      </c>
    </row>
    <row r="6" spans="1:24" ht="15.6" x14ac:dyDescent="0.3">
      <c r="A6" s="515" t="s">
        <v>864</v>
      </c>
      <c r="B6" s="517">
        <f t="shared" ref="B6:G6" si="0">+SUM(B7)</f>
        <v>1661642</v>
      </c>
      <c r="C6" s="517">
        <f t="shared" si="0"/>
        <v>708347</v>
      </c>
      <c r="D6" s="517">
        <f t="shared" si="0"/>
        <v>4446230</v>
      </c>
      <c r="E6" s="517">
        <f t="shared" si="0"/>
        <v>6237090</v>
      </c>
      <c r="F6" s="517">
        <f t="shared" si="0"/>
        <v>6198722</v>
      </c>
      <c r="G6" s="517">
        <f t="shared" si="0"/>
        <v>27037162</v>
      </c>
      <c r="H6" s="517">
        <f>+SUM(H7)</f>
        <v>61641639</v>
      </c>
      <c r="I6" s="517">
        <f t="shared" ref="I6:X6" si="1">+SUM(I7)</f>
        <v>136924342</v>
      </c>
      <c r="J6" s="517">
        <f t="shared" si="1"/>
        <v>136386645</v>
      </c>
      <c r="K6" s="517">
        <f t="shared" si="1"/>
        <v>228419654</v>
      </c>
      <c r="L6" s="517">
        <f t="shared" si="1"/>
        <v>184378446</v>
      </c>
      <c r="M6" s="517">
        <f t="shared" si="1"/>
        <v>253589065</v>
      </c>
      <c r="N6" s="517">
        <f t="shared" si="1"/>
        <v>232793159</v>
      </c>
      <c r="O6" s="517">
        <f t="shared" si="1"/>
        <v>209431569</v>
      </c>
      <c r="P6" s="517">
        <f t="shared" si="1"/>
        <v>152328903</v>
      </c>
      <c r="Q6" s="517">
        <f t="shared" si="1"/>
        <v>218537826</v>
      </c>
      <c r="R6" s="517">
        <f t="shared" si="1"/>
        <v>330299688</v>
      </c>
      <c r="S6" s="517">
        <f t="shared" si="1"/>
        <v>212743631</v>
      </c>
      <c r="T6" s="517">
        <f t="shared" si="1"/>
        <v>300308602</v>
      </c>
      <c r="U6" s="517">
        <f t="shared" si="1"/>
        <v>171609359</v>
      </c>
      <c r="V6" s="517">
        <f t="shared" si="1"/>
        <v>246008854</v>
      </c>
      <c r="W6" s="517">
        <f t="shared" si="1"/>
        <v>256773155</v>
      </c>
      <c r="X6" s="517">
        <f t="shared" si="1"/>
        <v>233245023</v>
      </c>
    </row>
    <row r="7" spans="1:24" x14ac:dyDescent="0.3">
      <c r="A7" s="513" t="s">
        <v>864</v>
      </c>
      <c r="B7" s="347">
        <v>1661642</v>
      </c>
      <c r="C7" s="347">
        <v>708347</v>
      </c>
      <c r="D7" s="347">
        <v>4446230</v>
      </c>
      <c r="E7" s="347">
        <v>6237090</v>
      </c>
      <c r="F7" s="347">
        <v>6198722</v>
      </c>
      <c r="G7" s="347">
        <v>27037162</v>
      </c>
      <c r="H7" s="347">
        <v>61641639</v>
      </c>
      <c r="I7" s="347">
        <v>136924342</v>
      </c>
      <c r="J7" s="347">
        <v>136386645</v>
      </c>
      <c r="K7" s="347">
        <v>228419654</v>
      </c>
      <c r="L7" s="347">
        <v>184378446</v>
      </c>
      <c r="M7" s="347">
        <v>253589065</v>
      </c>
      <c r="N7" s="347">
        <v>232793159</v>
      </c>
      <c r="O7" s="347">
        <v>209431569</v>
      </c>
      <c r="P7" s="347">
        <v>152328903</v>
      </c>
      <c r="Q7" s="347">
        <v>218537826</v>
      </c>
      <c r="R7" s="347">
        <v>330299688</v>
      </c>
      <c r="S7" s="347">
        <v>212743631</v>
      </c>
      <c r="T7" s="347">
        <v>300308602</v>
      </c>
      <c r="U7" s="347">
        <v>171609359</v>
      </c>
      <c r="V7" s="347">
        <v>246008854</v>
      </c>
      <c r="W7" s="347">
        <v>256773155</v>
      </c>
      <c r="X7" s="347">
        <v>233245023</v>
      </c>
    </row>
    <row r="8" spans="1:24" ht="15.6" x14ac:dyDescent="0.3">
      <c r="A8" s="516" t="s">
        <v>866</v>
      </c>
      <c r="B8" s="517">
        <f t="shared" ref="B8:G8" si="2">+SUM(B9:B11)</f>
        <v>64009232</v>
      </c>
      <c r="C8" s="517">
        <f t="shared" si="2"/>
        <v>70675436</v>
      </c>
      <c r="D8" s="517">
        <f t="shared" si="2"/>
        <v>76980782</v>
      </c>
      <c r="E8" s="517">
        <f t="shared" si="2"/>
        <v>102654956</v>
      </c>
      <c r="F8" s="517">
        <f t="shared" si="2"/>
        <v>111509703</v>
      </c>
      <c r="G8" s="517">
        <f t="shared" si="2"/>
        <v>126106164</v>
      </c>
      <c r="H8" s="517">
        <f>+SUM(H9:H11)</f>
        <v>145576956</v>
      </c>
      <c r="I8" s="517">
        <f t="shared" ref="I8:X8" si="3">+SUM(I9:I11)</f>
        <v>155295543</v>
      </c>
      <c r="J8" s="517">
        <f t="shared" si="3"/>
        <v>198191565</v>
      </c>
      <c r="K8" s="517">
        <f t="shared" si="3"/>
        <v>221157304</v>
      </c>
      <c r="L8" s="517">
        <f t="shared" si="3"/>
        <v>260340586</v>
      </c>
      <c r="M8" s="517">
        <f t="shared" si="3"/>
        <v>300812439</v>
      </c>
      <c r="N8" s="517">
        <f t="shared" si="3"/>
        <v>368686238</v>
      </c>
      <c r="O8" s="517">
        <f t="shared" si="3"/>
        <v>385798724</v>
      </c>
      <c r="P8" s="517">
        <f t="shared" si="3"/>
        <v>408775695</v>
      </c>
      <c r="Q8" s="517">
        <f t="shared" si="3"/>
        <v>443019796</v>
      </c>
      <c r="R8" s="517">
        <f t="shared" si="3"/>
        <v>470740007</v>
      </c>
      <c r="S8" s="517">
        <f t="shared" si="3"/>
        <v>577094714</v>
      </c>
      <c r="T8" s="517">
        <f t="shared" si="3"/>
        <v>551655186</v>
      </c>
      <c r="U8" s="517">
        <f t="shared" si="3"/>
        <v>661023071</v>
      </c>
      <c r="V8" s="517">
        <f t="shared" si="3"/>
        <v>879546228</v>
      </c>
      <c r="W8" s="517">
        <f t="shared" si="3"/>
        <v>915428244</v>
      </c>
      <c r="X8" s="517">
        <f t="shared" si="3"/>
        <v>959648380</v>
      </c>
    </row>
    <row r="9" spans="1:24" x14ac:dyDescent="0.3">
      <c r="A9" s="514" t="s">
        <v>1057</v>
      </c>
      <c r="B9" s="347">
        <v>11410747</v>
      </c>
      <c r="C9" s="347">
        <v>10297975</v>
      </c>
      <c r="D9" s="347">
        <v>5819326</v>
      </c>
      <c r="E9" s="347">
        <v>6356659</v>
      </c>
      <c r="F9" s="347">
        <v>6905937</v>
      </c>
      <c r="G9" s="347">
        <v>9634176</v>
      </c>
      <c r="H9" s="347">
        <v>10412366</v>
      </c>
      <c r="I9" s="347">
        <v>17230005</v>
      </c>
      <c r="J9" s="347">
        <v>18955200</v>
      </c>
      <c r="K9" s="347">
        <v>17496068</v>
      </c>
      <c r="L9" s="347">
        <v>19429865</v>
      </c>
      <c r="M9" s="347">
        <v>36196983</v>
      </c>
      <c r="N9" s="347">
        <v>25696294</v>
      </c>
      <c r="O9" s="347">
        <v>33649346</v>
      </c>
      <c r="P9" s="347">
        <v>29249303</v>
      </c>
      <c r="Q9" s="347">
        <v>34610344</v>
      </c>
      <c r="R9" s="347">
        <v>30906903</v>
      </c>
      <c r="S9" s="347">
        <v>28048362</v>
      </c>
      <c r="T9" s="347">
        <v>36332675</v>
      </c>
      <c r="U9" s="347">
        <v>163161758</v>
      </c>
      <c r="V9" s="347">
        <v>102378650</v>
      </c>
      <c r="W9" s="347">
        <v>88585370</v>
      </c>
      <c r="X9" s="347">
        <v>60066034</v>
      </c>
    </row>
    <row r="10" spans="1:24" x14ac:dyDescent="0.3">
      <c r="A10" s="514" t="s">
        <v>1058</v>
      </c>
      <c r="B10" s="347">
        <v>52598485</v>
      </c>
      <c r="C10" s="347">
        <v>60377461</v>
      </c>
      <c r="D10" s="347">
        <v>71161456</v>
      </c>
      <c r="E10" s="347">
        <v>96298297</v>
      </c>
      <c r="F10" s="347">
        <v>104603766</v>
      </c>
      <c r="G10" s="347">
        <v>116471988</v>
      </c>
      <c r="H10" s="347">
        <v>135164590</v>
      </c>
      <c r="I10" s="347">
        <v>138065538</v>
      </c>
      <c r="J10" s="347">
        <v>179218721</v>
      </c>
      <c r="K10" s="347">
        <v>203326809</v>
      </c>
      <c r="L10" s="347">
        <v>240719138</v>
      </c>
      <c r="M10" s="347">
        <v>264011038</v>
      </c>
      <c r="N10" s="347">
        <v>342101309</v>
      </c>
      <c r="O10" s="347">
        <v>351586197</v>
      </c>
      <c r="P10" s="347">
        <v>379237702</v>
      </c>
      <c r="Q10" s="347">
        <v>408169686</v>
      </c>
      <c r="R10" s="347">
        <v>439614074</v>
      </c>
      <c r="S10" s="347">
        <v>548722903</v>
      </c>
      <c r="T10" s="347">
        <v>514984343</v>
      </c>
      <c r="U10" s="347">
        <v>495943195</v>
      </c>
      <c r="V10" s="347">
        <v>773030263</v>
      </c>
      <c r="W10" s="347">
        <v>825718700</v>
      </c>
      <c r="X10" s="347">
        <v>899001356</v>
      </c>
    </row>
    <row r="11" spans="1:24" x14ac:dyDescent="0.3">
      <c r="A11" s="514" t="s">
        <v>1068</v>
      </c>
      <c r="B11" s="347"/>
      <c r="C11" s="347"/>
      <c r="D11" s="347"/>
      <c r="E11" s="347"/>
      <c r="F11" s="347"/>
      <c r="G11" s="347"/>
      <c r="H11" s="347"/>
      <c r="I11" s="347"/>
      <c r="J11" s="347">
        <v>17644</v>
      </c>
      <c r="K11" s="347">
        <v>334427</v>
      </c>
      <c r="L11" s="347">
        <v>191583</v>
      </c>
      <c r="M11" s="347">
        <v>604418</v>
      </c>
      <c r="N11" s="347">
        <v>888635</v>
      </c>
      <c r="O11" s="347">
        <v>563181</v>
      </c>
      <c r="P11" s="347">
        <v>288690</v>
      </c>
      <c r="Q11" s="347">
        <v>239766</v>
      </c>
      <c r="R11" s="347">
        <v>219030</v>
      </c>
      <c r="S11" s="347">
        <v>323449</v>
      </c>
      <c r="T11" s="347">
        <v>338168</v>
      </c>
      <c r="U11" s="347">
        <v>1918118</v>
      </c>
      <c r="V11" s="347">
        <v>4137315</v>
      </c>
      <c r="W11" s="347">
        <v>1124174</v>
      </c>
      <c r="X11" s="347">
        <v>580990</v>
      </c>
    </row>
    <row r="12" spans="1:24" ht="15.6" x14ac:dyDescent="0.3">
      <c r="A12" s="515" t="s">
        <v>867</v>
      </c>
      <c r="B12" s="517">
        <f t="shared" ref="B12:G12" si="4">SUM(B13:B18)</f>
        <v>176733631</v>
      </c>
      <c r="C12" s="517">
        <f t="shared" si="4"/>
        <v>97546624</v>
      </c>
      <c r="D12" s="517">
        <f t="shared" si="4"/>
        <v>211045922</v>
      </c>
      <c r="E12" s="517">
        <f t="shared" si="4"/>
        <v>235548903</v>
      </c>
      <c r="F12" s="517">
        <f t="shared" si="4"/>
        <v>258918225</v>
      </c>
      <c r="G12" s="517">
        <f t="shared" si="4"/>
        <v>279057011</v>
      </c>
      <c r="H12" s="517">
        <f>SUM(H13:H18)</f>
        <v>324824767</v>
      </c>
      <c r="I12" s="517">
        <f t="shared" ref="I12:X12" si="5">SUM(I13:I18)</f>
        <v>404225354</v>
      </c>
      <c r="J12" s="517">
        <f t="shared" si="5"/>
        <v>433283741</v>
      </c>
      <c r="K12" s="517">
        <f t="shared" si="5"/>
        <v>456295059</v>
      </c>
      <c r="L12" s="517">
        <f t="shared" si="5"/>
        <v>512286744</v>
      </c>
      <c r="M12" s="517">
        <f t="shared" si="5"/>
        <v>600732420</v>
      </c>
      <c r="N12" s="517">
        <f t="shared" si="5"/>
        <v>706683077</v>
      </c>
      <c r="O12" s="517">
        <f t="shared" si="5"/>
        <v>811022477</v>
      </c>
      <c r="P12" s="517">
        <f t="shared" si="5"/>
        <v>823360394</v>
      </c>
      <c r="Q12" s="517">
        <f t="shared" si="5"/>
        <v>941268130</v>
      </c>
      <c r="R12" s="517">
        <f t="shared" si="5"/>
        <v>1018023471</v>
      </c>
      <c r="S12" s="517">
        <f t="shared" si="5"/>
        <v>1056089455</v>
      </c>
      <c r="T12" s="517">
        <f t="shared" si="5"/>
        <v>1077611135</v>
      </c>
      <c r="U12" s="517">
        <f t="shared" si="5"/>
        <v>1210628494</v>
      </c>
      <c r="V12" s="517">
        <f t="shared" si="5"/>
        <v>1530235641</v>
      </c>
      <c r="W12" s="517">
        <f t="shared" si="5"/>
        <v>1572932418</v>
      </c>
      <c r="X12" s="517">
        <f t="shared" si="5"/>
        <v>1614547995</v>
      </c>
    </row>
    <row r="13" spans="1:24" x14ac:dyDescent="0.3">
      <c r="A13" s="513" t="s">
        <v>1059</v>
      </c>
      <c r="B13" s="347">
        <v>16369177</v>
      </c>
      <c r="C13" s="347">
        <v>18297660</v>
      </c>
      <c r="D13" s="347">
        <v>19536605</v>
      </c>
      <c r="E13" s="347">
        <v>21772266</v>
      </c>
      <c r="F13" s="347">
        <v>23895334</v>
      </c>
      <c r="G13" s="347">
        <v>26246398</v>
      </c>
      <c r="H13" s="347">
        <v>30398063</v>
      </c>
      <c r="I13" s="347">
        <v>33689386</v>
      </c>
      <c r="J13" s="347">
        <v>37061126</v>
      </c>
      <c r="K13" s="347">
        <v>43872112</v>
      </c>
      <c r="L13" s="347">
        <v>51187730</v>
      </c>
      <c r="M13" s="347">
        <v>63539621</v>
      </c>
      <c r="N13" s="347">
        <v>83010740</v>
      </c>
      <c r="O13" s="347">
        <v>110345325</v>
      </c>
      <c r="P13" s="347">
        <v>119789713</v>
      </c>
      <c r="Q13" s="347">
        <v>125871830</v>
      </c>
      <c r="R13" s="347">
        <v>165161627</v>
      </c>
      <c r="S13" s="347">
        <v>177434400</v>
      </c>
      <c r="T13" s="347">
        <v>207401108</v>
      </c>
      <c r="U13" s="347">
        <v>220972678</v>
      </c>
      <c r="V13" s="347">
        <v>262091252</v>
      </c>
      <c r="W13" s="347">
        <v>269721183</v>
      </c>
      <c r="X13" s="347">
        <v>297114834</v>
      </c>
    </row>
    <row r="14" spans="1:24" x14ac:dyDescent="0.3">
      <c r="A14" s="513" t="s">
        <v>1060</v>
      </c>
      <c r="B14" s="347">
        <v>88181410</v>
      </c>
      <c r="C14" s="347" t="s">
        <v>1066</v>
      </c>
      <c r="D14" s="347">
        <v>104785938</v>
      </c>
      <c r="E14" s="347">
        <v>116144136</v>
      </c>
      <c r="F14" s="347">
        <v>128145703</v>
      </c>
      <c r="G14" s="347">
        <v>138266379</v>
      </c>
      <c r="H14" s="347">
        <v>155938644</v>
      </c>
      <c r="I14" s="347">
        <v>171701967</v>
      </c>
      <c r="J14" s="347">
        <v>173499123</v>
      </c>
      <c r="K14" s="347">
        <v>192131391</v>
      </c>
      <c r="L14" s="347">
        <v>207588840</v>
      </c>
      <c r="M14" s="347">
        <v>248725084</v>
      </c>
      <c r="N14" s="347">
        <v>301754121</v>
      </c>
      <c r="O14" s="347">
        <v>312995899</v>
      </c>
      <c r="P14" s="347">
        <v>331482291</v>
      </c>
      <c r="Q14" s="347">
        <v>346867027</v>
      </c>
      <c r="R14" s="347">
        <v>404962115</v>
      </c>
      <c r="S14" s="347">
        <v>419015381</v>
      </c>
      <c r="T14" s="347">
        <v>428630774</v>
      </c>
      <c r="U14" s="347">
        <v>496041395</v>
      </c>
      <c r="V14" s="347">
        <v>646726480</v>
      </c>
      <c r="W14" s="347">
        <v>601803789</v>
      </c>
      <c r="X14" s="347">
        <v>638159990</v>
      </c>
    </row>
    <row r="15" spans="1:24" x14ac:dyDescent="0.3">
      <c r="A15" s="513" t="s">
        <v>1061</v>
      </c>
      <c r="B15" s="347">
        <v>69684171</v>
      </c>
      <c r="C15" s="347">
        <v>77532818</v>
      </c>
      <c r="D15" s="347">
        <v>83114067</v>
      </c>
      <c r="E15" s="347">
        <v>94253494</v>
      </c>
      <c r="F15" s="347">
        <v>103615223</v>
      </c>
      <c r="G15" s="347">
        <v>110893911</v>
      </c>
      <c r="H15" s="347">
        <v>122037115</v>
      </c>
      <c r="I15" s="347">
        <v>129791478</v>
      </c>
      <c r="J15" s="347">
        <v>133900020</v>
      </c>
      <c r="K15" s="347">
        <v>136521638</v>
      </c>
      <c r="L15" s="347">
        <v>150517977</v>
      </c>
      <c r="M15" s="347">
        <v>176408250</v>
      </c>
      <c r="N15" s="347">
        <v>193282224</v>
      </c>
      <c r="O15" s="347">
        <v>205719671</v>
      </c>
      <c r="P15" s="347">
        <v>246289516</v>
      </c>
      <c r="Q15" s="347">
        <v>374206841</v>
      </c>
      <c r="R15" s="347">
        <v>360081755</v>
      </c>
      <c r="S15" s="347">
        <v>391970551</v>
      </c>
      <c r="T15" s="347">
        <v>393338242</v>
      </c>
      <c r="U15" s="347">
        <v>436362357</v>
      </c>
      <c r="V15" s="347">
        <v>507491552</v>
      </c>
      <c r="W15" s="347">
        <v>572508953</v>
      </c>
      <c r="X15" s="347">
        <v>595802926</v>
      </c>
    </row>
    <row r="16" spans="1:24" x14ac:dyDescent="0.3">
      <c r="A16" s="513" t="s">
        <v>1069</v>
      </c>
      <c r="B16" s="347">
        <v>0</v>
      </c>
      <c r="C16" s="347">
        <v>0</v>
      </c>
      <c r="D16" s="347">
        <v>0</v>
      </c>
      <c r="E16" s="347">
        <v>0</v>
      </c>
      <c r="F16" s="347">
        <v>0</v>
      </c>
      <c r="G16" s="347">
        <v>0</v>
      </c>
      <c r="H16" s="347">
        <v>0</v>
      </c>
      <c r="I16" s="347">
        <v>0</v>
      </c>
      <c r="J16" s="347">
        <v>8652024</v>
      </c>
      <c r="K16" s="347">
        <v>10033557</v>
      </c>
      <c r="L16" s="347">
        <v>18402910</v>
      </c>
      <c r="M16" s="347">
        <v>11435268</v>
      </c>
      <c r="N16" s="347">
        <v>7037705</v>
      </c>
      <c r="O16" s="347">
        <v>6101472</v>
      </c>
      <c r="P16" s="347">
        <v>6538317</v>
      </c>
      <c r="Q16" s="347">
        <v>6349885</v>
      </c>
      <c r="R16" s="347">
        <v>7137693</v>
      </c>
      <c r="S16" s="347">
        <v>8106898</v>
      </c>
      <c r="T16" s="347">
        <v>9270431</v>
      </c>
      <c r="U16" s="347">
        <v>10698264</v>
      </c>
      <c r="V16" s="347">
        <v>17828215</v>
      </c>
      <c r="W16" s="347">
        <v>32161209</v>
      </c>
      <c r="X16" s="347">
        <v>15678734</v>
      </c>
    </row>
    <row r="17" spans="1:24" x14ac:dyDescent="0.3">
      <c r="A17" s="513" t="s">
        <v>1062</v>
      </c>
      <c r="B17" s="347">
        <v>1479605</v>
      </c>
      <c r="C17" s="347">
        <v>1716146</v>
      </c>
      <c r="D17" s="347">
        <v>1821341</v>
      </c>
      <c r="E17" s="347">
        <v>1992697</v>
      </c>
      <c r="F17" s="347">
        <v>2212616</v>
      </c>
      <c r="G17" s="347">
        <v>2400342</v>
      </c>
      <c r="H17" s="347">
        <v>2727402</v>
      </c>
      <c r="I17" s="347">
        <v>3039981</v>
      </c>
      <c r="J17" s="347">
        <v>3440326</v>
      </c>
      <c r="K17" s="347">
        <v>3380959</v>
      </c>
      <c r="L17" s="347">
        <v>3536397</v>
      </c>
      <c r="M17" s="347">
        <v>3686191</v>
      </c>
      <c r="N17" s="347">
        <v>4825938</v>
      </c>
      <c r="O17" s="347">
        <v>5323133</v>
      </c>
      <c r="P17" s="347">
        <v>9082311</v>
      </c>
      <c r="Q17" s="347">
        <v>9103466</v>
      </c>
      <c r="R17" s="347">
        <v>11088973</v>
      </c>
      <c r="S17" s="347">
        <v>7430625</v>
      </c>
      <c r="T17" s="347" t="s">
        <v>1070</v>
      </c>
      <c r="U17" s="347">
        <v>8536084</v>
      </c>
      <c r="V17" s="347">
        <v>9418398</v>
      </c>
      <c r="W17" s="347">
        <v>10188530</v>
      </c>
      <c r="X17" s="347">
        <v>11685405</v>
      </c>
    </row>
    <row r="18" spans="1:24" x14ac:dyDescent="0.3">
      <c r="A18" s="513" t="s">
        <v>1063</v>
      </c>
      <c r="B18" s="347">
        <v>1019268</v>
      </c>
      <c r="C18" s="347" t="s">
        <v>1067</v>
      </c>
      <c r="D18" s="347">
        <v>1787971</v>
      </c>
      <c r="E18" s="347">
        <v>1386310</v>
      </c>
      <c r="F18" s="347">
        <v>1049349</v>
      </c>
      <c r="G18" s="347">
        <v>1249981</v>
      </c>
      <c r="H18" s="347">
        <v>13723543</v>
      </c>
      <c r="I18" s="347">
        <v>66002542</v>
      </c>
      <c r="J18" s="347">
        <v>76731122</v>
      </c>
      <c r="K18" s="347">
        <v>70355402</v>
      </c>
      <c r="L18" s="347">
        <v>81052890</v>
      </c>
      <c r="M18" s="347">
        <v>96938006</v>
      </c>
      <c r="N18" s="347">
        <v>116772349</v>
      </c>
      <c r="O18" s="347">
        <v>170536977</v>
      </c>
      <c r="P18" s="347">
        <v>110178246</v>
      </c>
      <c r="Q18" s="347">
        <v>78869081</v>
      </c>
      <c r="R18" s="347">
        <v>69591308</v>
      </c>
      <c r="S18" s="347">
        <v>52131600</v>
      </c>
      <c r="T18" s="347">
        <v>38970580</v>
      </c>
      <c r="U18" s="347">
        <v>38017716</v>
      </c>
      <c r="V18" s="347">
        <v>86679744</v>
      </c>
      <c r="W18" s="347">
        <v>86548754</v>
      </c>
      <c r="X18" s="347">
        <v>56106106</v>
      </c>
    </row>
    <row r="19" spans="1:24" ht="15.6" x14ac:dyDescent="0.3">
      <c r="A19" s="515" t="s">
        <v>868</v>
      </c>
      <c r="B19" s="517">
        <f t="shared" ref="B19:G19" si="6">+SUM(B20:B21)</f>
        <v>25599037</v>
      </c>
      <c r="C19" s="517">
        <f t="shared" si="6"/>
        <v>20023392</v>
      </c>
      <c r="D19" s="517">
        <f t="shared" si="6"/>
        <v>107134882</v>
      </c>
      <c r="E19" s="517">
        <f t="shared" si="6"/>
        <v>32275502</v>
      </c>
      <c r="F19" s="517">
        <f t="shared" si="6"/>
        <v>32818594</v>
      </c>
      <c r="G19" s="517">
        <f t="shared" si="6"/>
        <v>30065382</v>
      </c>
      <c r="H19" s="517">
        <f>+SUM(H20:H21)</f>
        <v>54800684</v>
      </c>
      <c r="I19" s="517">
        <f t="shared" ref="I19:X19" si="7">+SUM(I20:I21)</f>
        <v>58048120</v>
      </c>
      <c r="J19" s="517">
        <f t="shared" si="7"/>
        <v>125233796</v>
      </c>
      <c r="K19" s="517">
        <f t="shared" si="7"/>
        <v>165518731</v>
      </c>
      <c r="L19" s="517">
        <f t="shared" si="7"/>
        <v>153929593</v>
      </c>
      <c r="M19" s="517">
        <f t="shared" si="7"/>
        <v>223110717</v>
      </c>
      <c r="N19" s="517">
        <f t="shared" si="7"/>
        <v>219680518</v>
      </c>
      <c r="O19" s="517">
        <f t="shared" si="7"/>
        <v>293565293</v>
      </c>
      <c r="P19" s="517">
        <f t="shared" si="7"/>
        <v>288422813</v>
      </c>
      <c r="Q19" s="517">
        <f t="shared" si="7"/>
        <v>277916897</v>
      </c>
      <c r="R19" s="517">
        <f t="shared" si="7"/>
        <v>304231150</v>
      </c>
      <c r="S19" s="517">
        <f t="shared" si="7"/>
        <v>295656526</v>
      </c>
      <c r="T19" s="517">
        <f t="shared" si="7"/>
        <v>285502483</v>
      </c>
      <c r="U19" s="517">
        <f t="shared" si="7"/>
        <v>692590819</v>
      </c>
      <c r="V19" s="517">
        <f t="shared" si="7"/>
        <v>657037141</v>
      </c>
      <c r="W19" s="517">
        <f t="shared" si="7"/>
        <v>462063918</v>
      </c>
      <c r="X19" s="517">
        <f t="shared" si="7"/>
        <v>437364977</v>
      </c>
    </row>
    <row r="20" spans="1:24" x14ac:dyDescent="0.3">
      <c r="A20" s="513" t="s">
        <v>1064</v>
      </c>
      <c r="B20" s="347">
        <v>4567493</v>
      </c>
      <c r="C20" s="347">
        <v>4215628</v>
      </c>
      <c r="D20" s="347">
        <v>10893867</v>
      </c>
      <c r="E20" s="347">
        <v>323736</v>
      </c>
      <c r="F20" s="347">
        <v>280993</v>
      </c>
      <c r="G20" s="347">
        <v>244753</v>
      </c>
      <c r="H20" s="347">
        <v>292929</v>
      </c>
      <c r="I20" s="347">
        <v>348100</v>
      </c>
      <c r="J20" s="347">
        <v>0</v>
      </c>
      <c r="K20" s="347">
        <v>0</v>
      </c>
      <c r="L20" s="347">
        <v>0</v>
      </c>
      <c r="M20" s="347">
        <v>0</v>
      </c>
      <c r="N20" s="360">
        <v>0</v>
      </c>
      <c r="O20" s="347">
        <v>0</v>
      </c>
      <c r="P20" s="347">
        <v>0</v>
      </c>
      <c r="Q20" s="347">
        <v>0</v>
      </c>
      <c r="R20" s="347">
        <v>0</v>
      </c>
      <c r="S20" s="347">
        <v>0</v>
      </c>
      <c r="T20" s="347">
        <v>0</v>
      </c>
      <c r="U20" s="347">
        <v>0</v>
      </c>
      <c r="V20" s="347">
        <v>0</v>
      </c>
      <c r="W20" s="347">
        <v>0</v>
      </c>
      <c r="X20" s="347">
        <v>0</v>
      </c>
    </row>
    <row r="21" spans="1:24" ht="15" thickBot="1" x14ac:dyDescent="0.35">
      <c r="A21" s="518" t="s">
        <v>1065</v>
      </c>
      <c r="B21" s="503">
        <v>21031544</v>
      </c>
      <c r="C21" s="503">
        <v>15807764</v>
      </c>
      <c r="D21" s="503">
        <v>96241015</v>
      </c>
      <c r="E21" s="503">
        <v>31951766</v>
      </c>
      <c r="F21" s="503">
        <v>32537601</v>
      </c>
      <c r="G21" s="503">
        <v>29820629</v>
      </c>
      <c r="H21" s="503">
        <v>54507755</v>
      </c>
      <c r="I21" s="503">
        <v>57700020</v>
      </c>
      <c r="J21" s="503">
        <v>125233796</v>
      </c>
      <c r="K21" s="503">
        <v>165518731</v>
      </c>
      <c r="L21" s="503">
        <v>153929593</v>
      </c>
      <c r="M21" s="503">
        <v>223110717</v>
      </c>
      <c r="N21" s="519">
        <v>219680518</v>
      </c>
      <c r="O21" s="503">
        <v>293565293</v>
      </c>
      <c r="P21" s="503">
        <v>288422813</v>
      </c>
      <c r="Q21" s="503">
        <v>277916897</v>
      </c>
      <c r="R21" s="503">
        <v>304231150</v>
      </c>
      <c r="S21" s="503">
        <v>295656526</v>
      </c>
      <c r="T21" s="503">
        <v>285502483</v>
      </c>
      <c r="U21" s="503">
        <v>692590819</v>
      </c>
      <c r="V21" s="503">
        <v>657037141</v>
      </c>
      <c r="W21" s="503">
        <v>462063918</v>
      </c>
      <c r="X21" s="503">
        <v>437364977</v>
      </c>
    </row>
    <row r="22" spans="1:24" ht="15.6" x14ac:dyDescent="0.3">
      <c r="A22" s="359" t="s">
        <v>865</v>
      </c>
      <c r="B22" s="517">
        <f t="shared" ref="B22:G22" si="8">+B6+B8+B12+B19</f>
        <v>268003542</v>
      </c>
      <c r="C22" s="517">
        <f t="shared" si="8"/>
        <v>188953799</v>
      </c>
      <c r="D22" s="517">
        <f t="shared" si="8"/>
        <v>399607816</v>
      </c>
      <c r="E22" s="517">
        <f t="shared" si="8"/>
        <v>376716451</v>
      </c>
      <c r="F22" s="517">
        <f t="shared" si="8"/>
        <v>409445244</v>
      </c>
      <c r="G22" s="517">
        <f t="shared" si="8"/>
        <v>462265719</v>
      </c>
      <c r="H22" s="517">
        <f>+H6+H8+H12+H19</f>
        <v>586844046</v>
      </c>
      <c r="I22" s="517">
        <f t="shared" ref="I22:X22" si="9">+I6+I8+I12+I19</f>
        <v>754493359</v>
      </c>
      <c r="J22" s="517">
        <f t="shared" si="9"/>
        <v>893095747</v>
      </c>
      <c r="K22" s="517">
        <f t="shared" si="9"/>
        <v>1071390748</v>
      </c>
      <c r="L22" s="517">
        <f t="shared" si="9"/>
        <v>1110935369</v>
      </c>
      <c r="M22" s="517">
        <f t="shared" si="9"/>
        <v>1378244641</v>
      </c>
      <c r="N22" s="517">
        <f t="shared" si="9"/>
        <v>1527842992</v>
      </c>
      <c r="O22" s="517">
        <f t="shared" si="9"/>
        <v>1699818063</v>
      </c>
      <c r="P22" s="517">
        <f t="shared" si="9"/>
        <v>1672887805</v>
      </c>
      <c r="Q22" s="517">
        <f t="shared" si="9"/>
        <v>1880742649</v>
      </c>
      <c r="R22" s="517">
        <f t="shared" si="9"/>
        <v>2123294316</v>
      </c>
      <c r="S22" s="517">
        <f t="shared" si="9"/>
        <v>2141584326</v>
      </c>
      <c r="T22" s="517">
        <f t="shared" si="9"/>
        <v>2215077406</v>
      </c>
      <c r="U22" s="517">
        <f t="shared" si="9"/>
        <v>2735851743</v>
      </c>
      <c r="V22" s="517">
        <f t="shared" si="9"/>
        <v>3312827864</v>
      </c>
      <c r="W22" s="517">
        <f t="shared" si="9"/>
        <v>3207197735</v>
      </c>
      <c r="X22" s="517">
        <f t="shared" si="9"/>
        <v>3244806375</v>
      </c>
    </row>
    <row r="23" spans="1:24" ht="15" thickBot="1" x14ac:dyDescent="0.35"/>
    <row r="24" spans="1:24" ht="15" thickBot="1" x14ac:dyDescent="0.35">
      <c r="A24" s="364" t="s">
        <v>880</v>
      </c>
      <c r="B24" s="396">
        <f>D39</f>
        <v>0.84734548335974647</v>
      </c>
      <c r="C24" s="396">
        <f>D40</f>
        <v>0.85237717908082411</v>
      </c>
      <c r="D24" s="396">
        <f>D41</f>
        <v>0.89753660768761445</v>
      </c>
      <c r="E24" s="396">
        <f>D42</f>
        <v>0.93985127660353862</v>
      </c>
      <c r="F24" s="396">
        <f>D43</f>
        <v>0.96353624550918304</v>
      </c>
      <c r="G24" s="396">
        <f>D44</f>
        <v>0.98882855894651434</v>
      </c>
      <c r="H24" s="397">
        <f>D45</f>
        <v>1</v>
      </c>
      <c r="I24" s="396">
        <f>D46</f>
        <v>1.0438604000799019</v>
      </c>
      <c r="J24" s="396">
        <f>D47</f>
        <v>1.0626145854552862</v>
      </c>
      <c r="K24" s="396">
        <f>D48</f>
        <v>1.0751396921870404</v>
      </c>
      <c r="L24" s="396">
        <f>D49</f>
        <v>1.1187210443435196</v>
      </c>
      <c r="M24" s="396">
        <f>D50</f>
        <v>1.164369124404536</v>
      </c>
      <c r="N24" s="396">
        <f>D51</f>
        <v>1.2253082185068307</v>
      </c>
      <c r="O24" s="396">
        <f>D52</f>
        <v>1.3009642633690333</v>
      </c>
      <c r="P24" s="396">
        <f>D53</f>
        <v>1.33475269110233</v>
      </c>
      <c r="Q24" s="396">
        <f>D54</f>
        <v>1.380702521498324</v>
      </c>
      <c r="R24" s="396">
        <f>D55</f>
        <v>1.4256653962577832</v>
      </c>
      <c r="S24" s="396">
        <f>D56</f>
        <v>1.4608349111341843</v>
      </c>
      <c r="T24" s="396">
        <f>D57</f>
        <v>1.4876179245283019</v>
      </c>
      <c r="U24" s="396">
        <f>D58</f>
        <v>1.5121136400673583</v>
      </c>
      <c r="V24" s="396">
        <f>D59</f>
        <v>1.5611805618398769</v>
      </c>
      <c r="W24" s="396">
        <f>D60</f>
        <v>1.6374434902006503</v>
      </c>
      <c r="X24" s="397">
        <f>D61</f>
        <v>1.6966659157467898</v>
      </c>
    </row>
    <row r="26" spans="1:24" ht="15" thickBot="1" x14ac:dyDescent="0.35">
      <c r="A26" s="351" t="s">
        <v>879</v>
      </c>
      <c r="B26" s="351">
        <v>2001</v>
      </c>
      <c r="C26" s="351">
        <v>2002</v>
      </c>
      <c r="D26" s="351">
        <v>2003</v>
      </c>
      <c r="E26" s="351">
        <v>2004</v>
      </c>
      <c r="F26" s="351">
        <v>2005</v>
      </c>
      <c r="G26" s="351">
        <v>2006</v>
      </c>
      <c r="H26" s="351">
        <v>2007</v>
      </c>
      <c r="I26" s="351">
        <v>2008</v>
      </c>
      <c r="J26" s="351">
        <v>2009</v>
      </c>
      <c r="K26" s="351">
        <v>2010</v>
      </c>
      <c r="L26" s="351">
        <v>2011</v>
      </c>
      <c r="M26" s="351">
        <v>2012</v>
      </c>
      <c r="N26" s="351">
        <v>2013</v>
      </c>
      <c r="O26" s="351">
        <v>2014</v>
      </c>
      <c r="P26" s="351">
        <v>2015</v>
      </c>
      <c r="Q26" s="351">
        <v>2016</v>
      </c>
      <c r="R26" s="351">
        <v>2017</v>
      </c>
      <c r="S26" s="351">
        <v>2018</v>
      </c>
      <c r="T26" s="351">
        <v>2019</v>
      </c>
      <c r="U26" s="351">
        <v>2020</v>
      </c>
      <c r="V26" s="351">
        <v>2021</v>
      </c>
      <c r="W26" s="351">
        <v>2022</v>
      </c>
      <c r="X26" s="351">
        <v>2023</v>
      </c>
    </row>
    <row r="27" spans="1:24" x14ac:dyDescent="0.3">
      <c r="A27" s="357" t="s">
        <v>864</v>
      </c>
      <c r="B27" s="347">
        <f t="shared" ref="B27:G27" si="10">+B6/B$24</f>
        <v>1960997.0580259035</v>
      </c>
      <c r="C27" s="347">
        <f t="shared" si="10"/>
        <v>831025.29887515109</v>
      </c>
      <c r="D27" s="347">
        <f t="shared" si="10"/>
        <v>4953814.6543739643</v>
      </c>
      <c r="E27" s="347">
        <f t="shared" si="10"/>
        <v>6636252.0914370343</v>
      </c>
      <c r="F27" s="347">
        <f t="shared" si="10"/>
        <v>6433304.4334250968</v>
      </c>
      <c r="G27" s="347">
        <f t="shared" si="10"/>
        <v>27342618.450265087</v>
      </c>
      <c r="H27" s="347">
        <f t="shared" ref="H27:X27" si="11">+H6/H$24</f>
        <v>61641639</v>
      </c>
      <c r="I27" s="347">
        <f t="shared" si="11"/>
        <v>131171124.02148715</v>
      </c>
      <c r="J27" s="347">
        <f t="shared" si="11"/>
        <v>128350059.2470825</v>
      </c>
      <c r="K27" s="347">
        <f t="shared" si="11"/>
        <v>212455791.24267155</v>
      </c>
      <c r="L27" s="347">
        <f t="shared" si="11"/>
        <v>164811815.18150106</v>
      </c>
      <c r="M27" s="347">
        <f t="shared" si="11"/>
        <v>217790956.22248372</v>
      </c>
      <c r="N27" s="347">
        <f t="shared" si="11"/>
        <v>189987429.68008769</v>
      </c>
      <c r="O27" s="347">
        <f t="shared" si="11"/>
        <v>160981800.11313066</v>
      </c>
      <c r="P27" s="347">
        <f t="shared" si="11"/>
        <v>114125188.89487788</v>
      </c>
      <c r="Q27" s="347">
        <f t="shared" si="11"/>
        <v>158280167.23171118</v>
      </c>
      <c r="R27" s="347">
        <f t="shared" si="11"/>
        <v>231681072.47815707</v>
      </c>
      <c r="S27" s="347">
        <f t="shared" si="11"/>
        <v>145631535.34907445</v>
      </c>
      <c r="T27" s="347">
        <f t="shared" si="11"/>
        <v>201872131.98256046</v>
      </c>
      <c r="U27" s="347">
        <f t="shared" si="11"/>
        <v>113489723.55831373</v>
      </c>
      <c r="V27" s="347">
        <f t="shared" si="11"/>
        <v>157578732.41137114</v>
      </c>
      <c r="W27" s="347">
        <f t="shared" si="11"/>
        <v>156813445.18859416</v>
      </c>
      <c r="X27" s="347">
        <f t="shared" si="11"/>
        <v>137472569.48775145</v>
      </c>
    </row>
    <row r="28" spans="1:24" x14ac:dyDescent="0.3">
      <c r="A28" s="358" t="s">
        <v>866</v>
      </c>
      <c r="B28" s="347">
        <f t="shared" ref="B28:G28" si="12">+B8/B$24</f>
        <v>75540890.05844672</v>
      </c>
      <c r="C28" s="347">
        <f t="shared" si="12"/>
        <v>82915683.026866227</v>
      </c>
      <c r="D28" s="347">
        <f t="shared" si="12"/>
        <v>85768960.664825588</v>
      </c>
      <c r="E28" s="347">
        <f t="shared" si="12"/>
        <v>109224681.13356978</v>
      </c>
      <c r="F28" s="347">
        <f t="shared" si="12"/>
        <v>115729640.18709274</v>
      </c>
      <c r="G28" s="347">
        <f t="shared" si="12"/>
        <v>127530867.56955315</v>
      </c>
      <c r="H28" s="347">
        <f t="shared" ref="H28:X28" si="13">+H8/H$24</f>
        <v>145576956</v>
      </c>
      <c r="I28" s="347">
        <f t="shared" si="13"/>
        <v>148770413.15880263</v>
      </c>
      <c r="J28" s="347">
        <f t="shared" si="13"/>
        <v>186513123.11423162</v>
      </c>
      <c r="K28" s="347">
        <f t="shared" si="13"/>
        <v>205700994.58436289</v>
      </c>
      <c r="L28" s="347">
        <f t="shared" si="13"/>
        <v>232712692.15532753</v>
      </c>
      <c r="M28" s="347">
        <f t="shared" si="13"/>
        <v>258348003.82038379</v>
      </c>
      <c r="N28" s="347">
        <f t="shared" si="13"/>
        <v>300892650.87055701</v>
      </c>
      <c r="O28" s="347">
        <f t="shared" si="13"/>
        <v>296548287.19193172</v>
      </c>
      <c r="P28" s="347">
        <f t="shared" si="13"/>
        <v>306255756.38465661</v>
      </c>
      <c r="Q28" s="347">
        <f t="shared" si="13"/>
        <v>320865493.54544491</v>
      </c>
      <c r="R28" s="347">
        <f t="shared" si="13"/>
        <v>330189684.22439194</v>
      </c>
      <c r="S28" s="347">
        <f t="shared" si="13"/>
        <v>395044443.1478892</v>
      </c>
      <c r="T28" s="347">
        <f t="shared" si="13"/>
        <v>370831230.85850179</v>
      </c>
      <c r="U28" s="347">
        <f t="shared" si="13"/>
        <v>437151714.97993642</v>
      </c>
      <c r="V28" s="347">
        <f t="shared" si="13"/>
        <v>563385331.26715362</v>
      </c>
      <c r="W28" s="347">
        <f t="shared" si="13"/>
        <v>559059442.03779793</v>
      </c>
      <c r="X28" s="347">
        <f t="shared" si="13"/>
        <v>565608332.84471881</v>
      </c>
    </row>
    <row r="29" spans="1:24" x14ac:dyDescent="0.3">
      <c r="A29" s="357" t="s">
        <v>867</v>
      </c>
      <c r="B29" s="347">
        <f t="shared" ref="B29:G29" si="14">+B12/B$24</f>
        <v>208573285.00677982</v>
      </c>
      <c r="C29" s="347">
        <f t="shared" si="14"/>
        <v>114440680.01115553</v>
      </c>
      <c r="D29" s="347">
        <f t="shared" si="14"/>
        <v>235139068.6378043</v>
      </c>
      <c r="E29" s="347">
        <f t="shared" si="14"/>
        <v>250623592.11899287</v>
      </c>
      <c r="F29" s="347">
        <f t="shared" si="14"/>
        <v>268716642.68651778</v>
      </c>
      <c r="G29" s="347">
        <f t="shared" si="14"/>
        <v>282209700.02859128</v>
      </c>
      <c r="H29" s="347">
        <f t="shared" ref="H29:X29" si="15">+H12/H$24</f>
        <v>324824767</v>
      </c>
      <c r="I29" s="347">
        <f t="shared" si="15"/>
        <v>387240816.84587204</v>
      </c>
      <c r="J29" s="347">
        <f t="shared" si="15"/>
        <v>407752487.99578249</v>
      </c>
      <c r="K29" s="347">
        <f t="shared" si="15"/>
        <v>424405370.12619102</v>
      </c>
      <c r="L29" s="347">
        <f t="shared" si="15"/>
        <v>457921790.77190477</v>
      </c>
      <c r="M29" s="347">
        <f t="shared" si="15"/>
        <v>515929534.20782048</v>
      </c>
      <c r="N29" s="347">
        <f t="shared" si="15"/>
        <v>576739032.94402862</v>
      </c>
      <c r="O29" s="347">
        <f t="shared" si="15"/>
        <v>623401041.70097733</v>
      </c>
      <c r="P29" s="347">
        <f t="shared" si="15"/>
        <v>616863632.85771894</v>
      </c>
      <c r="Q29" s="347">
        <f t="shared" si="15"/>
        <v>681731303.69787812</v>
      </c>
      <c r="R29" s="347">
        <f t="shared" si="15"/>
        <v>714069005.02193642</v>
      </c>
      <c r="S29" s="347">
        <f t="shared" si="15"/>
        <v>722935526.08217573</v>
      </c>
      <c r="T29" s="347">
        <f t="shared" si="15"/>
        <v>724387033.27784383</v>
      </c>
      <c r="U29" s="347">
        <f t="shared" si="15"/>
        <v>800620047.27771091</v>
      </c>
      <c r="V29" s="347">
        <f t="shared" si="15"/>
        <v>980178512.59728229</v>
      </c>
      <c r="W29" s="347">
        <f t="shared" si="15"/>
        <v>960602565.77602863</v>
      </c>
      <c r="X29" s="347">
        <f t="shared" si="15"/>
        <v>951600418.2174865</v>
      </c>
    </row>
    <row r="30" spans="1:24" ht="15" thickBot="1" x14ac:dyDescent="0.35">
      <c r="A30" s="502" t="s">
        <v>868</v>
      </c>
      <c r="B30" s="503">
        <f t="shared" ref="B30:G30" si="16">+B19/B$24</f>
        <v>30210861.452284098</v>
      </c>
      <c r="C30" s="503">
        <f t="shared" si="16"/>
        <v>23491234.26977782</v>
      </c>
      <c r="D30" s="503">
        <f t="shared" si="16"/>
        <v>119365473.3214938</v>
      </c>
      <c r="E30" s="503">
        <f t="shared" si="16"/>
        <v>34341073.745878316</v>
      </c>
      <c r="F30" s="503">
        <f t="shared" si="16"/>
        <v>34060570.272223577</v>
      </c>
      <c r="G30" s="503">
        <f t="shared" si="16"/>
        <v>30405050.226331737</v>
      </c>
      <c r="H30" s="503">
        <f t="shared" ref="H30:X30" si="17">+H19/H$24</f>
        <v>54800684</v>
      </c>
      <c r="I30" s="503">
        <f t="shared" si="17"/>
        <v>55609083.355932198</v>
      </c>
      <c r="J30" s="503">
        <f t="shared" si="17"/>
        <v>117854392.09489349</v>
      </c>
      <c r="K30" s="503">
        <f t="shared" si="17"/>
        <v>153950907.21960339</v>
      </c>
      <c r="L30" s="503">
        <f t="shared" si="17"/>
        <v>137594258.88902262</v>
      </c>
      <c r="M30" s="503">
        <f t="shared" si="17"/>
        <v>191615109.26708907</v>
      </c>
      <c r="N30" s="503">
        <f t="shared" si="17"/>
        <v>179285925.51815593</v>
      </c>
      <c r="O30" s="503">
        <f t="shared" si="17"/>
        <v>225652080.74184194</v>
      </c>
      <c r="P30" s="503">
        <f t="shared" si="17"/>
        <v>216087081.09200418</v>
      </c>
      <c r="Q30" s="503">
        <f t="shared" si="17"/>
        <v>201286586.12023646</v>
      </c>
      <c r="R30" s="503">
        <f t="shared" si="17"/>
        <v>213395899.76622406</v>
      </c>
      <c r="S30" s="503">
        <f t="shared" si="17"/>
        <v>202388732.46153042</v>
      </c>
      <c r="T30" s="503">
        <f t="shared" si="17"/>
        <v>191919227.57352358</v>
      </c>
      <c r="U30" s="503">
        <f t="shared" si="17"/>
        <v>458028286.13406861</v>
      </c>
      <c r="V30" s="503">
        <f t="shared" si="17"/>
        <v>420859160.72748882</v>
      </c>
      <c r="W30" s="503">
        <f t="shared" si="17"/>
        <v>282186176.66212058</v>
      </c>
      <c r="X30" s="503">
        <f t="shared" si="17"/>
        <v>257779078.92225984</v>
      </c>
    </row>
    <row r="31" spans="1:24" x14ac:dyDescent="0.3">
      <c r="A31" s="359" t="s">
        <v>865</v>
      </c>
      <c r="B31" s="356">
        <f t="shared" ref="B31:G31" si="18">+B22/B$24</f>
        <v>316286033.57553655</v>
      </c>
      <c r="C31" s="356">
        <f t="shared" si="18"/>
        <v>221678622.60667473</v>
      </c>
      <c r="D31" s="356">
        <f t="shared" si="18"/>
        <v>445227317.27849764</v>
      </c>
      <c r="E31" s="356">
        <f t="shared" si="18"/>
        <v>400825599.08987802</v>
      </c>
      <c r="F31" s="356">
        <f t="shared" si="18"/>
        <v>424940157.57925916</v>
      </c>
      <c r="G31" s="356">
        <f t="shared" si="18"/>
        <v>467488236.27474123</v>
      </c>
      <c r="H31" s="356">
        <f t="shared" ref="H31:X31" si="19">+H22/H$24</f>
        <v>586844046</v>
      </c>
      <c r="I31" s="356">
        <f t="shared" si="19"/>
        <v>722791437.38209403</v>
      </c>
      <c r="J31" s="356">
        <f t="shared" si="19"/>
        <v>840470062.45199013</v>
      </c>
      <c r="K31" s="356">
        <f t="shared" si="19"/>
        <v>996513063.17282891</v>
      </c>
      <c r="L31" s="356">
        <f t="shared" si="19"/>
        <v>993040556.997756</v>
      </c>
      <c r="M31" s="356">
        <f t="shared" si="19"/>
        <v>1183683603.517777</v>
      </c>
      <c r="N31" s="356">
        <f t="shared" si="19"/>
        <v>1246905039.0128293</v>
      </c>
      <c r="O31" s="356">
        <f t="shared" si="19"/>
        <v>1306583209.7478817</v>
      </c>
      <c r="P31" s="356">
        <f t="shared" si="19"/>
        <v>1253331659.2292576</v>
      </c>
      <c r="Q31" s="356">
        <f t="shared" si="19"/>
        <v>1362163550.5952706</v>
      </c>
      <c r="R31" s="356">
        <f t="shared" si="19"/>
        <v>1489335661.4907095</v>
      </c>
      <c r="S31" s="356">
        <f t="shared" si="19"/>
        <v>1466000237.0406699</v>
      </c>
      <c r="T31" s="356">
        <f t="shared" si="19"/>
        <v>1489009623.6924295</v>
      </c>
      <c r="U31" s="356">
        <f t="shared" si="19"/>
        <v>1809289771.9500299</v>
      </c>
      <c r="V31" s="356">
        <f t="shared" si="19"/>
        <v>2122001737.0032959</v>
      </c>
      <c r="W31" s="356">
        <f t="shared" si="19"/>
        <v>1958661629.6645412</v>
      </c>
      <c r="X31" s="356">
        <f t="shared" si="19"/>
        <v>1912460399.4722166</v>
      </c>
    </row>
    <row r="32" spans="1:24" x14ac:dyDescent="0.3">
      <c r="B32" s="331"/>
      <c r="J32" s="414"/>
    </row>
    <row r="33" spans="1:24" x14ac:dyDescent="0.3">
      <c r="B33" s="347"/>
      <c r="C33" s="347"/>
      <c r="D33" s="347"/>
      <c r="E33" s="347"/>
      <c r="F33" s="347"/>
      <c r="G33" s="347"/>
      <c r="H33" s="347"/>
      <c r="I33" s="347"/>
      <c r="J33" s="347"/>
      <c r="K33" s="347"/>
      <c r="L33" s="347"/>
      <c r="M33" s="347"/>
      <c r="N33" s="347"/>
      <c r="O33" s="348"/>
      <c r="P33" s="347"/>
      <c r="Q33" s="347"/>
      <c r="R33" s="347"/>
      <c r="S33" s="347"/>
      <c r="T33" s="347"/>
      <c r="U33" s="347"/>
      <c r="V33" s="347"/>
      <c r="W33" s="347"/>
      <c r="X33" s="347"/>
    </row>
    <row r="34" spans="1:24" x14ac:dyDescent="0.3">
      <c r="B34" s="347"/>
      <c r="C34" s="347"/>
      <c r="O34" s="355"/>
    </row>
    <row r="35" spans="1:24" x14ac:dyDescent="0.3">
      <c r="H35" s="347"/>
      <c r="I35" s="331"/>
      <c r="L35" s="347"/>
      <c r="O35" s="355"/>
    </row>
    <row r="36" spans="1:24" ht="14.4" customHeight="1" x14ac:dyDescent="0.3">
      <c r="A36" s="538" t="s">
        <v>849</v>
      </c>
      <c r="B36" s="540" t="s">
        <v>1074</v>
      </c>
      <c r="C36" s="540" t="s">
        <v>1075</v>
      </c>
      <c r="D36" s="542" t="s">
        <v>1073</v>
      </c>
      <c r="O36" s="355"/>
    </row>
    <row r="37" spans="1:24" x14ac:dyDescent="0.3">
      <c r="A37" s="539"/>
      <c r="B37" s="541"/>
      <c r="C37" s="541"/>
      <c r="D37" s="543"/>
    </row>
    <row r="38" spans="1:24" ht="25.8" customHeight="1" x14ac:dyDescent="0.3">
      <c r="A38" s="539"/>
      <c r="B38" s="541"/>
      <c r="C38" s="541"/>
      <c r="D38" s="543"/>
    </row>
    <row r="39" spans="1:24" x14ac:dyDescent="0.3">
      <c r="A39">
        <v>2001</v>
      </c>
      <c r="B39" s="361">
        <v>21387</v>
      </c>
      <c r="C39" s="361">
        <v>25240</v>
      </c>
      <c r="D39">
        <f>+B39/C39</f>
        <v>0.84734548335974647</v>
      </c>
    </row>
    <row r="40" spans="1:24" x14ac:dyDescent="0.3">
      <c r="A40">
        <v>2002</v>
      </c>
      <c r="B40" s="361">
        <v>21514</v>
      </c>
      <c r="C40" s="361">
        <v>25240</v>
      </c>
      <c r="D40">
        <f t="shared" ref="D40:D61" si="20">+B40/C40</f>
        <v>0.85237717908082411</v>
      </c>
    </row>
    <row r="41" spans="1:24" x14ac:dyDescent="0.3">
      <c r="A41">
        <v>2003</v>
      </c>
      <c r="B41" s="361">
        <v>23537</v>
      </c>
      <c r="C41" s="361">
        <v>26224</v>
      </c>
      <c r="D41">
        <f t="shared" si="20"/>
        <v>0.89753660768761445</v>
      </c>
    </row>
    <row r="42" spans="1:24" x14ac:dyDescent="0.3">
      <c r="A42">
        <v>2004</v>
      </c>
      <c r="B42" s="361">
        <v>25657</v>
      </c>
      <c r="C42" s="361">
        <v>27299</v>
      </c>
      <c r="D42">
        <f t="shared" si="20"/>
        <v>0.93985127660353862</v>
      </c>
    </row>
    <row r="43" spans="1:24" x14ac:dyDescent="0.3">
      <c r="A43">
        <v>2005</v>
      </c>
      <c r="B43" s="361">
        <v>28697</v>
      </c>
      <c r="C43" s="361">
        <v>29783</v>
      </c>
      <c r="D43">
        <f t="shared" si="20"/>
        <v>0.96353624550918304</v>
      </c>
    </row>
    <row r="44" spans="1:24" x14ac:dyDescent="0.3">
      <c r="A44">
        <v>2006</v>
      </c>
      <c r="B44" s="361">
        <v>31688</v>
      </c>
      <c r="C44" s="361">
        <v>32046</v>
      </c>
      <c r="D44">
        <f t="shared" si="20"/>
        <v>0.98882855894651434</v>
      </c>
    </row>
    <row r="45" spans="1:24" x14ac:dyDescent="0.3">
      <c r="A45">
        <v>2007</v>
      </c>
      <c r="B45" s="394">
        <v>33424</v>
      </c>
      <c r="C45" s="394">
        <v>33424</v>
      </c>
      <c r="D45">
        <f t="shared" si="20"/>
        <v>1</v>
      </c>
    </row>
    <row r="46" spans="1:24" x14ac:dyDescent="0.3">
      <c r="A46">
        <v>2008</v>
      </c>
      <c r="B46" s="361">
        <v>36580</v>
      </c>
      <c r="C46" s="361">
        <v>35043</v>
      </c>
      <c r="D46">
        <f t="shared" si="20"/>
        <v>1.0438604000799019</v>
      </c>
    </row>
    <row r="47" spans="1:24" x14ac:dyDescent="0.3">
      <c r="A47">
        <v>2009</v>
      </c>
      <c r="B47" s="361">
        <v>41731</v>
      </c>
      <c r="C47" s="361">
        <v>39272</v>
      </c>
      <c r="D47">
        <f t="shared" si="20"/>
        <v>1.0626145854552862</v>
      </c>
    </row>
    <row r="48" spans="1:24" x14ac:dyDescent="0.3">
      <c r="A48">
        <v>2010</v>
      </c>
      <c r="B48" s="361">
        <v>43870</v>
      </c>
      <c r="C48" s="361">
        <v>40804</v>
      </c>
      <c r="D48">
        <f t="shared" si="20"/>
        <v>1.0751396921870404</v>
      </c>
    </row>
    <row r="49" spans="1:4" x14ac:dyDescent="0.3">
      <c r="A49">
        <v>2011</v>
      </c>
      <c r="B49" s="361">
        <v>49019</v>
      </c>
      <c r="C49" s="361">
        <v>43817</v>
      </c>
      <c r="D49">
        <f t="shared" si="20"/>
        <v>1.1187210443435196</v>
      </c>
    </row>
    <row r="50" spans="1:4" x14ac:dyDescent="0.3">
      <c r="A50">
        <v>2012</v>
      </c>
      <c r="B50" s="361">
        <v>55240</v>
      </c>
      <c r="C50" s="361">
        <v>47442</v>
      </c>
      <c r="D50">
        <f t="shared" si="20"/>
        <v>1.164369124404536</v>
      </c>
    </row>
    <row r="51" spans="1:4" x14ac:dyDescent="0.3">
      <c r="A51">
        <v>2013</v>
      </c>
      <c r="B51" s="361">
        <v>62514</v>
      </c>
      <c r="C51" s="361">
        <v>51019</v>
      </c>
      <c r="D51">
        <f t="shared" si="20"/>
        <v>1.2253082185068307</v>
      </c>
    </row>
    <row r="52" spans="1:4" x14ac:dyDescent="0.3">
      <c r="A52">
        <v>2014</v>
      </c>
      <c r="B52" s="361">
        <v>70697</v>
      </c>
      <c r="C52" s="361">
        <v>54342</v>
      </c>
      <c r="D52">
        <f t="shared" si="20"/>
        <v>1.3009642633690333</v>
      </c>
    </row>
    <row r="53" spans="1:4" x14ac:dyDescent="0.3">
      <c r="A53">
        <v>2015</v>
      </c>
      <c r="B53" s="361">
        <v>78366</v>
      </c>
      <c r="C53" s="361">
        <v>58712</v>
      </c>
      <c r="D53">
        <f t="shared" si="20"/>
        <v>1.33475269110233</v>
      </c>
    </row>
    <row r="54" spans="1:4" x14ac:dyDescent="0.3">
      <c r="A54">
        <v>2016</v>
      </c>
      <c r="B54" s="361">
        <v>85257</v>
      </c>
      <c r="C54" s="361">
        <v>61749</v>
      </c>
      <c r="D54">
        <f t="shared" si="20"/>
        <v>1.380702521498324</v>
      </c>
    </row>
    <row r="55" spans="1:4" x14ac:dyDescent="0.3">
      <c r="A55">
        <v>2017</v>
      </c>
      <c r="B55" s="361">
        <v>90899</v>
      </c>
      <c r="C55" s="361">
        <v>63759</v>
      </c>
      <c r="D55">
        <f t="shared" si="20"/>
        <v>1.4256653962577832</v>
      </c>
    </row>
    <row r="56" spans="1:4" x14ac:dyDescent="0.3">
      <c r="A56">
        <v>2018</v>
      </c>
      <c r="B56" s="361">
        <v>95673</v>
      </c>
      <c r="C56" s="361">
        <v>65492</v>
      </c>
      <c r="D56">
        <f t="shared" si="20"/>
        <v>1.4608349111341843</v>
      </c>
    </row>
    <row r="57" spans="1:4" x14ac:dyDescent="0.3">
      <c r="A57">
        <v>2019</v>
      </c>
      <c r="B57" s="361">
        <v>100920</v>
      </c>
      <c r="C57" s="361">
        <v>67840</v>
      </c>
      <c r="D57">
        <f t="shared" si="20"/>
        <v>1.4876179245283019</v>
      </c>
    </row>
    <row r="58" spans="1:4" x14ac:dyDescent="0.3">
      <c r="A58">
        <v>2020</v>
      </c>
      <c r="B58" s="361">
        <v>111346</v>
      </c>
      <c r="C58" s="361">
        <v>73636</v>
      </c>
      <c r="D58">
        <f t="shared" si="20"/>
        <v>1.5121136400673583</v>
      </c>
    </row>
    <row r="59" spans="1:4" x14ac:dyDescent="0.3">
      <c r="A59">
        <v>2021</v>
      </c>
      <c r="B59" s="361">
        <v>120762</v>
      </c>
      <c r="C59" s="361">
        <v>77353</v>
      </c>
      <c r="D59">
        <f t="shared" si="20"/>
        <v>1.5611805618398769</v>
      </c>
    </row>
    <row r="60" spans="1:4" x14ac:dyDescent="0.3">
      <c r="A60">
        <v>2022</v>
      </c>
      <c r="B60" s="361">
        <v>126409</v>
      </c>
      <c r="C60" s="361">
        <v>77199</v>
      </c>
      <c r="D60">
        <f t="shared" si="20"/>
        <v>1.6374434902006503</v>
      </c>
    </row>
    <row r="61" spans="1:4" x14ac:dyDescent="0.3">
      <c r="A61">
        <v>2023</v>
      </c>
      <c r="B61" s="361">
        <v>135567</v>
      </c>
      <c r="C61" s="361">
        <v>79902</v>
      </c>
      <c r="D61">
        <f t="shared" si="20"/>
        <v>1.6966659157467898</v>
      </c>
    </row>
  </sheetData>
  <mergeCells count="4">
    <mergeCell ref="A36:A38"/>
    <mergeCell ref="B36:B38"/>
    <mergeCell ref="C36:C38"/>
    <mergeCell ref="D36:D38"/>
  </mergeCells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workbookViewId="0"/>
  </sheetViews>
  <sheetFormatPr baseColWidth="10" defaultColWidth="11.44140625" defaultRowHeight="14.4" x14ac:dyDescent="0.3"/>
  <cols>
    <col min="1" max="1" width="12.6640625" style="365" customWidth="1"/>
    <col min="2" max="7" width="16.33203125" style="365" customWidth="1"/>
    <col min="8" max="14" width="8.6640625" style="365" customWidth="1"/>
    <col min="15" max="15" width="9.109375" style="365" customWidth="1"/>
    <col min="16" max="16" width="31.33203125" style="365" customWidth="1"/>
    <col min="17" max="30" width="8.88671875" style="365" customWidth="1"/>
    <col min="31" max="31" width="7.5546875" style="365" customWidth="1"/>
    <col min="32" max="32" width="8.5546875" style="365" customWidth="1"/>
    <col min="33" max="34" width="11.44140625" style="365"/>
    <col min="35" max="35" width="43" style="365" customWidth="1"/>
    <col min="36" max="36" width="3.33203125" style="365" customWidth="1"/>
    <col min="37" max="16384" width="11.44140625" style="365"/>
  </cols>
  <sheetData>
    <row r="1" spans="1:14" ht="18" x14ac:dyDescent="0.3">
      <c r="A1" s="229" t="s">
        <v>891</v>
      </c>
    </row>
    <row r="2" spans="1:14" ht="49.5" customHeight="1" x14ac:dyDescent="0.3">
      <c r="A2" s="544" t="s">
        <v>881</v>
      </c>
      <c r="B2" s="544"/>
      <c r="C2" s="544"/>
      <c r="D2" s="544"/>
      <c r="E2" s="544"/>
      <c r="F2" s="544"/>
      <c r="G2" s="544"/>
      <c r="H2" s="366"/>
      <c r="I2" s="366"/>
      <c r="J2" s="366"/>
      <c r="K2" s="366"/>
      <c r="L2" s="366"/>
      <c r="M2" s="366"/>
      <c r="N2" s="366"/>
    </row>
    <row r="3" spans="1:14" x14ac:dyDescent="0.3">
      <c r="A3" s="367"/>
      <c r="B3" s="367"/>
      <c r="C3" s="367"/>
      <c r="D3" s="367"/>
      <c r="E3" s="367"/>
      <c r="F3" s="367"/>
      <c r="G3" s="367"/>
      <c r="H3" s="367"/>
      <c r="I3" s="367"/>
      <c r="J3" s="367"/>
      <c r="K3" s="367"/>
      <c r="L3" s="367"/>
      <c r="M3" s="367"/>
      <c r="N3" s="367"/>
    </row>
    <row r="4" spans="1:14" s="368" customFormat="1" ht="13.8" customHeight="1" x14ac:dyDescent="0.3">
      <c r="A4" s="548" t="s">
        <v>849</v>
      </c>
      <c r="B4" s="550" t="s">
        <v>882</v>
      </c>
      <c r="C4" s="545" t="s">
        <v>883</v>
      </c>
      <c r="D4" s="540" t="s">
        <v>873</v>
      </c>
      <c r="E4" s="553" t="s">
        <v>884</v>
      </c>
      <c r="F4" s="553" t="s">
        <v>885</v>
      </c>
      <c r="G4" s="545" t="s">
        <v>886</v>
      </c>
      <c r="H4" s="547"/>
      <c r="I4" s="547"/>
    </row>
    <row r="5" spans="1:14" s="368" customFormat="1" ht="27" customHeight="1" x14ac:dyDescent="0.3">
      <c r="A5" s="549"/>
      <c r="B5" s="551"/>
      <c r="C5" s="546"/>
      <c r="D5" s="552"/>
      <c r="E5" s="554"/>
      <c r="F5" s="554"/>
      <c r="G5" s="546"/>
      <c r="H5" s="547"/>
      <c r="I5" s="547"/>
    </row>
    <row r="6" spans="1:14" x14ac:dyDescent="0.3">
      <c r="A6" s="369"/>
      <c r="B6" s="370"/>
      <c r="C6" s="371"/>
      <c r="D6" s="371"/>
      <c r="E6" s="371"/>
      <c r="F6" s="371"/>
      <c r="G6" s="371"/>
      <c r="H6" s="367"/>
      <c r="I6" s="367"/>
      <c r="J6" s="367"/>
      <c r="K6" s="367"/>
      <c r="L6" s="367"/>
      <c r="M6" s="367"/>
      <c r="N6" s="367"/>
    </row>
    <row r="7" spans="1:14" hidden="1" x14ac:dyDescent="0.3">
      <c r="A7" s="372">
        <v>1994</v>
      </c>
      <c r="B7" s="373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7"/>
      <c r="I7" s="367"/>
      <c r="J7" s="367"/>
      <c r="K7" s="367"/>
      <c r="L7" s="367"/>
      <c r="M7" s="367"/>
      <c r="N7" s="367"/>
    </row>
    <row r="8" spans="1:14" hidden="1" x14ac:dyDescent="0.3">
      <c r="A8" s="374">
        <v>1995</v>
      </c>
      <c r="B8" s="373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7"/>
      <c r="I8" s="367"/>
      <c r="J8" s="367"/>
      <c r="K8" s="367"/>
      <c r="L8" s="367"/>
      <c r="M8" s="367"/>
      <c r="N8" s="367"/>
    </row>
    <row r="9" spans="1:14" hidden="1" x14ac:dyDescent="0.3">
      <c r="A9" s="374">
        <v>1996</v>
      </c>
      <c r="B9" s="373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7"/>
      <c r="I9" s="367"/>
      <c r="J9" s="367"/>
      <c r="K9" s="367"/>
      <c r="L9" s="367"/>
      <c r="M9" s="367"/>
      <c r="N9" s="367"/>
    </row>
    <row r="10" spans="1:14" hidden="1" x14ac:dyDescent="0.3">
      <c r="A10" s="374">
        <v>1997</v>
      </c>
      <c r="B10" s="373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7"/>
      <c r="I10" s="367"/>
      <c r="J10" s="367"/>
      <c r="K10" s="367"/>
      <c r="L10" s="367"/>
      <c r="M10" s="367"/>
      <c r="N10" s="367"/>
    </row>
    <row r="11" spans="1:14" hidden="1" x14ac:dyDescent="0.3">
      <c r="A11" s="374">
        <v>1998</v>
      </c>
      <c r="B11" s="373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7"/>
      <c r="I11" s="367"/>
      <c r="J11" s="367"/>
      <c r="K11" s="367"/>
      <c r="L11" s="367"/>
      <c r="M11" s="367"/>
      <c r="N11" s="367"/>
    </row>
    <row r="12" spans="1:14" hidden="1" x14ac:dyDescent="0.3">
      <c r="A12" s="374">
        <v>1999</v>
      </c>
      <c r="B12" s="373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7"/>
      <c r="I12" s="367"/>
      <c r="J12" s="367"/>
      <c r="K12" s="367"/>
      <c r="L12" s="367"/>
      <c r="M12" s="367"/>
      <c r="N12" s="367"/>
    </row>
    <row r="13" spans="1:14" hidden="1" x14ac:dyDescent="0.3">
      <c r="A13" s="374">
        <v>2000</v>
      </c>
      <c r="B13" s="373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7"/>
      <c r="I13" s="367"/>
      <c r="J13" s="367"/>
      <c r="K13" s="367"/>
      <c r="L13" s="367"/>
      <c r="M13" s="367"/>
      <c r="N13" s="367"/>
    </row>
    <row r="14" spans="1:14" x14ac:dyDescent="0.3">
      <c r="A14" s="374">
        <v>2001</v>
      </c>
      <c r="B14" s="373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7"/>
      <c r="I14" s="367"/>
      <c r="J14" s="367"/>
      <c r="K14" s="367"/>
      <c r="L14" s="367"/>
      <c r="M14" s="367"/>
      <c r="N14" s="367"/>
    </row>
    <row r="15" spans="1:14" x14ac:dyDescent="0.3">
      <c r="A15" s="374">
        <v>2002</v>
      </c>
      <c r="B15" s="373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7"/>
      <c r="I15" s="367"/>
      <c r="J15" s="367"/>
      <c r="K15" s="367"/>
      <c r="L15" s="367"/>
      <c r="M15" s="367"/>
      <c r="N15" s="367"/>
    </row>
    <row r="16" spans="1:14" x14ac:dyDescent="0.3">
      <c r="A16" s="374">
        <v>2003</v>
      </c>
      <c r="B16" s="373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7"/>
      <c r="I16" s="367"/>
      <c r="J16" s="367"/>
      <c r="K16" s="367"/>
      <c r="L16" s="367"/>
      <c r="M16" s="367"/>
      <c r="N16" s="367"/>
    </row>
    <row r="17" spans="1:14" x14ac:dyDescent="0.3">
      <c r="A17" s="374">
        <v>2004</v>
      </c>
      <c r="B17" s="373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7"/>
      <c r="I17" s="367"/>
      <c r="J17" s="367"/>
      <c r="K17" s="367"/>
      <c r="L17" s="367"/>
      <c r="M17" s="367"/>
      <c r="N17" s="367"/>
    </row>
    <row r="18" spans="1:14" x14ac:dyDescent="0.3">
      <c r="A18" s="374">
        <v>2005</v>
      </c>
      <c r="B18" s="373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7"/>
      <c r="I18" s="367"/>
      <c r="J18" s="367"/>
      <c r="K18" s="367"/>
      <c r="L18" s="367"/>
      <c r="M18" s="367"/>
      <c r="N18" s="367"/>
    </row>
    <row r="19" spans="1:14" x14ac:dyDescent="0.3">
      <c r="A19" s="374">
        <v>2006</v>
      </c>
      <c r="B19" s="373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7"/>
      <c r="I19" s="367"/>
      <c r="J19" s="367"/>
      <c r="K19" s="367"/>
      <c r="L19" s="367"/>
      <c r="M19" s="367"/>
      <c r="N19" s="367"/>
    </row>
    <row r="20" spans="1:14" x14ac:dyDescent="0.3">
      <c r="A20" s="393">
        <v>2007</v>
      </c>
      <c r="B20" s="373">
        <v>319693</v>
      </c>
      <c r="C20" s="361">
        <v>192316</v>
      </c>
      <c r="D20" s="394">
        <v>33424</v>
      </c>
      <c r="E20" s="361">
        <v>70436</v>
      </c>
      <c r="F20" s="361">
        <v>100774</v>
      </c>
      <c r="G20" s="361">
        <v>77257</v>
      </c>
      <c r="H20" s="367"/>
      <c r="I20" s="367"/>
      <c r="J20" s="367"/>
      <c r="K20" s="367"/>
      <c r="L20" s="367"/>
      <c r="M20" s="367"/>
      <c r="N20" s="367"/>
    </row>
    <row r="21" spans="1:14" x14ac:dyDescent="0.3">
      <c r="A21" s="375">
        <v>2008</v>
      </c>
      <c r="B21" s="373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7"/>
      <c r="I21" s="367"/>
      <c r="J21" s="367"/>
      <c r="K21" s="367"/>
      <c r="L21" s="367"/>
      <c r="M21" s="367"/>
      <c r="N21" s="367"/>
    </row>
    <row r="22" spans="1:14" x14ac:dyDescent="0.3">
      <c r="A22" s="375">
        <v>2009</v>
      </c>
      <c r="B22" s="373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7"/>
      <c r="I22" s="367"/>
      <c r="J22" s="367"/>
      <c r="K22" s="367"/>
      <c r="L22" s="367"/>
      <c r="M22" s="367"/>
      <c r="N22" s="367"/>
    </row>
    <row r="23" spans="1:14" x14ac:dyDescent="0.3">
      <c r="A23" s="375">
        <v>2010</v>
      </c>
      <c r="B23" s="373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7"/>
      <c r="I23" s="367"/>
      <c r="J23" s="367"/>
      <c r="K23" s="367"/>
      <c r="L23" s="367"/>
      <c r="M23" s="367"/>
      <c r="N23" s="367"/>
    </row>
    <row r="24" spans="1:14" x14ac:dyDescent="0.3">
      <c r="A24" s="375">
        <v>2011</v>
      </c>
      <c r="B24" s="373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7"/>
      <c r="I24" s="367"/>
      <c r="J24" s="367"/>
      <c r="K24" s="367"/>
      <c r="L24" s="367"/>
      <c r="M24" s="367"/>
      <c r="N24" s="367"/>
    </row>
    <row r="25" spans="1:14" x14ac:dyDescent="0.3">
      <c r="A25" s="375">
        <v>2012</v>
      </c>
      <c r="B25" s="373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7"/>
      <c r="I25" s="367"/>
      <c r="J25" s="367"/>
      <c r="K25" s="367"/>
      <c r="L25" s="367"/>
      <c r="M25" s="367"/>
      <c r="N25" s="367"/>
    </row>
    <row r="26" spans="1:14" x14ac:dyDescent="0.3">
      <c r="A26" s="375">
        <v>2013</v>
      </c>
      <c r="B26" s="373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7"/>
      <c r="I26" s="367"/>
      <c r="J26" s="367"/>
      <c r="K26" s="367"/>
      <c r="L26" s="367"/>
      <c r="M26" s="367"/>
      <c r="N26" s="367"/>
    </row>
    <row r="27" spans="1:14" x14ac:dyDescent="0.3">
      <c r="A27" s="375">
        <v>2014</v>
      </c>
      <c r="B27" s="373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7"/>
      <c r="I27" s="367"/>
      <c r="J27" s="367"/>
      <c r="K27" s="367"/>
      <c r="L27" s="367"/>
      <c r="M27" s="367"/>
      <c r="N27" s="367"/>
    </row>
    <row r="28" spans="1:14" x14ac:dyDescent="0.3">
      <c r="A28" s="375">
        <v>2015</v>
      </c>
      <c r="B28" s="373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7"/>
      <c r="I28" s="367"/>
      <c r="J28" s="367"/>
      <c r="K28" s="367"/>
      <c r="L28" s="367"/>
      <c r="M28" s="367"/>
      <c r="N28" s="367"/>
    </row>
    <row r="29" spans="1:14" x14ac:dyDescent="0.3">
      <c r="A29" s="375">
        <v>2016</v>
      </c>
      <c r="B29" s="373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7"/>
      <c r="I29" s="367"/>
      <c r="J29" s="367"/>
      <c r="K29" s="367"/>
      <c r="L29" s="367"/>
      <c r="M29" s="367"/>
      <c r="N29" s="367"/>
    </row>
    <row r="30" spans="1:14" x14ac:dyDescent="0.3">
      <c r="A30" s="375">
        <v>2017</v>
      </c>
      <c r="B30" s="373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7"/>
      <c r="I30" s="367"/>
      <c r="J30" s="367"/>
      <c r="K30" s="367"/>
      <c r="L30" s="367"/>
      <c r="M30" s="367"/>
      <c r="N30" s="367"/>
    </row>
    <row r="31" spans="1:14" x14ac:dyDescent="0.3">
      <c r="A31" s="375">
        <v>2018</v>
      </c>
      <c r="B31" s="373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7"/>
      <c r="I31" s="367"/>
      <c r="J31" s="367"/>
      <c r="K31" s="367"/>
      <c r="L31" s="367"/>
      <c r="M31" s="367"/>
      <c r="N31" s="367"/>
    </row>
    <row r="32" spans="1:14" x14ac:dyDescent="0.3">
      <c r="A32" s="375">
        <v>2019</v>
      </c>
      <c r="B32" s="373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7"/>
      <c r="I32" s="367"/>
      <c r="J32" s="367"/>
      <c r="K32" s="367"/>
      <c r="L32" s="367"/>
      <c r="M32" s="367"/>
      <c r="N32" s="367"/>
    </row>
    <row r="33" spans="1:14" x14ac:dyDescent="0.3">
      <c r="A33" s="375">
        <v>2020</v>
      </c>
      <c r="B33" s="373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7"/>
      <c r="I33" s="367"/>
      <c r="J33" s="367"/>
      <c r="K33" s="367"/>
      <c r="L33" s="367"/>
      <c r="M33" s="367"/>
      <c r="N33" s="367"/>
    </row>
    <row r="34" spans="1:14" x14ac:dyDescent="0.3">
      <c r="A34" s="375" t="s">
        <v>887</v>
      </c>
      <c r="B34" s="373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7"/>
      <c r="I34" s="367"/>
      <c r="J34" s="367"/>
      <c r="K34" s="367"/>
      <c r="L34" s="367"/>
      <c r="M34" s="367"/>
      <c r="N34" s="367"/>
    </row>
    <row r="35" spans="1:14" x14ac:dyDescent="0.3">
      <c r="A35" s="375" t="s">
        <v>888</v>
      </c>
      <c r="B35" s="373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7"/>
      <c r="I35" s="367"/>
      <c r="J35" s="367"/>
      <c r="K35" s="367"/>
      <c r="L35" s="367"/>
      <c r="M35" s="367"/>
      <c r="N35" s="367"/>
    </row>
    <row r="36" spans="1:14" x14ac:dyDescent="0.3">
      <c r="A36" s="375" t="s">
        <v>889</v>
      </c>
      <c r="B36" s="373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7"/>
      <c r="I36" s="367"/>
      <c r="J36" s="367"/>
      <c r="K36" s="367"/>
      <c r="L36" s="367"/>
      <c r="M36" s="367"/>
      <c r="N36" s="367"/>
    </row>
    <row r="37" spans="1:14" x14ac:dyDescent="0.3">
      <c r="A37" s="376"/>
      <c r="B37" s="377"/>
      <c r="C37" s="378"/>
      <c r="D37" s="378"/>
      <c r="E37" s="378"/>
      <c r="F37" s="378"/>
      <c r="G37" s="378"/>
    </row>
    <row r="38" spans="1:14" s="381" customFormat="1" ht="13.8" x14ac:dyDescent="0.3">
      <c r="A38" s="379" t="s">
        <v>890</v>
      </c>
      <c r="B38" s="380"/>
      <c r="C38" s="380"/>
      <c r="D38" s="380"/>
      <c r="E38" s="380"/>
      <c r="F38" s="380"/>
      <c r="G38" s="380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workbookViewId="0"/>
  </sheetViews>
  <sheetFormatPr baseColWidth="10" defaultColWidth="11.44140625" defaultRowHeight="14.4" x14ac:dyDescent="0.3"/>
  <cols>
    <col min="1" max="1" width="12.109375" style="392" customWidth="1"/>
    <col min="2" max="7" width="14.6640625" style="365" customWidth="1"/>
    <col min="8" max="8" width="3" style="365" customWidth="1"/>
    <col min="9" max="9" width="9.109375" style="365" customWidth="1"/>
    <col min="10" max="10" width="9.44140625" style="365" customWidth="1"/>
    <col min="11" max="11" width="7.6640625" style="365" customWidth="1"/>
    <col min="12" max="13" width="9.33203125" style="365" customWidth="1"/>
    <col min="14" max="14" width="11.6640625" style="365" customWidth="1"/>
    <col min="15" max="15" width="9" style="365" customWidth="1"/>
    <col min="16" max="16" width="9.88671875" style="365" customWidth="1"/>
    <col min="17" max="17" width="10" style="365" customWidth="1"/>
    <col min="18" max="18" width="8" style="365" customWidth="1"/>
    <col min="19" max="16384" width="11.44140625" style="365"/>
  </cols>
  <sheetData>
    <row r="1" spans="1:9" ht="18" x14ac:dyDescent="0.3">
      <c r="A1" s="229" t="s">
        <v>894</v>
      </c>
    </row>
    <row r="2" spans="1:9" s="382" customFormat="1" ht="55.5" customHeight="1" x14ac:dyDescent="0.3">
      <c r="A2" s="555" t="s">
        <v>892</v>
      </c>
      <c r="B2" s="555"/>
      <c r="C2" s="555"/>
      <c r="D2" s="555"/>
      <c r="E2" s="555"/>
      <c r="F2" s="555"/>
      <c r="G2" s="555"/>
    </row>
    <row r="3" spans="1:9" x14ac:dyDescent="0.3">
      <c r="A3" s="556"/>
      <c r="B3" s="556"/>
      <c r="C3" s="556"/>
      <c r="D3" s="556"/>
      <c r="E3" s="556"/>
      <c r="F3" s="556"/>
      <c r="G3" s="556"/>
    </row>
    <row r="4" spans="1:9" s="368" customFormat="1" ht="24.9" customHeight="1" x14ac:dyDescent="0.3">
      <c r="A4" s="548" t="s">
        <v>849</v>
      </c>
      <c r="B4" s="545" t="s">
        <v>882</v>
      </c>
      <c r="C4" s="545" t="s">
        <v>883</v>
      </c>
      <c r="D4" s="545" t="s">
        <v>873</v>
      </c>
      <c r="E4" s="553" t="s">
        <v>893</v>
      </c>
      <c r="F4" s="553" t="s">
        <v>885</v>
      </c>
      <c r="G4" s="545" t="s">
        <v>886</v>
      </c>
      <c r="H4" s="547"/>
      <c r="I4" s="547"/>
    </row>
    <row r="5" spans="1:9" s="368" customFormat="1" ht="18.75" customHeight="1" x14ac:dyDescent="0.3">
      <c r="A5" s="557"/>
      <c r="B5" s="554"/>
      <c r="C5" s="554"/>
      <c r="D5" s="554"/>
      <c r="E5" s="554"/>
      <c r="F5" s="554"/>
      <c r="G5" s="554"/>
      <c r="H5" s="547"/>
      <c r="I5" s="547"/>
    </row>
    <row r="6" spans="1:9" s="368" customFormat="1" ht="3" customHeight="1" x14ac:dyDescent="0.3">
      <c r="A6" s="383"/>
      <c r="B6" s="384"/>
      <c r="C6" s="385"/>
      <c r="D6" s="385"/>
      <c r="E6" s="385"/>
      <c r="F6" s="385"/>
      <c r="G6" s="385"/>
      <c r="H6" s="386"/>
      <c r="I6" s="386"/>
    </row>
    <row r="7" spans="1:9" s="368" customFormat="1" ht="15" hidden="1" customHeight="1" x14ac:dyDescent="0.3">
      <c r="A7" s="374">
        <v>1950</v>
      </c>
      <c r="B7" s="373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7"/>
      <c r="I7" s="387"/>
    </row>
    <row r="8" spans="1:9" s="368" customFormat="1" ht="15" hidden="1" customHeight="1" x14ac:dyDescent="0.3">
      <c r="A8" s="374">
        <v>1951</v>
      </c>
      <c r="B8" s="373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7"/>
      <c r="I8" s="387"/>
    </row>
    <row r="9" spans="1:9" s="368" customFormat="1" ht="15" hidden="1" customHeight="1" x14ac:dyDescent="0.3">
      <c r="A9" s="374">
        <v>1952</v>
      </c>
      <c r="B9" s="373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7"/>
      <c r="I9" s="387"/>
    </row>
    <row r="10" spans="1:9" s="368" customFormat="1" ht="15" hidden="1" customHeight="1" x14ac:dyDescent="0.3">
      <c r="A10" s="374">
        <v>1953</v>
      </c>
      <c r="B10" s="373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7"/>
      <c r="I10" s="387"/>
    </row>
    <row r="11" spans="1:9" s="368" customFormat="1" ht="15" hidden="1" customHeight="1" x14ac:dyDescent="0.3">
      <c r="A11" s="374">
        <v>1954</v>
      </c>
      <c r="B11" s="373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7"/>
      <c r="I11" s="387"/>
    </row>
    <row r="12" spans="1:9" s="368" customFormat="1" ht="15" hidden="1" customHeight="1" x14ac:dyDescent="0.3">
      <c r="A12" s="374">
        <v>1955</v>
      </c>
      <c r="B12" s="373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7"/>
      <c r="I12" s="387"/>
    </row>
    <row r="13" spans="1:9" s="368" customFormat="1" ht="15" hidden="1" customHeight="1" x14ac:dyDescent="0.3">
      <c r="A13" s="374">
        <v>1956</v>
      </c>
      <c r="B13" s="373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7"/>
      <c r="I13" s="387"/>
    </row>
    <row r="14" spans="1:9" s="368" customFormat="1" ht="15" hidden="1" customHeight="1" x14ac:dyDescent="0.3">
      <c r="A14" s="374">
        <v>1957</v>
      </c>
      <c r="B14" s="373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7"/>
      <c r="I14" s="387"/>
    </row>
    <row r="15" spans="1:9" s="368" customFormat="1" ht="15" hidden="1" customHeight="1" x14ac:dyDescent="0.3">
      <c r="A15" s="374">
        <v>1958</v>
      </c>
      <c r="B15" s="373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7"/>
      <c r="I15" s="387"/>
    </row>
    <row r="16" spans="1:9" s="368" customFormat="1" ht="15" hidden="1" customHeight="1" x14ac:dyDescent="0.3">
      <c r="A16" s="374">
        <v>1959</v>
      </c>
      <c r="B16" s="373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7"/>
      <c r="I16" s="387"/>
    </row>
    <row r="17" spans="1:9" s="368" customFormat="1" ht="15" hidden="1" customHeight="1" x14ac:dyDescent="0.3">
      <c r="A17" s="374">
        <v>1960</v>
      </c>
      <c r="B17" s="373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7"/>
      <c r="I17" s="387"/>
    </row>
    <row r="18" spans="1:9" s="368" customFormat="1" ht="15" hidden="1" customHeight="1" x14ac:dyDescent="0.3">
      <c r="A18" s="374">
        <v>1961</v>
      </c>
      <c r="B18" s="373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7"/>
      <c r="I18" s="387"/>
    </row>
    <row r="19" spans="1:9" s="368" customFormat="1" ht="15" hidden="1" customHeight="1" x14ac:dyDescent="0.3">
      <c r="A19" s="374">
        <v>1962</v>
      </c>
      <c r="B19" s="373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7"/>
      <c r="I19" s="387"/>
    </row>
    <row r="20" spans="1:9" s="368" customFormat="1" ht="15" hidden="1" customHeight="1" x14ac:dyDescent="0.3">
      <c r="A20" s="374">
        <v>1963</v>
      </c>
      <c r="B20" s="373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7"/>
      <c r="I20" s="387"/>
    </row>
    <row r="21" spans="1:9" s="368" customFormat="1" ht="15" hidden="1" customHeight="1" x14ac:dyDescent="0.3">
      <c r="A21" s="374">
        <v>1964</v>
      </c>
      <c r="B21" s="373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7"/>
      <c r="I21" s="387"/>
    </row>
    <row r="22" spans="1:9" s="368" customFormat="1" ht="15" hidden="1" customHeight="1" x14ac:dyDescent="0.3">
      <c r="A22" s="374">
        <v>1965</v>
      </c>
      <c r="B22" s="373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7"/>
      <c r="I22" s="387"/>
    </row>
    <row r="23" spans="1:9" s="368" customFormat="1" ht="15" hidden="1" customHeight="1" x14ac:dyDescent="0.3">
      <c r="A23" s="374">
        <v>1966</v>
      </c>
      <c r="B23" s="373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7"/>
      <c r="I23" s="387"/>
    </row>
    <row r="24" spans="1:9" s="368" customFormat="1" ht="15" hidden="1" customHeight="1" x14ac:dyDescent="0.3">
      <c r="A24" s="374">
        <v>1967</v>
      </c>
      <c r="B24" s="373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7"/>
      <c r="I24" s="387"/>
    </row>
    <row r="25" spans="1:9" s="368" customFormat="1" ht="15" hidden="1" customHeight="1" x14ac:dyDescent="0.3">
      <c r="A25" s="374">
        <v>1968</v>
      </c>
      <c r="B25" s="373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7"/>
      <c r="I25" s="387"/>
    </row>
    <row r="26" spans="1:9" s="368" customFormat="1" ht="15" hidden="1" customHeight="1" x14ac:dyDescent="0.3">
      <c r="A26" s="374">
        <v>1969</v>
      </c>
      <c r="B26" s="373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7"/>
      <c r="I26" s="387"/>
    </row>
    <row r="27" spans="1:9" s="368" customFormat="1" ht="15" hidden="1" customHeight="1" x14ac:dyDescent="0.3">
      <c r="A27" s="374">
        <v>1970</v>
      </c>
      <c r="B27" s="373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7"/>
      <c r="I27" s="387"/>
    </row>
    <row r="28" spans="1:9" s="368" customFormat="1" ht="15" hidden="1" customHeight="1" x14ac:dyDescent="0.3">
      <c r="A28" s="374">
        <v>1971</v>
      </c>
      <c r="B28" s="373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7"/>
      <c r="I28" s="387"/>
    </row>
    <row r="29" spans="1:9" s="368" customFormat="1" ht="15" hidden="1" customHeight="1" x14ac:dyDescent="0.3">
      <c r="A29" s="374">
        <v>1972</v>
      </c>
      <c r="B29" s="373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7"/>
      <c r="I29" s="387"/>
    </row>
    <row r="30" spans="1:9" s="368" customFormat="1" ht="15" hidden="1" customHeight="1" x14ac:dyDescent="0.3">
      <c r="A30" s="374">
        <v>1973</v>
      </c>
      <c r="B30" s="373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7"/>
      <c r="I30" s="387"/>
    </row>
    <row r="31" spans="1:9" s="368" customFormat="1" ht="15" hidden="1" customHeight="1" x14ac:dyDescent="0.3">
      <c r="A31" s="374">
        <v>1974</v>
      </c>
      <c r="B31" s="373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7"/>
      <c r="I31" s="387"/>
    </row>
    <row r="32" spans="1:9" s="368" customFormat="1" ht="15" hidden="1" customHeight="1" x14ac:dyDescent="0.3">
      <c r="A32" s="374">
        <v>1975</v>
      </c>
      <c r="B32" s="373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7"/>
      <c r="I32" s="387"/>
    </row>
    <row r="33" spans="1:9" s="368" customFormat="1" ht="15" hidden="1" customHeight="1" x14ac:dyDescent="0.3">
      <c r="A33" s="374">
        <v>1976</v>
      </c>
      <c r="B33" s="373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7"/>
      <c r="I33" s="387"/>
    </row>
    <row r="34" spans="1:9" s="368" customFormat="1" ht="15" hidden="1" customHeight="1" x14ac:dyDescent="0.3">
      <c r="A34" s="374">
        <v>1977</v>
      </c>
      <c r="B34" s="373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7"/>
      <c r="I34" s="387"/>
    </row>
    <row r="35" spans="1:9" s="368" customFormat="1" ht="15" hidden="1" customHeight="1" x14ac:dyDescent="0.3">
      <c r="A35" s="374">
        <v>1978</v>
      </c>
      <c r="B35" s="373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7"/>
      <c r="I35" s="387"/>
    </row>
    <row r="36" spans="1:9" s="368" customFormat="1" ht="15" hidden="1" customHeight="1" x14ac:dyDescent="0.3">
      <c r="A36" s="374">
        <v>1979</v>
      </c>
      <c r="B36" s="373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7"/>
      <c r="I36" s="387"/>
    </row>
    <row r="37" spans="1:9" s="368" customFormat="1" ht="15" hidden="1" customHeight="1" x14ac:dyDescent="0.3">
      <c r="A37" s="374">
        <v>1980</v>
      </c>
      <c r="B37" s="373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7"/>
      <c r="I37" s="387"/>
    </row>
    <row r="38" spans="1:9" s="368" customFormat="1" ht="15" hidden="1" customHeight="1" x14ac:dyDescent="0.3">
      <c r="A38" s="374">
        <v>1981</v>
      </c>
      <c r="B38" s="373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7"/>
      <c r="I38" s="387"/>
    </row>
    <row r="39" spans="1:9" s="368" customFormat="1" ht="15" hidden="1" customHeight="1" x14ac:dyDescent="0.3">
      <c r="A39" s="374">
        <v>1982</v>
      </c>
      <c r="B39" s="373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7"/>
      <c r="I39" s="387"/>
    </row>
    <row r="40" spans="1:9" s="368" customFormat="1" ht="15" hidden="1" customHeight="1" x14ac:dyDescent="0.3">
      <c r="A40" s="374">
        <v>1983</v>
      </c>
      <c r="B40" s="373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7"/>
      <c r="I40" s="387"/>
    </row>
    <row r="41" spans="1:9" s="368" customFormat="1" ht="15" hidden="1" customHeight="1" x14ac:dyDescent="0.3">
      <c r="A41" s="374">
        <v>1984</v>
      </c>
      <c r="B41" s="373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7"/>
      <c r="I41" s="387"/>
    </row>
    <row r="42" spans="1:9" s="368" customFormat="1" ht="15" hidden="1" customHeight="1" x14ac:dyDescent="0.3">
      <c r="A42" s="374">
        <v>1985</v>
      </c>
      <c r="B42" s="373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7"/>
      <c r="I42" s="387"/>
    </row>
    <row r="43" spans="1:9" s="368" customFormat="1" ht="15" hidden="1" customHeight="1" x14ac:dyDescent="0.3">
      <c r="A43" s="374">
        <v>1986</v>
      </c>
      <c r="B43" s="373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7"/>
      <c r="I43" s="387"/>
    </row>
    <row r="44" spans="1:9" s="368" customFormat="1" ht="15" hidden="1" customHeight="1" x14ac:dyDescent="0.3">
      <c r="A44" s="374">
        <v>1987</v>
      </c>
      <c r="B44" s="373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7"/>
      <c r="I44" s="387"/>
    </row>
    <row r="45" spans="1:9" s="368" customFormat="1" ht="15" hidden="1" customHeight="1" x14ac:dyDescent="0.3">
      <c r="A45" s="374">
        <v>1988</v>
      </c>
      <c r="B45" s="373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7"/>
      <c r="I45" s="387"/>
    </row>
    <row r="46" spans="1:9" s="368" customFormat="1" ht="15" hidden="1" customHeight="1" x14ac:dyDescent="0.3">
      <c r="A46" s="374">
        <v>1989</v>
      </c>
      <c r="B46" s="373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7"/>
      <c r="I46" s="387"/>
    </row>
    <row r="47" spans="1:9" s="368" customFormat="1" ht="15" hidden="1" customHeight="1" x14ac:dyDescent="0.3">
      <c r="A47" s="374">
        <v>1990</v>
      </c>
      <c r="B47" s="373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7"/>
      <c r="I47" s="387"/>
    </row>
    <row r="48" spans="1:9" s="368" customFormat="1" ht="15" hidden="1" customHeight="1" x14ac:dyDescent="0.3">
      <c r="A48" s="374">
        <v>1991</v>
      </c>
      <c r="B48" s="373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7"/>
      <c r="I48" s="387"/>
    </row>
    <row r="49" spans="1:11" s="368" customFormat="1" ht="15" hidden="1" customHeight="1" x14ac:dyDescent="0.3">
      <c r="A49" s="374">
        <v>1992</v>
      </c>
      <c r="B49" s="373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7"/>
      <c r="I49" s="387"/>
    </row>
    <row r="50" spans="1:11" s="368" customFormat="1" ht="15" hidden="1" customHeight="1" x14ac:dyDescent="0.3">
      <c r="A50" s="374">
        <v>1993</v>
      </c>
      <c r="B50" s="373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7"/>
      <c r="I50" s="387"/>
    </row>
    <row r="51" spans="1:11" s="368" customFormat="1" ht="15" hidden="1" customHeight="1" x14ac:dyDescent="0.3">
      <c r="A51" s="374">
        <v>1994</v>
      </c>
      <c r="B51" s="373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7"/>
      <c r="I51" s="387"/>
      <c r="K51" s="388"/>
    </row>
    <row r="52" spans="1:11" s="368" customFormat="1" ht="15" hidden="1" customHeight="1" x14ac:dyDescent="0.3">
      <c r="A52" s="374">
        <v>1995</v>
      </c>
      <c r="B52" s="373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7"/>
      <c r="I52" s="387"/>
      <c r="K52" s="388"/>
    </row>
    <row r="53" spans="1:11" s="368" customFormat="1" ht="15" hidden="1" customHeight="1" x14ac:dyDescent="0.3">
      <c r="A53" s="374">
        <v>1996</v>
      </c>
      <c r="B53" s="373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7"/>
      <c r="I53" s="387"/>
      <c r="K53" s="388"/>
    </row>
    <row r="54" spans="1:11" s="368" customFormat="1" ht="15" hidden="1" customHeight="1" x14ac:dyDescent="0.3">
      <c r="A54" s="374">
        <v>1997</v>
      </c>
      <c r="B54" s="373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7"/>
      <c r="I54" s="387"/>
      <c r="K54" s="388"/>
    </row>
    <row r="55" spans="1:11" s="368" customFormat="1" ht="15" hidden="1" customHeight="1" x14ac:dyDescent="0.3">
      <c r="A55" s="374">
        <v>1998</v>
      </c>
      <c r="B55" s="373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7"/>
      <c r="I55" s="387"/>
      <c r="K55" s="388"/>
    </row>
    <row r="56" spans="1:11" s="368" customFormat="1" ht="15" hidden="1" customHeight="1" x14ac:dyDescent="0.3">
      <c r="A56" s="374">
        <v>1999</v>
      </c>
      <c r="B56" s="373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7"/>
      <c r="I56" s="387"/>
      <c r="K56" s="388"/>
    </row>
    <row r="57" spans="1:11" s="368" customFormat="1" ht="15" hidden="1" customHeight="1" x14ac:dyDescent="0.3">
      <c r="A57" s="374">
        <v>2000</v>
      </c>
      <c r="B57" s="373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7"/>
      <c r="I57" s="387"/>
      <c r="K57" s="388"/>
    </row>
    <row r="58" spans="1:11" s="368" customFormat="1" ht="15" customHeight="1" x14ac:dyDescent="0.3">
      <c r="A58" s="374">
        <v>2001</v>
      </c>
      <c r="B58" s="373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7"/>
      <c r="I58" s="387"/>
      <c r="K58" s="388"/>
    </row>
    <row r="59" spans="1:11" s="368" customFormat="1" ht="15" customHeight="1" x14ac:dyDescent="0.3">
      <c r="A59" s="374">
        <v>2002</v>
      </c>
      <c r="B59" s="373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7"/>
      <c r="I59" s="387"/>
      <c r="K59" s="388"/>
    </row>
    <row r="60" spans="1:11" s="368" customFormat="1" ht="15" customHeight="1" x14ac:dyDescent="0.3">
      <c r="A60" s="374">
        <v>2003</v>
      </c>
      <c r="B60" s="373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7"/>
      <c r="I60" s="387"/>
      <c r="K60" s="388"/>
    </row>
    <row r="61" spans="1:11" s="368" customFormat="1" ht="15" customHeight="1" x14ac:dyDescent="0.3">
      <c r="A61" s="374">
        <v>2004</v>
      </c>
      <c r="B61" s="373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7"/>
      <c r="I61" s="387"/>
      <c r="K61" s="388"/>
    </row>
    <row r="62" spans="1:11" s="368" customFormat="1" ht="15" customHeight="1" x14ac:dyDescent="0.3">
      <c r="A62" s="374">
        <v>2005</v>
      </c>
      <c r="B62" s="373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7"/>
      <c r="I62" s="387"/>
      <c r="K62" s="388"/>
    </row>
    <row r="63" spans="1:11" s="368" customFormat="1" ht="15" customHeight="1" x14ac:dyDescent="0.3">
      <c r="A63" s="374">
        <v>2006</v>
      </c>
      <c r="B63" s="373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7"/>
      <c r="I63" s="387"/>
      <c r="K63" s="388"/>
    </row>
    <row r="64" spans="1:11" s="368" customFormat="1" ht="15" customHeight="1" x14ac:dyDescent="0.3">
      <c r="A64" s="393">
        <v>2007</v>
      </c>
      <c r="B64" s="373">
        <v>319693</v>
      </c>
      <c r="C64" s="361">
        <v>192316</v>
      </c>
      <c r="D64" s="394">
        <v>33424</v>
      </c>
      <c r="E64" s="361">
        <v>70436</v>
      </c>
      <c r="F64" s="361">
        <v>100774</v>
      </c>
      <c r="G64" s="361">
        <v>77257</v>
      </c>
      <c r="H64" s="387"/>
      <c r="I64" s="387"/>
      <c r="K64" s="388"/>
    </row>
    <row r="65" spans="1:11" s="368" customFormat="1" ht="15" customHeight="1" x14ac:dyDescent="0.3">
      <c r="A65" s="375">
        <v>2008</v>
      </c>
      <c r="B65" s="373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7"/>
      <c r="I65" s="387"/>
      <c r="K65" s="388"/>
    </row>
    <row r="66" spans="1:11" s="368" customFormat="1" ht="15" customHeight="1" x14ac:dyDescent="0.3">
      <c r="A66" s="375">
        <v>2009</v>
      </c>
      <c r="B66" s="373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7"/>
      <c r="I66" s="387"/>
      <c r="K66" s="388"/>
    </row>
    <row r="67" spans="1:11" s="368" customFormat="1" ht="15" customHeight="1" x14ac:dyDescent="0.3">
      <c r="A67" s="375">
        <v>2010</v>
      </c>
      <c r="B67" s="373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7"/>
      <c r="I67" s="387"/>
      <c r="K67" s="388"/>
    </row>
    <row r="68" spans="1:11" s="368" customFormat="1" ht="15" customHeight="1" x14ac:dyDescent="0.3">
      <c r="A68" s="375">
        <v>2011</v>
      </c>
      <c r="B68" s="373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7"/>
      <c r="I68" s="387"/>
      <c r="K68" s="388"/>
    </row>
    <row r="69" spans="1:11" s="368" customFormat="1" ht="15" customHeight="1" x14ac:dyDescent="0.3">
      <c r="A69" s="375">
        <v>2012</v>
      </c>
      <c r="B69" s="373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7"/>
      <c r="I69" s="387"/>
      <c r="K69" s="388"/>
    </row>
    <row r="70" spans="1:11" s="368" customFormat="1" ht="15" customHeight="1" x14ac:dyDescent="0.3">
      <c r="A70" s="375">
        <v>2013</v>
      </c>
      <c r="B70" s="373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7"/>
      <c r="I70" s="387"/>
      <c r="K70" s="388"/>
    </row>
    <row r="71" spans="1:11" s="368" customFormat="1" ht="15" customHeight="1" x14ac:dyDescent="0.3">
      <c r="A71" s="375">
        <v>2014</v>
      </c>
      <c r="B71" s="373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7"/>
      <c r="I71" s="387"/>
      <c r="K71" s="388"/>
    </row>
    <row r="72" spans="1:11" s="368" customFormat="1" ht="15" customHeight="1" x14ac:dyDescent="0.3">
      <c r="A72" s="375">
        <v>2015</v>
      </c>
      <c r="B72" s="373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7"/>
      <c r="I72" s="387"/>
      <c r="K72" s="388"/>
    </row>
    <row r="73" spans="1:11" s="368" customFormat="1" ht="15" customHeight="1" x14ac:dyDescent="0.3">
      <c r="A73" s="375">
        <v>2016</v>
      </c>
      <c r="B73" s="373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7"/>
      <c r="I73" s="387"/>
      <c r="K73" s="388"/>
    </row>
    <row r="74" spans="1:11" s="368" customFormat="1" ht="15" customHeight="1" x14ac:dyDescent="0.3">
      <c r="A74" s="375">
        <v>2017</v>
      </c>
      <c r="B74" s="373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7"/>
      <c r="I74" s="387"/>
      <c r="K74" s="388"/>
    </row>
    <row r="75" spans="1:11" s="368" customFormat="1" ht="15" customHeight="1" x14ac:dyDescent="0.3">
      <c r="A75" s="375">
        <v>2018</v>
      </c>
      <c r="B75" s="373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7"/>
      <c r="I75" s="387"/>
      <c r="K75" s="388"/>
    </row>
    <row r="76" spans="1:11" s="368" customFormat="1" ht="15" customHeight="1" x14ac:dyDescent="0.3">
      <c r="A76" s="375">
        <v>2019</v>
      </c>
      <c r="B76" s="373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7"/>
      <c r="I76" s="387"/>
      <c r="K76" s="388"/>
    </row>
    <row r="77" spans="1:11" s="368" customFormat="1" ht="15" customHeight="1" x14ac:dyDescent="0.3">
      <c r="A77" s="375">
        <v>2020</v>
      </c>
      <c r="B77" s="373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7"/>
      <c r="I77" s="387"/>
      <c r="K77" s="388"/>
    </row>
    <row r="78" spans="1:11" s="368" customFormat="1" ht="15" customHeight="1" x14ac:dyDescent="0.3">
      <c r="A78" s="375" t="s">
        <v>887</v>
      </c>
      <c r="B78" s="373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7"/>
      <c r="I78" s="387"/>
      <c r="K78" s="388"/>
    </row>
    <row r="79" spans="1:11" s="368" customFormat="1" ht="15" customHeight="1" x14ac:dyDescent="0.3">
      <c r="A79" s="375" t="s">
        <v>888</v>
      </c>
      <c r="B79" s="373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7"/>
      <c r="I79" s="387"/>
      <c r="K79" s="388"/>
    </row>
    <row r="80" spans="1:11" s="368" customFormat="1" ht="15" customHeight="1" x14ac:dyDescent="0.3">
      <c r="A80" s="375" t="s">
        <v>889</v>
      </c>
      <c r="B80" s="373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7"/>
      <c r="I80" s="387"/>
      <c r="K80" s="388"/>
    </row>
    <row r="81" spans="1:7" ht="3" customHeight="1" x14ac:dyDescent="0.3">
      <c r="A81" s="376"/>
      <c r="B81" s="389"/>
      <c r="C81" s="390"/>
      <c r="D81" s="390"/>
      <c r="E81" s="390"/>
      <c r="F81" s="390"/>
      <c r="G81" s="390"/>
    </row>
    <row r="82" spans="1:7" s="381" customFormat="1" ht="15" customHeight="1" x14ac:dyDescent="0.3">
      <c r="A82" s="379" t="s">
        <v>890</v>
      </c>
      <c r="B82" s="391"/>
      <c r="C82" s="391"/>
      <c r="D82" s="391"/>
      <c r="E82" s="391"/>
      <c r="F82" s="391"/>
      <c r="G82" s="391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workbookViewId="0"/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2" t="s">
        <v>901</v>
      </c>
      <c r="C1" s="402"/>
      <c r="D1" s="402"/>
      <c r="E1" s="402"/>
      <c r="F1" s="402"/>
      <c r="G1" s="402"/>
      <c r="H1" s="402"/>
      <c r="I1" s="402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559" t="s">
        <v>902</v>
      </c>
      <c r="C3" s="559" t="s">
        <v>2</v>
      </c>
      <c r="D3" s="559"/>
      <c r="E3" s="559"/>
      <c r="F3" s="559"/>
      <c r="G3" s="559"/>
      <c r="H3" s="559"/>
      <c r="I3" s="561" t="s">
        <v>903</v>
      </c>
      <c r="J3" s="561"/>
      <c r="K3" s="398"/>
    </row>
    <row r="4" spans="2:11" ht="16.8" customHeight="1" thickBot="1" x14ac:dyDescent="0.35">
      <c r="B4" s="560"/>
      <c r="C4" s="560"/>
      <c r="D4" s="560"/>
      <c r="E4" s="560"/>
      <c r="F4" s="560"/>
      <c r="G4" s="560"/>
      <c r="H4" s="560"/>
      <c r="I4" s="399" t="s">
        <v>905</v>
      </c>
      <c r="J4" s="399" t="s">
        <v>904</v>
      </c>
      <c r="K4" s="398"/>
    </row>
    <row r="5" spans="2:11" ht="21" customHeight="1" x14ac:dyDescent="0.3">
      <c r="B5" s="401" t="s">
        <v>906</v>
      </c>
      <c r="C5" s="562" t="s">
        <v>911</v>
      </c>
      <c r="D5" s="562"/>
      <c r="E5" s="562"/>
      <c r="F5" s="562"/>
      <c r="G5" s="562"/>
      <c r="H5" s="562"/>
      <c r="I5" s="400" t="s">
        <v>915</v>
      </c>
      <c r="J5" s="400" t="s">
        <v>916</v>
      </c>
    </row>
    <row r="6" spans="2:11" ht="21" customHeight="1" x14ac:dyDescent="0.3">
      <c r="B6" s="401" t="s">
        <v>907</v>
      </c>
      <c r="C6" s="558" t="s">
        <v>913</v>
      </c>
      <c r="D6" s="558"/>
      <c r="E6" s="558"/>
      <c r="F6" s="558"/>
      <c r="G6" s="558"/>
      <c r="H6" s="558"/>
      <c r="I6" s="400" t="s">
        <v>917</v>
      </c>
      <c r="J6" s="400" t="s">
        <v>918</v>
      </c>
    </row>
    <row r="7" spans="2:11" ht="21" customHeight="1" x14ac:dyDescent="0.3">
      <c r="B7" s="401" t="s">
        <v>908</v>
      </c>
      <c r="C7" s="558" t="s">
        <v>914</v>
      </c>
      <c r="D7" s="558"/>
      <c r="E7" s="558"/>
      <c r="F7" s="558"/>
      <c r="G7" s="558"/>
      <c r="H7" s="558"/>
      <c r="I7" s="400" t="s">
        <v>919</v>
      </c>
      <c r="J7" s="400" t="s">
        <v>920</v>
      </c>
    </row>
    <row r="8" spans="2:11" ht="21" customHeight="1" x14ac:dyDescent="0.3">
      <c r="B8" s="401" t="s">
        <v>909</v>
      </c>
      <c r="C8" s="558" t="s">
        <v>912</v>
      </c>
      <c r="D8" s="558"/>
      <c r="E8" s="558"/>
      <c r="F8" s="558"/>
      <c r="G8" s="558"/>
      <c r="H8" s="558"/>
      <c r="I8" s="400" t="s">
        <v>921</v>
      </c>
      <c r="J8" s="400" t="s">
        <v>922</v>
      </c>
    </row>
    <row r="9" spans="2:11" ht="21" customHeight="1" x14ac:dyDescent="0.3">
      <c r="B9" s="401" t="s">
        <v>910</v>
      </c>
      <c r="C9" s="558" t="s">
        <v>12</v>
      </c>
      <c r="D9" s="558"/>
      <c r="E9" s="558"/>
      <c r="F9" s="558"/>
      <c r="G9" s="558"/>
      <c r="H9" s="558"/>
      <c r="I9" s="400" t="s">
        <v>923</v>
      </c>
      <c r="J9" s="400" t="s">
        <v>924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workbookViewId="0"/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563" t="s">
        <v>930</v>
      </c>
      <c r="C1" s="563"/>
      <c r="D1" s="563"/>
      <c r="E1" s="563"/>
      <c r="F1" s="563"/>
      <c r="G1" s="563"/>
      <c r="H1" s="563"/>
      <c r="I1" s="563"/>
      <c r="J1" s="563"/>
    </row>
    <row r="2" spans="2:11" ht="21" customHeight="1" x14ac:dyDescent="0.3">
      <c r="B2" s="563"/>
      <c r="C2" s="563"/>
      <c r="D2" s="563"/>
      <c r="E2" s="563"/>
      <c r="F2" s="563"/>
      <c r="G2" s="563"/>
      <c r="H2" s="563"/>
      <c r="I2" s="563"/>
      <c r="J2" s="563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559" t="s">
        <v>902</v>
      </c>
      <c r="C4" s="559" t="s">
        <v>2</v>
      </c>
      <c r="D4" s="559"/>
      <c r="E4" s="559"/>
      <c r="F4" s="559"/>
      <c r="G4" s="559"/>
      <c r="H4" s="559"/>
      <c r="I4" s="561" t="s">
        <v>903</v>
      </c>
      <c r="J4" s="561"/>
      <c r="K4" s="398"/>
    </row>
    <row r="5" spans="2:11" ht="16.8" customHeight="1" thickBot="1" x14ac:dyDescent="0.35">
      <c r="B5" s="560"/>
      <c r="C5" s="560"/>
      <c r="D5" s="560"/>
      <c r="E5" s="560"/>
      <c r="F5" s="560"/>
      <c r="G5" s="560"/>
      <c r="H5" s="560"/>
      <c r="I5" s="399" t="s">
        <v>905</v>
      </c>
      <c r="J5" s="399" t="s">
        <v>904</v>
      </c>
      <c r="K5" s="398"/>
    </row>
    <row r="6" spans="2:11" ht="21" customHeight="1" x14ac:dyDescent="0.3">
      <c r="B6" s="401" t="s">
        <v>906</v>
      </c>
      <c r="C6" s="562" t="s">
        <v>931</v>
      </c>
      <c r="D6" s="562"/>
      <c r="E6" s="562"/>
      <c r="F6" s="562"/>
      <c r="G6" s="562"/>
      <c r="H6" s="562"/>
      <c r="I6" s="400">
        <v>13.7</v>
      </c>
      <c r="J6" s="400">
        <v>17.100000000000001</v>
      </c>
    </row>
    <row r="7" spans="2:11" ht="21" customHeight="1" x14ac:dyDescent="0.3">
      <c r="B7" s="401" t="s">
        <v>907</v>
      </c>
      <c r="C7" s="558" t="s">
        <v>932</v>
      </c>
      <c r="D7" s="558"/>
      <c r="E7" s="558"/>
      <c r="F7" s="558"/>
      <c r="G7" s="558"/>
      <c r="H7" s="558"/>
      <c r="I7" s="400">
        <v>7.8</v>
      </c>
      <c r="J7" s="400">
        <v>10.5</v>
      </c>
    </row>
    <row r="8" spans="2:11" ht="21" customHeight="1" x14ac:dyDescent="0.3">
      <c r="B8" s="401" t="s">
        <v>908</v>
      </c>
      <c r="C8" s="558" t="s">
        <v>933</v>
      </c>
      <c r="D8" s="558"/>
      <c r="E8" s="558"/>
      <c r="F8" s="558"/>
      <c r="G8" s="558"/>
      <c r="H8" s="558"/>
      <c r="I8" s="400">
        <v>3.9</v>
      </c>
      <c r="J8" s="400">
        <v>5.2</v>
      </c>
    </row>
    <row r="9" spans="2:11" ht="21" customHeight="1" x14ac:dyDescent="0.3">
      <c r="B9" s="401" t="s">
        <v>909</v>
      </c>
      <c r="C9" s="558" t="s">
        <v>934</v>
      </c>
      <c r="D9" s="558"/>
      <c r="E9" s="558"/>
      <c r="F9" s="558"/>
      <c r="G9" s="558"/>
      <c r="H9" s="558"/>
      <c r="I9" s="400">
        <v>2.2999999999999998</v>
      </c>
      <c r="J9" s="400">
        <v>3.7</v>
      </c>
    </row>
    <row r="10" spans="2:11" ht="21" customHeight="1" x14ac:dyDescent="0.3">
      <c r="B10" s="401" t="s">
        <v>910</v>
      </c>
      <c r="C10" s="558" t="s">
        <v>935</v>
      </c>
      <c r="D10" s="558"/>
      <c r="E10" s="558"/>
      <c r="F10" s="558"/>
      <c r="G10" s="558"/>
      <c r="H10" s="558"/>
      <c r="I10" s="400">
        <v>0.1</v>
      </c>
      <c r="J10" s="400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L80"/>
  <sheetViews>
    <sheetView workbookViewId="0"/>
  </sheetViews>
  <sheetFormatPr baseColWidth="10" defaultRowHeight="14.4" x14ac:dyDescent="0.3"/>
  <cols>
    <col min="2" max="2" width="21.5546875" customWidth="1"/>
    <col min="3" max="3" width="26.21875" customWidth="1"/>
    <col min="4" max="4" width="31.109375" customWidth="1"/>
    <col min="5" max="5" width="32" customWidth="1"/>
    <col min="8" max="8" width="13.109375" customWidth="1"/>
    <col min="9" max="9" width="14.5546875" customWidth="1"/>
  </cols>
  <sheetData>
    <row r="1" spans="1:12" ht="18" x14ac:dyDescent="0.3">
      <c r="A1" s="229" t="s">
        <v>899</v>
      </c>
    </row>
    <row r="2" spans="1:12" ht="18" x14ac:dyDescent="0.3">
      <c r="A2" s="304" t="s">
        <v>925</v>
      </c>
    </row>
    <row r="3" spans="1:12" x14ac:dyDescent="0.3">
      <c r="A3" s="231" t="s">
        <v>900</v>
      </c>
      <c r="J3" s="416"/>
      <c r="K3" s="415"/>
    </row>
    <row r="4" spans="1:12" ht="18" x14ac:dyDescent="0.35">
      <c r="H4" s="476"/>
      <c r="K4" s="476"/>
    </row>
    <row r="5" spans="1:12" ht="18.600000000000001" thickBot="1" x14ac:dyDescent="0.4">
      <c r="A5" s="405" t="s">
        <v>849</v>
      </c>
      <c r="B5" s="406" t="s">
        <v>926</v>
      </c>
      <c r="C5" s="406" t="s">
        <v>927</v>
      </c>
      <c r="D5" s="406" t="s">
        <v>928</v>
      </c>
      <c r="E5" s="406" t="s">
        <v>929</v>
      </c>
      <c r="H5" s="476"/>
      <c r="J5" s="476"/>
      <c r="K5" s="476"/>
    </row>
    <row r="6" spans="1:12" ht="18" x14ac:dyDescent="0.35">
      <c r="A6" s="404">
        <v>2004</v>
      </c>
      <c r="B6" s="522">
        <f>+H60</f>
        <v>58.698976146370143</v>
      </c>
      <c r="C6" s="523">
        <f>+G60</f>
        <v>16.437531178624411</v>
      </c>
      <c r="D6" s="520">
        <f>+H34</f>
        <v>58.888671392946989</v>
      </c>
      <c r="E6" s="521">
        <f>+G34</f>
        <v>19.66580622747907</v>
      </c>
      <c r="H6" s="476"/>
      <c r="J6" s="476"/>
      <c r="K6" s="476"/>
    </row>
    <row r="7" spans="1:12" ht="18" x14ac:dyDescent="0.35">
      <c r="A7" s="404">
        <v>2005</v>
      </c>
      <c r="B7" s="522">
        <f t="shared" ref="B7:B25" si="0">+H61</f>
        <v>55.584646710757809</v>
      </c>
      <c r="C7" s="523">
        <f t="shared" ref="C7:C25" si="1">+G61</f>
        <v>15.833918848963096</v>
      </c>
      <c r="D7" s="520">
        <f>+H35</f>
        <v>49.152723729699424</v>
      </c>
      <c r="E7" s="521">
        <f t="shared" ref="E7:E25" si="2">+G35</f>
        <v>14.550285903572814</v>
      </c>
      <c r="H7" s="476"/>
      <c r="J7" s="476"/>
      <c r="K7" s="476"/>
    </row>
    <row r="8" spans="1:12" ht="18" x14ac:dyDescent="0.35">
      <c r="A8" s="404">
        <v>2006</v>
      </c>
      <c r="B8" s="522">
        <f t="shared" si="0"/>
        <v>49.14938110574154</v>
      </c>
      <c r="C8" s="523">
        <f t="shared" si="1"/>
        <v>13.763383739270632</v>
      </c>
      <c r="D8" s="520">
        <f>+H36</f>
        <v>49.684836536338835</v>
      </c>
      <c r="E8" s="521">
        <f t="shared" si="2"/>
        <v>13.930988064672537</v>
      </c>
      <c r="H8" s="476"/>
      <c r="J8" s="476"/>
      <c r="K8" s="476"/>
    </row>
    <row r="9" spans="1:12" ht="18" x14ac:dyDescent="0.35">
      <c r="A9" s="404">
        <v>2007</v>
      </c>
      <c r="B9" s="522">
        <f t="shared" si="0"/>
        <v>42.433249252333511</v>
      </c>
      <c r="C9" s="523">
        <f t="shared" si="1"/>
        <v>11.248820745805451</v>
      </c>
      <c r="D9" s="520">
        <f>+H37</f>
        <v>39.052222923290429</v>
      </c>
      <c r="E9" s="521">
        <f t="shared" si="2"/>
        <v>9.9556581114099725</v>
      </c>
    </row>
    <row r="10" spans="1:12" ht="18" x14ac:dyDescent="0.35">
      <c r="A10" s="404">
        <v>2008</v>
      </c>
      <c r="B10" s="522">
        <f t="shared" si="0"/>
        <v>37.305991609463653</v>
      </c>
      <c r="C10" s="523">
        <f t="shared" si="1"/>
        <v>10.850738749504877</v>
      </c>
      <c r="D10" s="520">
        <f t="shared" ref="D10:D25" si="3">+H38</f>
        <v>38.586058393561004</v>
      </c>
      <c r="E10" s="521">
        <f t="shared" si="2"/>
        <v>13.492516865508932</v>
      </c>
    </row>
    <row r="11" spans="1:12" ht="18" x14ac:dyDescent="0.35">
      <c r="A11" s="404">
        <v>2009</v>
      </c>
      <c r="B11" s="522">
        <f t="shared" si="0"/>
        <v>33.497257236038706</v>
      </c>
      <c r="C11" s="523">
        <f t="shared" si="1"/>
        <v>9.5049338942934671</v>
      </c>
      <c r="D11" s="520">
        <f t="shared" si="3"/>
        <v>35.158676013994906</v>
      </c>
      <c r="E11" s="521">
        <f t="shared" si="2"/>
        <v>10.919167417955892</v>
      </c>
      <c r="L11" s="403"/>
    </row>
    <row r="12" spans="1:12" ht="18" x14ac:dyDescent="0.35">
      <c r="A12" s="404">
        <v>2010</v>
      </c>
      <c r="B12" s="522">
        <f t="shared" si="0"/>
        <v>30.773238375855207</v>
      </c>
      <c r="C12" s="523">
        <f t="shared" si="1"/>
        <v>7.6319522168128024</v>
      </c>
      <c r="D12" s="520">
        <f t="shared" si="3"/>
        <v>31.421462204705712</v>
      </c>
      <c r="E12" s="521">
        <f t="shared" si="2"/>
        <v>9.7145203174804617</v>
      </c>
    </row>
    <row r="13" spans="1:12" ht="18" x14ac:dyDescent="0.35">
      <c r="A13" s="404">
        <v>2011</v>
      </c>
      <c r="B13" s="522">
        <f t="shared" si="0"/>
        <v>27.824289394452624</v>
      </c>
      <c r="C13" s="523">
        <f t="shared" si="1"/>
        <v>6.3422835232463965</v>
      </c>
      <c r="D13" s="520">
        <f t="shared" si="3"/>
        <v>29.369508103888737</v>
      </c>
      <c r="E13" s="521">
        <f t="shared" si="2"/>
        <v>8.2098441776883853</v>
      </c>
    </row>
    <row r="14" spans="1:12" ht="18" x14ac:dyDescent="0.35">
      <c r="A14" s="404">
        <v>2012</v>
      </c>
      <c r="B14" s="522">
        <f t="shared" si="0"/>
        <v>25.810782447480733</v>
      </c>
      <c r="C14" s="523">
        <f t="shared" si="1"/>
        <v>6.0085083967635722</v>
      </c>
      <c r="D14" s="520">
        <f t="shared" si="3"/>
        <v>30.632667445922465</v>
      </c>
      <c r="E14" s="521">
        <f t="shared" si="2"/>
        <v>8.4145805327891612</v>
      </c>
    </row>
    <row r="15" spans="1:12" ht="18" x14ac:dyDescent="0.35">
      <c r="A15" s="404">
        <v>2013</v>
      </c>
      <c r="B15" s="522">
        <f t="shared" si="0"/>
        <v>23.911744656437936</v>
      </c>
      <c r="C15" s="523">
        <f t="shared" si="1"/>
        <v>4.7282388366421664</v>
      </c>
      <c r="D15" s="520">
        <f t="shared" si="3"/>
        <v>29.456005664685286</v>
      </c>
      <c r="E15" s="521">
        <f t="shared" si="2"/>
        <v>7.4957035110124703</v>
      </c>
    </row>
    <row r="16" spans="1:12" ht="18" x14ac:dyDescent="0.35">
      <c r="A16" s="404">
        <v>2014</v>
      </c>
      <c r="B16" s="522">
        <f t="shared" si="0"/>
        <v>22.727381414496353</v>
      </c>
      <c r="C16" s="523">
        <f t="shared" si="1"/>
        <v>4.2830203282156836</v>
      </c>
      <c r="D16" s="520">
        <f t="shared" si="3"/>
        <v>27.422392365577302</v>
      </c>
      <c r="E16" s="521">
        <f t="shared" si="2"/>
        <v>5.4644378214137079</v>
      </c>
      <c r="K16" s="403"/>
    </row>
    <row r="17" spans="1:11" ht="18" x14ac:dyDescent="0.35">
      <c r="A17" s="404">
        <v>2015</v>
      </c>
      <c r="B17" s="522">
        <f t="shared" si="0"/>
        <v>21.771648098539149</v>
      </c>
      <c r="C17" s="523">
        <f t="shared" si="1"/>
        <v>4.0651866028153085</v>
      </c>
      <c r="D17" s="520">
        <f t="shared" si="3"/>
        <v>25.860357188646585</v>
      </c>
      <c r="E17" s="521">
        <f t="shared" si="2"/>
        <v>6.3056648540833855</v>
      </c>
      <c r="J17" s="403"/>
    </row>
    <row r="18" spans="1:11" ht="18" x14ac:dyDescent="0.35">
      <c r="A18" s="404">
        <v>2016</v>
      </c>
      <c r="B18" s="522">
        <f t="shared" si="0"/>
        <v>20.74238251204638</v>
      </c>
      <c r="C18" s="523">
        <f t="shared" si="1"/>
        <v>3.7663260293903642</v>
      </c>
      <c r="D18" s="520">
        <f t="shared" si="3"/>
        <v>24.468292255118257</v>
      </c>
      <c r="E18" s="521">
        <f t="shared" si="2"/>
        <v>4.4435021042281022</v>
      </c>
      <c r="J18" s="403"/>
    </row>
    <row r="19" spans="1:11" ht="18" x14ac:dyDescent="0.35">
      <c r="A19" s="404">
        <v>2017</v>
      </c>
      <c r="B19" s="522">
        <f t="shared" si="0"/>
        <v>21.699987082398575</v>
      </c>
      <c r="C19" s="523">
        <f t="shared" si="1"/>
        <v>3.7862812371881716</v>
      </c>
      <c r="D19" s="520">
        <f t="shared" si="3"/>
        <v>23.483814761833003</v>
      </c>
      <c r="E19" s="521">
        <f t="shared" si="2"/>
        <v>4.3425362593290755</v>
      </c>
      <c r="J19" s="403"/>
    </row>
    <row r="20" spans="1:11" ht="18" x14ac:dyDescent="0.35">
      <c r="A20" s="404">
        <v>2018</v>
      </c>
      <c r="B20" s="522">
        <f t="shared" si="0"/>
        <v>20.487972611900435</v>
      </c>
      <c r="C20" s="523">
        <f t="shared" si="1"/>
        <v>2.8057005764381366</v>
      </c>
      <c r="D20" s="520">
        <f t="shared" si="3"/>
        <v>20.830604464164715</v>
      </c>
      <c r="E20" s="521">
        <f t="shared" si="2"/>
        <v>3.2352450745834633</v>
      </c>
      <c r="J20" s="403"/>
    </row>
    <row r="21" spans="1:11" ht="18" x14ac:dyDescent="0.35">
      <c r="A21" s="404">
        <v>2019</v>
      </c>
      <c r="B21" s="522">
        <f t="shared" si="0"/>
        <v>20.193379911551794</v>
      </c>
      <c r="C21" s="523">
        <f t="shared" si="1"/>
        <v>2.8548849342035907</v>
      </c>
      <c r="D21" s="520">
        <f t="shared" si="3"/>
        <v>24.729512094054709</v>
      </c>
      <c r="E21" s="521">
        <f t="shared" si="2"/>
        <v>6.2632455575121702</v>
      </c>
    </row>
    <row r="22" spans="1:11" ht="18" x14ac:dyDescent="0.35">
      <c r="A22" s="404">
        <v>2020</v>
      </c>
      <c r="B22" s="522">
        <f t="shared" si="0"/>
        <v>30.133153087924537</v>
      </c>
      <c r="C22" s="523">
        <f t="shared" si="1"/>
        <v>5.1475680190956368</v>
      </c>
      <c r="D22" s="520">
        <f t="shared" si="3"/>
        <v>31.929651502259276</v>
      </c>
      <c r="E22" s="521">
        <f t="shared" si="2"/>
        <v>6.1790078340642554</v>
      </c>
      <c r="J22" s="403"/>
      <c r="K22" s="415"/>
    </row>
    <row r="23" spans="1:11" ht="18" x14ac:dyDescent="0.35">
      <c r="A23" s="404">
        <v>2021</v>
      </c>
      <c r="B23" s="522">
        <f t="shared" si="0"/>
        <v>25.873046524726131</v>
      </c>
      <c r="C23" s="523">
        <f t="shared" si="1"/>
        <v>4.1230525367115654</v>
      </c>
      <c r="D23" s="520">
        <f t="shared" si="3"/>
        <v>26.763162920657628</v>
      </c>
      <c r="E23" s="521">
        <f t="shared" si="2"/>
        <v>5.8192720266070284</v>
      </c>
      <c r="J23" s="403"/>
    </row>
    <row r="24" spans="1:11" ht="18" x14ac:dyDescent="0.35">
      <c r="A24" s="404">
        <v>2022</v>
      </c>
      <c r="B24" s="522">
        <f t="shared" si="0"/>
        <v>27.52410157336405</v>
      </c>
      <c r="C24" s="523">
        <f t="shared" si="1"/>
        <v>5.0094752504789906</v>
      </c>
      <c r="D24" s="520">
        <f t="shared" si="3"/>
        <v>28.414148782991894</v>
      </c>
      <c r="E24" s="521">
        <f t="shared" si="2"/>
        <v>4.3763711307984767</v>
      </c>
      <c r="J24" s="403"/>
    </row>
    <row r="25" spans="1:11" ht="18" x14ac:dyDescent="0.35">
      <c r="A25" s="404">
        <v>2023</v>
      </c>
      <c r="B25" s="522">
        <f t="shared" si="0"/>
        <v>29.045927747121812</v>
      </c>
      <c r="C25" s="523">
        <f t="shared" si="1"/>
        <v>5.7472999995215668</v>
      </c>
      <c r="D25" s="520">
        <f t="shared" si="3"/>
        <v>31.606651446256862</v>
      </c>
      <c r="E25" s="521">
        <f t="shared" si="2"/>
        <v>6.9678318423750785</v>
      </c>
      <c r="J25" s="403"/>
    </row>
    <row r="31" spans="1:11" x14ac:dyDescent="0.3">
      <c r="A31" s="564" t="s">
        <v>1071</v>
      </c>
      <c r="B31" s="564"/>
      <c r="C31" s="564"/>
      <c r="D31" s="564"/>
      <c r="E31" s="564"/>
      <c r="F31" s="564"/>
      <c r="G31" s="564"/>
      <c r="H31" s="564"/>
    </row>
    <row r="32" spans="1:11" x14ac:dyDescent="0.3">
      <c r="A32" s="564"/>
      <c r="B32" s="564"/>
      <c r="C32" s="564"/>
      <c r="D32" s="564"/>
      <c r="E32" s="564"/>
      <c r="F32" s="564"/>
      <c r="G32" s="564"/>
      <c r="H32" s="564"/>
    </row>
    <row r="33" spans="1:8" ht="15" thickBot="1" x14ac:dyDescent="0.35">
      <c r="A33" s="339" t="s">
        <v>1035</v>
      </c>
      <c r="B33" s="339" t="s">
        <v>1041</v>
      </c>
      <c r="C33" s="339" t="s">
        <v>1042</v>
      </c>
      <c r="D33" s="339" t="s">
        <v>1043</v>
      </c>
      <c r="E33" s="339" t="s">
        <v>123</v>
      </c>
      <c r="F33" s="340" t="s">
        <v>1044</v>
      </c>
      <c r="G33" s="339" t="s">
        <v>1045</v>
      </c>
      <c r="H33" s="339" t="s">
        <v>1046</v>
      </c>
    </row>
    <row r="34" spans="1:8" x14ac:dyDescent="0.3">
      <c r="A34">
        <v>2004</v>
      </c>
      <c r="B34" s="416">
        <v>320646.53000000003</v>
      </c>
      <c r="C34" s="416">
        <v>639519.96</v>
      </c>
      <c r="D34" s="416">
        <v>670310.93000000005</v>
      </c>
      <c r="E34" s="416">
        <f t="shared" ref="E34:E36" si="4">+SUM(B34:D34)</f>
        <v>1630477.42</v>
      </c>
      <c r="F34" s="500">
        <f t="shared" ref="F34:F36" si="5">+C34/E34 *100</f>
        <v>39.222865165467915</v>
      </c>
      <c r="G34" s="362">
        <f t="shared" ref="G34:G36" si="6">+B34/E34 *100</f>
        <v>19.66580622747907</v>
      </c>
      <c r="H34" s="403">
        <f t="shared" ref="H34:H36" si="7">+SUM(F34:G34)</f>
        <v>58.888671392946989</v>
      </c>
    </row>
    <row r="35" spans="1:8" x14ac:dyDescent="0.3">
      <c r="A35">
        <v>2005</v>
      </c>
      <c r="B35" s="416">
        <v>237753.23</v>
      </c>
      <c r="C35" s="416">
        <v>565407.54</v>
      </c>
      <c r="D35" s="416">
        <v>830849.94</v>
      </c>
      <c r="E35" s="416">
        <f t="shared" si="4"/>
        <v>1634010.71</v>
      </c>
      <c r="F35" s="500">
        <f t="shared" si="5"/>
        <v>34.602437826126611</v>
      </c>
      <c r="G35" s="362">
        <f t="shared" si="6"/>
        <v>14.550285903572814</v>
      </c>
      <c r="H35" s="403">
        <f t="shared" si="7"/>
        <v>49.152723729699424</v>
      </c>
    </row>
    <row r="36" spans="1:8" x14ac:dyDescent="0.3">
      <c r="A36">
        <v>2006</v>
      </c>
      <c r="B36" s="416">
        <v>230280.91</v>
      </c>
      <c r="C36" s="416">
        <v>591015.42000000004</v>
      </c>
      <c r="D36" s="416">
        <v>831715.71</v>
      </c>
      <c r="E36" s="416">
        <f t="shared" si="4"/>
        <v>1653012.04</v>
      </c>
      <c r="F36" s="500">
        <f t="shared" si="5"/>
        <v>35.753848471666302</v>
      </c>
      <c r="G36" s="362">
        <f t="shared" si="6"/>
        <v>13.930988064672537</v>
      </c>
      <c r="H36" s="403">
        <f t="shared" si="7"/>
        <v>49.684836536338835</v>
      </c>
    </row>
    <row r="37" spans="1:8" x14ac:dyDescent="0.3">
      <c r="A37">
        <v>2007</v>
      </c>
      <c r="B37" s="416">
        <v>167075.95000000001</v>
      </c>
      <c r="C37" s="416">
        <v>488298.83</v>
      </c>
      <c r="D37" s="416">
        <v>1022826.18</v>
      </c>
      <c r="E37" s="416">
        <f>+SUM(B37:D37)</f>
        <v>1678200.96</v>
      </c>
      <c r="F37" s="500">
        <f>+C37/E37 *100</f>
        <v>29.096564811880459</v>
      </c>
      <c r="G37" s="362">
        <f>+B37/E37 *100</f>
        <v>9.9556581114099725</v>
      </c>
      <c r="H37" s="403">
        <f>+SUM(F37:G37)</f>
        <v>39.052222923290429</v>
      </c>
    </row>
    <row r="38" spans="1:8" x14ac:dyDescent="0.3">
      <c r="A38">
        <v>2008</v>
      </c>
      <c r="B38" s="416">
        <v>229961.87</v>
      </c>
      <c r="C38" s="416">
        <v>427685.79</v>
      </c>
      <c r="D38" s="416">
        <v>1046718.34</v>
      </c>
      <c r="E38" s="416">
        <f t="shared" ref="E38:E54" si="8">+SUM(B38:D38)</f>
        <v>1704366</v>
      </c>
      <c r="F38" s="500">
        <f t="shared" ref="F38:F54" si="9">+C38/E38 *100</f>
        <v>25.093541528052071</v>
      </c>
      <c r="G38" s="362">
        <f t="shared" ref="G38:G54" si="10">+B38/E38 *100</f>
        <v>13.492516865508932</v>
      </c>
      <c r="H38" s="403">
        <f t="shared" ref="H38:H54" si="11">+SUM(F38:G38)</f>
        <v>38.586058393561004</v>
      </c>
    </row>
    <row r="39" spans="1:8" x14ac:dyDescent="0.3">
      <c r="A39">
        <v>2009</v>
      </c>
      <c r="B39" s="416">
        <v>188548.37</v>
      </c>
      <c r="C39" s="416">
        <v>418559.37</v>
      </c>
      <c r="D39" s="416">
        <v>1119657.3400000001</v>
      </c>
      <c r="E39" s="416">
        <f t="shared" si="8"/>
        <v>1726765.08</v>
      </c>
      <c r="F39" s="500">
        <f t="shared" si="9"/>
        <v>24.239508596039013</v>
      </c>
      <c r="G39" s="362">
        <f t="shared" si="10"/>
        <v>10.919167417955892</v>
      </c>
      <c r="H39" s="403">
        <f t="shared" si="11"/>
        <v>35.158676013994906</v>
      </c>
    </row>
    <row r="40" spans="1:8" x14ac:dyDescent="0.3">
      <c r="A40">
        <v>2010</v>
      </c>
      <c r="B40" s="416">
        <v>169863.96</v>
      </c>
      <c r="C40" s="416">
        <v>379558.33</v>
      </c>
      <c r="D40" s="416">
        <v>1199135.07</v>
      </c>
      <c r="E40" s="416">
        <f t="shared" si="8"/>
        <v>1748557.36</v>
      </c>
      <c r="F40" s="500">
        <f t="shared" si="9"/>
        <v>21.706941887225248</v>
      </c>
      <c r="G40" s="362">
        <f t="shared" si="10"/>
        <v>9.7145203174804617</v>
      </c>
      <c r="H40" s="403">
        <f t="shared" si="11"/>
        <v>31.421462204705712</v>
      </c>
    </row>
    <row r="41" spans="1:8" x14ac:dyDescent="0.3">
      <c r="A41">
        <v>2011</v>
      </c>
      <c r="B41" s="416">
        <v>145364.51</v>
      </c>
      <c r="C41" s="416">
        <v>374655.61</v>
      </c>
      <c r="D41" s="416">
        <v>1250592.17</v>
      </c>
      <c r="E41" s="416">
        <f t="shared" si="8"/>
        <v>1770612.29</v>
      </c>
      <c r="F41" s="500">
        <f t="shared" si="9"/>
        <v>21.159663926200352</v>
      </c>
      <c r="G41" s="362">
        <f t="shared" si="10"/>
        <v>8.2098441776883853</v>
      </c>
      <c r="H41" s="403">
        <f t="shared" si="11"/>
        <v>29.369508103888737</v>
      </c>
    </row>
    <row r="42" spans="1:8" x14ac:dyDescent="0.3">
      <c r="A42">
        <v>2012</v>
      </c>
      <c r="B42" s="416">
        <v>151654.60999999999</v>
      </c>
      <c r="C42" s="416">
        <v>400432.95</v>
      </c>
      <c r="D42" s="416">
        <v>1250196.1000000001</v>
      </c>
      <c r="E42" s="416">
        <f t="shared" si="8"/>
        <v>1802283.6600000001</v>
      </c>
      <c r="F42" s="500">
        <f t="shared" si="9"/>
        <v>22.218086913133305</v>
      </c>
      <c r="G42" s="362">
        <f t="shared" si="10"/>
        <v>8.4145805327891612</v>
      </c>
      <c r="H42" s="403">
        <f t="shared" si="11"/>
        <v>30.632667445922465</v>
      </c>
    </row>
    <row r="43" spans="1:8" x14ac:dyDescent="0.3">
      <c r="A43">
        <v>2013</v>
      </c>
      <c r="B43" s="416">
        <v>137836.51</v>
      </c>
      <c r="C43" s="416">
        <v>403822.19</v>
      </c>
      <c r="D43" s="416">
        <v>1297214.8600000001</v>
      </c>
      <c r="E43" s="416">
        <f t="shared" si="8"/>
        <v>1838873.56</v>
      </c>
      <c r="F43" s="500">
        <f t="shared" si="9"/>
        <v>21.960302153672817</v>
      </c>
      <c r="G43" s="362">
        <f t="shared" si="10"/>
        <v>7.4957035110124703</v>
      </c>
      <c r="H43" s="403">
        <f t="shared" si="11"/>
        <v>29.456005664685286</v>
      </c>
    </row>
    <row r="44" spans="1:8" x14ac:dyDescent="0.3">
      <c r="A44">
        <v>2014</v>
      </c>
      <c r="B44" s="416">
        <v>101011.92</v>
      </c>
      <c r="C44" s="416">
        <v>405899.97</v>
      </c>
      <c r="D44" s="416">
        <v>1341620.81</v>
      </c>
      <c r="E44" s="416">
        <f t="shared" si="8"/>
        <v>1848532.7</v>
      </c>
      <c r="F44" s="500">
        <f t="shared" si="9"/>
        <v>21.957954544163595</v>
      </c>
      <c r="G44" s="362">
        <f t="shared" si="10"/>
        <v>5.4644378214137079</v>
      </c>
      <c r="H44" s="403">
        <f t="shared" si="11"/>
        <v>27.422392365577302</v>
      </c>
    </row>
    <row r="45" spans="1:8" x14ac:dyDescent="0.3">
      <c r="A45">
        <v>2015</v>
      </c>
      <c r="B45" s="416">
        <v>118578.16</v>
      </c>
      <c r="C45" s="416">
        <v>367726.4</v>
      </c>
      <c r="D45" s="416">
        <v>1394197.54</v>
      </c>
      <c r="E45" s="416">
        <f t="shared" si="8"/>
        <v>1880502.1</v>
      </c>
      <c r="F45" s="500">
        <f t="shared" si="9"/>
        <v>19.5546923345632</v>
      </c>
      <c r="G45" s="362">
        <f t="shared" si="10"/>
        <v>6.3056648540833855</v>
      </c>
      <c r="H45" s="403">
        <f t="shared" si="11"/>
        <v>25.860357188646585</v>
      </c>
    </row>
    <row r="46" spans="1:8" x14ac:dyDescent="0.3">
      <c r="A46">
        <v>2016</v>
      </c>
      <c r="B46" s="416">
        <v>84714.61</v>
      </c>
      <c r="C46" s="416">
        <v>381769.21</v>
      </c>
      <c r="D46" s="416">
        <v>1439999.13</v>
      </c>
      <c r="E46" s="416">
        <f t="shared" si="8"/>
        <v>1906482.95</v>
      </c>
      <c r="F46" s="500">
        <f t="shared" si="9"/>
        <v>20.024790150890155</v>
      </c>
      <c r="G46" s="362">
        <f t="shared" si="10"/>
        <v>4.4435021042281022</v>
      </c>
      <c r="H46" s="403">
        <f t="shared" si="11"/>
        <v>24.468292255118257</v>
      </c>
    </row>
    <row r="47" spans="1:8" x14ac:dyDescent="0.3">
      <c r="A47">
        <v>2017</v>
      </c>
      <c r="B47" s="416">
        <v>83620.55</v>
      </c>
      <c r="C47" s="416">
        <v>368587.42</v>
      </c>
      <c r="D47" s="416">
        <v>1473407.5</v>
      </c>
      <c r="E47" s="416">
        <f t="shared" si="8"/>
        <v>1925615.47</v>
      </c>
      <c r="F47" s="500">
        <f t="shared" si="9"/>
        <v>19.141278502503926</v>
      </c>
      <c r="G47" s="362">
        <f t="shared" si="10"/>
        <v>4.3425362593290755</v>
      </c>
      <c r="H47" s="403">
        <f t="shared" si="11"/>
        <v>23.483814761833003</v>
      </c>
    </row>
    <row r="48" spans="1:8" x14ac:dyDescent="0.3">
      <c r="A48">
        <v>2018</v>
      </c>
      <c r="B48" s="416">
        <v>62735.03</v>
      </c>
      <c r="C48" s="416">
        <v>341193.75</v>
      </c>
      <c r="D48" s="416">
        <v>1535183.36</v>
      </c>
      <c r="E48" s="416">
        <f t="shared" si="8"/>
        <v>1939112.1400000001</v>
      </c>
      <c r="F48" s="500">
        <f t="shared" si="9"/>
        <v>17.595359389581251</v>
      </c>
      <c r="G48" s="362">
        <f t="shared" si="10"/>
        <v>3.2352450745834633</v>
      </c>
      <c r="H48" s="403">
        <f t="shared" si="11"/>
        <v>20.830604464164715</v>
      </c>
    </row>
    <row r="49" spans="1:8" x14ac:dyDescent="0.3">
      <c r="A49">
        <v>2019</v>
      </c>
      <c r="B49" s="416">
        <v>123175.82</v>
      </c>
      <c r="C49" s="416">
        <v>363165.95</v>
      </c>
      <c r="D49" s="416">
        <v>1480303.46</v>
      </c>
      <c r="E49" s="416">
        <f t="shared" si="8"/>
        <v>1966645.23</v>
      </c>
      <c r="F49" s="500">
        <f t="shared" si="9"/>
        <v>18.466266536542538</v>
      </c>
      <c r="G49" s="362">
        <f t="shared" si="10"/>
        <v>6.2632455575121702</v>
      </c>
      <c r="H49" s="403">
        <f t="shared" si="11"/>
        <v>24.729512094054709</v>
      </c>
    </row>
    <row r="50" spans="1:8" x14ac:dyDescent="0.3">
      <c r="A50">
        <v>2020</v>
      </c>
      <c r="B50" s="416">
        <v>123079.4</v>
      </c>
      <c r="C50" s="416">
        <v>512926</v>
      </c>
      <c r="D50" s="416">
        <v>1355890.44</v>
      </c>
      <c r="E50" s="416">
        <f t="shared" si="8"/>
        <v>1991895.8399999999</v>
      </c>
      <c r="F50" s="500">
        <f t="shared" si="9"/>
        <v>25.750643668195021</v>
      </c>
      <c r="G50" s="362">
        <f t="shared" si="10"/>
        <v>6.1790078340642554</v>
      </c>
      <c r="H50" s="403">
        <f t="shared" si="11"/>
        <v>31.929651502259276</v>
      </c>
    </row>
    <row r="51" spans="1:8" x14ac:dyDescent="0.3">
      <c r="A51">
        <v>2021</v>
      </c>
      <c r="B51" s="416">
        <v>116482.95</v>
      </c>
      <c r="C51" s="416">
        <v>419228.76</v>
      </c>
      <c r="D51" s="416">
        <v>1465963.92</v>
      </c>
      <c r="E51" s="416">
        <f t="shared" si="8"/>
        <v>2001675.63</v>
      </c>
      <c r="F51" s="500">
        <f t="shared" si="9"/>
        <v>20.9438908940506</v>
      </c>
      <c r="G51" s="362">
        <f t="shared" si="10"/>
        <v>5.8192720266070284</v>
      </c>
      <c r="H51" s="403">
        <f t="shared" si="11"/>
        <v>26.763162920657628</v>
      </c>
    </row>
    <row r="52" spans="1:8" x14ac:dyDescent="0.3">
      <c r="A52">
        <v>2022</v>
      </c>
      <c r="B52" s="416">
        <v>88847.06</v>
      </c>
      <c r="C52" s="416">
        <v>488003.83</v>
      </c>
      <c r="D52" s="416">
        <v>1453302.8</v>
      </c>
      <c r="E52" s="416">
        <f t="shared" si="8"/>
        <v>2030153.69</v>
      </c>
      <c r="F52" s="500">
        <f t="shared" si="9"/>
        <v>24.037777652193419</v>
      </c>
      <c r="G52" s="362">
        <f t="shared" si="10"/>
        <v>4.3763711307984767</v>
      </c>
      <c r="H52" s="403">
        <f t="shared" si="11"/>
        <v>28.414148782991894</v>
      </c>
    </row>
    <row r="53" spans="1:8" x14ac:dyDescent="0.3">
      <c r="A53">
        <v>2023</v>
      </c>
      <c r="B53" s="416">
        <v>144391.99</v>
      </c>
      <c r="C53" s="416">
        <v>510581.81</v>
      </c>
      <c r="D53" s="416">
        <v>1417291.91</v>
      </c>
      <c r="E53" s="416">
        <f t="shared" si="8"/>
        <v>2072265.71</v>
      </c>
      <c r="F53" s="500">
        <f t="shared" si="9"/>
        <v>24.638819603881782</v>
      </c>
      <c r="G53" s="362">
        <f t="shared" si="10"/>
        <v>6.9678318423750785</v>
      </c>
      <c r="H53" s="403">
        <f t="shared" si="11"/>
        <v>31.606651446256862</v>
      </c>
    </row>
    <row r="54" spans="1:8" x14ac:dyDescent="0.3">
      <c r="A54">
        <v>2024</v>
      </c>
      <c r="B54" s="416">
        <v>136577.88</v>
      </c>
      <c r="C54" s="416">
        <v>491618.7</v>
      </c>
      <c r="D54" s="416">
        <v>1452592.08</v>
      </c>
      <c r="E54" s="416">
        <f t="shared" si="8"/>
        <v>2080788.6600000001</v>
      </c>
      <c r="F54" s="500">
        <f t="shared" si="9"/>
        <v>23.62655609628322</v>
      </c>
      <c r="G54" s="362">
        <f t="shared" si="10"/>
        <v>6.5637554945152372</v>
      </c>
      <c r="H54" s="403">
        <f t="shared" si="11"/>
        <v>30.190311590798458</v>
      </c>
    </row>
    <row r="57" spans="1:8" x14ac:dyDescent="0.3">
      <c r="A57" s="564" t="s">
        <v>1072</v>
      </c>
      <c r="B57" s="564"/>
      <c r="C57" s="564"/>
      <c r="D57" s="564"/>
      <c r="E57" s="564"/>
      <c r="F57" s="564"/>
      <c r="G57" s="564"/>
      <c r="H57" s="564"/>
    </row>
    <row r="58" spans="1:8" x14ac:dyDescent="0.3">
      <c r="A58" s="564"/>
      <c r="B58" s="564"/>
      <c r="C58" s="564"/>
      <c r="D58" s="564"/>
      <c r="E58" s="564"/>
      <c r="F58" s="564"/>
      <c r="G58" s="564"/>
      <c r="H58" s="564"/>
    </row>
    <row r="59" spans="1:8" ht="15" thickBot="1" x14ac:dyDescent="0.35">
      <c r="A59" s="339" t="s">
        <v>1035</v>
      </c>
      <c r="B59" s="339" t="s">
        <v>1041</v>
      </c>
      <c r="C59" s="339" t="s">
        <v>1042</v>
      </c>
      <c r="D59" s="339" t="s">
        <v>1043</v>
      </c>
      <c r="E59" s="339" t="s">
        <v>123</v>
      </c>
      <c r="F59" s="340" t="s">
        <v>1044</v>
      </c>
      <c r="G59" s="339" t="s">
        <v>1045</v>
      </c>
      <c r="H59" s="339" t="s">
        <v>1046</v>
      </c>
    </row>
    <row r="60" spans="1:8" x14ac:dyDescent="0.3">
      <c r="A60">
        <v>2004</v>
      </c>
      <c r="B60" s="416">
        <v>4522715</v>
      </c>
      <c r="C60" s="416">
        <v>11628052.23</v>
      </c>
      <c r="D60" s="416">
        <v>11363796.550000001</v>
      </c>
      <c r="E60" s="416">
        <f t="shared" ref="E60:E62" si="12">+SUM(B60:D60)</f>
        <v>27514563.780000001</v>
      </c>
      <c r="F60" s="500">
        <f t="shared" ref="F60:F62" si="13">+C60/E60 *100</f>
        <v>42.261444967745732</v>
      </c>
      <c r="G60" s="362">
        <f t="shared" ref="G60:G62" si="14">+B60/E60 *100</f>
        <v>16.437531178624411</v>
      </c>
      <c r="H60" s="403">
        <f t="shared" ref="H60:H62" si="15">+SUM(F60:G60)</f>
        <v>58.698976146370143</v>
      </c>
    </row>
    <row r="61" spans="1:8" x14ac:dyDescent="0.3">
      <c r="A61">
        <v>2005</v>
      </c>
      <c r="B61" s="416">
        <v>4401067.42</v>
      </c>
      <c r="C61" s="416">
        <v>11048789.310000001</v>
      </c>
      <c r="D61" s="416">
        <v>12345330.689999999</v>
      </c>
      <c r="E61" s="416">
        <f t="shared" si="12"/>
        <v>27795187.420000002</v>
      </c>
      <c r="F61" s="500">
        <f t="shared" si="13"/>
        <v>39.750727861794715</v>
      </c>
      <c r="G61" s="362">
        <f t="shared" si="14"/>
        <v>15.833918848963096</v>
      </c>
      <c r="H61" s="403">
        <f t="shared" si="15"/>
        <v>55.584646710757809</v>
      </c>
    </row>
    <row r="62" spans="1:8" x14ac:dyDescent="0.3">
      <c r="A62">
        <v>2006</v>
      </c>
      <c r="B62" s="416">
        <v>3866325.14</v>
      </c>
      <c r="C62" s="416">
        <v>9940416.8200000003</v>
      </c>
      <c r="D62" s="416">
        <v>14284643.220000001</v>
      </c>
      <c r="E62" s="416">
        <f t="shared" si="12"/>
        <v>28091385.18</v>
      </c>
      <c r="F62" s="500">
        <f t="shared" si="13"/>
        <v>35.38599736647091</v>
      </c>
      <c r="G62" s="362">
        <f t="shared" si="14"/>
        <v>13.763383739270632</v>
      </c>
      <c r="H62" s="403">
        <f t="shared" si="15"/>
        <v>49.14938110574154</v>
      </c>
    </row>
    <row r="63" spans="1:8" x14ac:dyDescent="0.3">
      <c r="A63">
        <v>2007</v>
      </c>
      <c r="B63" s="416">
        <v>3200646.56</v>
      </c>
      <c r="C63" s="416">
        <v>8872959.7599999998</v>
      </c>
      <c r="D63" s="416">
        <v>16379567.859999999</v>
      </c>
      <c r="E63" s="416">
        <f>+SUM(B63:D63)</f>
        <v>28453174.18</v>
      </c>
      <c r="F63" s="500">
        <f>+C63/E63 *100</f>
        <v>31.184428506528057</v>
      </c>
      <c r="G63" s="362">
        <f>+B63/E63 *100</f>
        <v>11.248820745805451</v>
      </c>
      <c r="H63" s="403">
        <f>+SUM(F63:G63)</f>
        <v>42.433249252333511</v>
      </c>
    </row>
    <row r="64" spans="1:8" x14ac:dyDescent="0.3">
      <c r="A64">
        <v>2008</v>
      </c>
      <c r="B64" s="416">
        <v>3145359.03</v>
      </c>
      <c r="C64" s="416">
        <v>7668719.1900000004</v>
      </c>
      <c r="D64" s="416">
        <v>18173432.239999998</v>
      </c>
      <c r="E64" s="416">
        <f t="shared" ref="E64:E80" si="16">+SUM(B64:D64)</f>
        <v>28987510.460000001</v>
      </c>
      <c r="F64" s="500">
        <f t="shared" ref="F64:F80" si="17">+C64/E64 *100</f>
        <v>26.455252859958776</v>
      </c>
      <c r="G64" s="362">
        <f t="shared" ref="G64:G80" si="18">+B64/E64 *100</f>
        <v>10.850738749504877</v>
      </c>
      <c r="H64" s="403">
        <f t="shared" ref="H64:H80" si="19">+SUM(F64:G64)</f>
        <v>37.305991609463653</v>
      </c>
    </row>
    <row r="65" spans="1:8" x14ac:dyDescent="0.3">
      <c r="A65">
        <v>2009</v>
      </c>
      <c r="B65" s="416">
        <v>2781906.11</v>
      </c>
      <c r="C65" s="416">
        <v>7022078.3899999997</v>
      </c>
      <c r="D65" s="416">
        <v>19464037.149999999</v>
      </c>
      <c r="E65" s="416">
        <f t="shared" si="16"/>
        <v>29268021.649999999</v>
      </c>
      <c r="F65" s="500">
        <f t="shared" si="17"/>
        <v>23.992323341745241</v>
      </c>
      <c r="G65" s="362">
        <f t="shared" si="18"/>
        <v>9.5049338942934671</v>
      </c>
      <c r="H65" s="403">
        <f t="shared" si="19"/>
        <v>33.497257236038706</v>
      </c>
    </row>
    <row r="66" spans="1:8" x14ac:dyDescent="0.3">
      <c r="A66">
        <v>2010</v>
      </c>
      <c r="B66" s="416">
        <v>2260893.33</v>
      </c>
      <c r="C66" s="416">
        <v>6855386.1500000004</v>
      </c>
      <c r="D66" s="416">
        <v>20507770.379999999</v>
      </c>
      <c r="E66" s="416">
        <f t="shared" si="16"/>
        <v>29624049.859999999</v>
      </c>
      <c r="F66" s="500">
        <f t="shared" si="17"/>
        <v>23.141286159042405</v>
      </c>
      <c r="G66" s="362">
        <f t="shared" si="18"/>
        <v>7.6319522168128024</v>
      </c>
      <c r="H66" s="403">
        <f t="shared" si="19"/>
        <v>30.773238375855207</v>
      </c>
    </row>
    <row r="67" spans="1:8" x14ac:dyDescent="0.3">
      <c r="A67">
        <v>2011</v>
      </c>
      <c r="B67" s="416">
        <v>1899109.19</v>
      </c>
      <c r="C67" s="416">
        <v>6432489.9100000001</v>
      </c>
      <c r="D67" s="416">
        <v>21612019.52</v>
      </c>
      <c r="E67" s="416">
        <f t="shared" si="16"/>
        <v>29943618.619999997</v>
      </c>
      <c r="F67" s="500">
        <f t="shared" si="17"/>
        <v>21.482005871206226</v>
      </c>
      <c r="G67" s="362">
        <f t="shared" si="18"/>
        <v>6.3422835232463965</v>
      </c>
      <c r="H67" s="403">
        <f t="shared" si="19"/>
        <v>27.824289394452624</v>
      </c>
    </row>
    <row r="68" spans="1:8" x14ac:dyDescent="0.3">
      <c r="A68">
        <v>2012</v>
      </c>
      <c r="B68" s="416">
        <v>1834566.44</v>
      </c>
      <c r="C68" s="416">
        <v>6046190.6699999999</v>
      </c>
      <c r="D68" s="416">
        <v>22652052.68</v>
      </c>
      <c r="E68" s="416">
        <f t="shared" si="16"/>
        <v>30532809.789999999</v>
      </c>
      <c r="F68" s="500">
        <f t="shared" si="17"/>
        <v>19.802274050717163</v>
      </c>
      <c r="G68" s="362">
        <f t="shared" si="18"/>
        <v>6.0085083967635722</v>
      </c>
      <c r="H68" s="403">
        <f t="shared" si="19"/>
        <v>25.810782447480733</v>
      </c>
    </row>
    <row r="69" spans="1:8" x14ac:dyDescent="0.3">
      <c r="A69">
        <v>2013</v>
      </c>
      <c r="B69" s="416">
        <v>1466576.36</v>
      </c>
      <c r="C69" s="416">
        <v>5950223.1399999997</v>
      </c>
      <c r="D69" s="416">
        <v>23600592.190000001</v>
      </c>
      <c r="E69" s="416">
        <f t="shared" si="16"/>
        <v>31017391.690000001</v>
      </c>
      <c r="F69" s="500">
        <f t="shared" si="17"/>
        <v>19.183505819795769</v>
      </c>
      <c r="G69" s="362">
        <f t="shared" si="18"/>
        <v>4.7282388366421664</v>
      </c>
      <c r="H69" s="403">
        <f t="shared" si="19"/>
        <v>23.911744656437936</v>
      </c>
    </row>
    <row r="70" spans="1:8" x14ac:dyDescent="0.3">
      <c r="A70">
        <v>2014</v>
      </c>
      <c r="B70" s="416">
        <v>1339402.76</v>
      </c>
      <c r="C70" s="416">
        <v>5767992.2699999996</v>
      </c>
      <c r="D70" s="416">
        <v>24164993.550000001</v>
      </c>
      <c r="E70" s="416">
        <f t="shared" si="16"/>
        <v>31272388.579999998</v>
      </c>
      <c r="F70" s="500">
        <f t="shared" si="17"/>
        <v>18.444361086280669</v>
      </c>
      <c r="G70" s="362">
        <f t="shared" si="18"/>
        <v>4.2830203282156836</v>
      </c>
      <c r="H70" s="403">
        <f t="shared" si="19"/>
        <v>22.727381414496353</v>
      </c>
    </row>
    <row r="71" spans="1:8" x14ac:dyDescent="0.3">
      <c r="A71">
        <v>2015</v>
      </c>
      <c r="B71" s="416">
        <v>1287074.42</v>
      </c>
      <c r="C71" s="416">
        <v>5606024</v>
      </c>
      <c r="D71" s="416">
        <v>24767795.550000001</v>
      </c>
      <c r="E71" s="416">
        <f t="shared" si="16"/>
        <v>31660893.969999999</v>
      </c>
      <c r="F71" s="500">
        <f t="shared" si="17"/>
        <v>17.70646149572384</v>
      </c>
      <c r="G71" s="362">
        <f t="shared" si="18"/>
        <v>4.0651866028153085</v>
      </c>
      <c r="H71" s="403">
        <f t="shared" si="19"/>
        <v>21.771648098539149</v>
      </c>
    </row>
    <row r="72" spans="1:8" x14ac:dyDescent="0.3">
      <c r="A72">
        <v>2016</v>
      </c>
      <c r="B72" s="416">
        <v>1201217.3600000001</v>
      </c>
      <c r="C72" s="416">
        <v>5414277.3600000003</v>
      </c>
      <c r="D72" s="416">
        <v>25278115.940000001</v>
      </c>
      <c r="E72" s="416">
        <f t="shared" si="16"/>
        <v>31893610.660000004</v>
      </c>
      <c r="F72" s="500">
        <f t="shared" si="17"/>
        <v>16.976056482656016</v>
      </c>
      <c r="G72" s="362">
        <f t="shared" si="18"/>
        <v>3.7663260293903642</v>
      </c>
      <c r="H72" s="403">
        <f t="shared" si="19"/>
        <v>20.74238251204638</v>
      </c>
    </row>
    <row r="73" spans="1:8" x14ac:dyDescent="0.3">
      <c r="A73">
        <v>2017</v>
      </c>
      <c r="B73" s="416">
        <v>1215633.68</v>
      </c>
      <c r="C73" s="416">
        <v>5751422.7800000003</v>
      </c>
      <c r="D73" s="416">
        <v>25139213.620000001</v>
      </c>
      <c r="E73" s="416">
        <f t="shared" si="16"/>
        <v>32106270.080000002</v>
      </c>
      <c r="F73" s="500">
        <f t="shared" si="17"/>
        <v>17.913705845210405</v>
      </c>
      <c r="G73" s="362">
        <f t="shared" si="18"/>
        <v>3.7862812371881716</v>
      </c>
      <c r="H73" s="403">
        <f t="shared" si="19"/>
        <v>21.699987082398575</v>
      </c>
    </row>
    <row r="74" spans="1:8" x14ac:dyDescent="0.3">
      <c r="A74">
        <v>2018</v>
      </c>
      <c r="B74" s="416">
        <v>908578.43</v>
      </c>
      <c r="C74" s="416">
        <v>5726103.1699999999</v>
      </c>
      <c r="D74" s="416">
        <v>25748618.23</v>
      </c>
      <c r="E74" s="416">
        <f t="shared" si="16"/>
        <v>32383299.829999998</v>
      </c>
      <c r="F74" s="500">
        <f t="shared" si="17"/>
        <v>17.682272035462297</v>
      </c>
      <c r="G74" s="362">
        <f t="shared" si="18"/>
        <v>2.8057005764381366</v>
      </c>
      <c r="H74" s="403">
        <f t="shared" si="19"/>
        <v>20.487972611900435</v>
      </c>
    </row>
    <row r="75" spans="1:8" x14ac:dyDescent="0.3">
      <c r="A75">
        <v>2019</v>
      </c>
      <c r="B75" s="416">
        <v>932877.32</v>
      </c>
      <c r="C75" s="416">
        <v>5665618.4400000004</v>
      </c>
      <c r="D75" s="416">
        <v>26078033.82</v>
      </c>
      <c r="E75" s="416">
        <f t="shared" si="16"/>
        <v>32676529.580000002</v>
      </c>
      <c r="F75" s="500">
        <f t="shared" si="17"/>
        <v>17.338494977348205</v>
      </c>
      <c r="G75" s="362">
        <f t="shared" si="18"/>
        <v>2.8548849342035907</v>
      </c>
      <c r="H75" s="403">
        <f t="shared" si="19"/>
        <v>20.193379911551794</v>
      </c>
    </row>
    <row r="76" spans="1:8" x14ac:dyDescent="0.3">
      <c r="A76">
        <v>2020</v>
      </c>
      <c r="B76" s="416">
        <v>1697121.82</v>
      </c>
      <c r="C76" s="416">
        <v>8237595.2000000002</v>
      </c>
      <c r="D76" s="416">
        <v>23034673.84</v>
      </c>
      <c r="E76" s="416">
        <f t="shared" si="16"/>
        <v>32969390.859999999</v>
      </c>
      <c r="F76" s="500">
        <f t="shared" si="17"/>
        <v>24.9855850688289</v>
      </c>
      <c r="G76" s="362">
        <f t="shared" si="18"/>
        <v>5.1475680190956368</v>
      </c>
      <c r="H76" s="403">
        <f t="shared" si="19"/>
        <v>30.133153087924537</v>
      </c>
    </row>
    <row r="77" spans="1:8" x14ac:dyDescent="0.3">
      <c r="A77">
        <v>2021</v>
      </c>
      <c r="B77" s="416">
        <v>1371799.55</v>
      </c>
      <c r="C77" s="416">
        <v>7236539.3600000003</v>
      </c>
      <c r="D77" s="416">
        <v>24663115.620000001</v>
      </c>
      <c r="E77" s="416">
        <f t="shared" si="16"/>
        <v>33271454.530000001</v>
      </c>
      <c r="F77" s="500">
        <f t="shared" si="17"/>
        <v>21.749993988014566</v>
      </c>
      <c r="G77" s="362">
        <f t="shared" si="18"/>
        <v>4.1230525367115654</v>
      </c>
      <c r="H77" s="403">
        <f t="shared" si="19"/>
        <v>25.873046524726131</v>
      </c>
    </row>
    <row r="78" spans="1:8" x14ac:dyDescent="0.3">
      <c r="A78">
        <v>2022</v>
      </c>
      <c r="B78" s="416">
        <v>1690904.86</v>
      </c>
      <c r="C78" s="416">
        <v>7599616.5599999996</v>
      </c>
      <c r="D78" s="416">
        <v>24463610.010000002</v>
      </c>
      <c r="E78" s="416">
        <f t="shared" si="16"/>
        <v>33754131.43</v>
      </c>
      <c r="F78" s="500">
        <f t="shared" si="17"/>
        <v>22.514626322885061</v>
      </c>
      <c r="G78" s="362">
        <f t="shared" si="18"/>
        <v>5.0094752504789906</v>
      </c>
      <c r="H78" s="403">
        <f t="shared" si="19"/>
        <v>27.52410157336405</v>
      </c>
    </row>
    <row r="79" spans="1:8" x14ac:dyDescent="0.3">
      <c r="A79">
        <v>2023</v>
      </c>
      <c r="B79" s="416">
        <v>1960234.35</v>
      </c>
      <c r="C79" s="416">
        <v>7946474.0700000003</v>
      </c>
      <c r="D79" s="416">
        <v>24200339.239999998</v>
      </c>
      <c r="E79" s="416">
        <f t="shared" si="16"/>
        <v>34107047.659999996</v>
      </c>
      <c r="F79" s="500">
        <f t="shared" si="17"/>
        <v>23.298627747600246</v>
      </c>
      <c r="G79" s="362">
        <f t="shared" si="18"/>
        <v>5.7472999995215668</v>
      </c>
      <c r="H79" s="403">
        <f t="shared" si="19"/>
        <v>29.045927747121812</v>
      </c>
    </row>
    <row r="80" spans="1:8" x14ac:dyDescent="0.3">
      <c r="A80">
        <v>2024</v>
      </c>
      <c r="B80" s="416">
        <v>1898111.5</v>
      </c>
      <c r="C80" s="416">
        <v>7612033.5800000001</v>
      </c>
      <c r="D80" s="416">
        <v>24972554.23</v>
      </c>
      <c r="E80" s="416">
        <f t="shared" si="16"/>
        <v>34482699.310000002</v>
      </c>
      <c r="F80" s="500">
        <f t="shared" si="17"/>
        <v>22.074935351109552</v>
      </c>
      <c r="G80" s="362">
        <f t="shared" si="18"/>
        <v>5.5045328178514916</v>
      </c>
      <c r="H80" s="403">
        <f t="shared" si="19"/>
        <v>27.579468168961043</v>
      </c>
    </row>
  </sheetData>
  <mergeCells count="2">
    <mergeCell ref="A31:H32"/>
    <mergeCell ref="A57:H58"/>
  </mergeCells>
  <pageMargins left="0.7" right="0.7" top="0.75" bottom="0.75" header="0.3" footer="0.3"/>
  <ignoredErrors>
    <ignoredError sqref="E34:E54 E60:E80" formulaRange="1"/>
  </ignoredErrors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E17"/>
  <sheetViews>
    <sheetView workbookViewId="0"/>
  </sheetViews>
  <sheetFormatPr baseColWidth="10" defaultRowHeight="14.4" x14ac:dyDescent="0.3"/>
  <cols>
    <col min="1" max="1" width="28.109375" customWidth="1"/>
    <col min="2" max="2" width="17.6640625" customWidth="1"/>
    <col min="3" max="3" width="19.77734375" customWidth="1"/>
    <col min="4" max="4" width="18.6640625" customWidth="1"/>
  </cols>
  <sheetData>
    <row r="1" spans="1:5" ht="18" x14ac:dyDescent="0.3">
      <c r="A1" s="229" t="s">
        <v>942</v>
      </c>
    </row>
    <row r="2" spans="1:5" ht="18" x14ac:dyDescent="0.3">
      <c r="A2" s="304" t="s">
        <v>943</v>
      </c>
    </row>
    <row r="3" spans="1:5" x14ac:dyDescent="0.3">
      <c r="A3" s="231" t="s">
        <v>956</v>
      </c>
    </row>
    <row r="5" spans="1:5" ht="15" thickBot="1" x14ac:dyDescent="0.35">
      <c r="A5" s="413" t="s">
        <v>951</v>
      </c>
      <c r="B5" s="412" t="s">
        <v>944</v>
      </c>
      <c r="C5" s="412" t="s">
        <v>953</v>
      </c>
      <c r="D5" s="411" t="s">
        <v>945</v>
      </c>
    </row>
    <row r="6" spans="1:5" x14ac:dyDescent="0.3">
      <c r="A6" s="409" t="s">
        <v>941</v>
      </c>
      <c r="B6" s="408">
        <v>20.085515000000001</v>
      </c>
      <c r="C6" s="408">
        <f>+(15.7+19.2)/2</f>
        <v>17.45</v>
      </c>
      <c r="D6" s="410">
        <f>+(13+16.1)/2</f>
        <v>14.55</v>
      </c>
      <c r="E6" s="403"/>
    </row>
    <row r="7" spans="1:5" x14ac:dyDescent="0.3">
      <c r="A7" s="409" t="s">
        <v>940</v>
      </c>
      <c r="B7" s="408">
        <v>25.755697999999999</v>
      </c>
      <c r="C7" s="408">
        <f>+(19.4+31.1)/2</f>
        <v>25.25</v>
      </c>
      <c r="D7" s="407">
        <f>+(19.7+24.9)/2</f>
        <v>22.299999999999997</v>
      </c>
    </row>
    <row r="8" spans="1:5" x14ac:dyDescent="0.3">
      <c r="A8" s="409" t="s">
        <v>946</v>
      </c>
      <c r="B8" s="408">
        <v>77.612793999999994</v>
      </c>
      <c r="C8" s="408">
        <f>+(69+77.1)/2</f>
        <v>73.05</v>
      </c>
      <c r="D8" s="410">
        <f>+(48.4+57.1)/2</f>
        <v>52.75</v>
      </c>
    </row>
    <row r="9" spans="1:5" x14ac:dyDescent="0.3">
      <c r="A9" s="409" t="s">
        <v>950</v>
      </c>
      <c r="B9" s="408">
        <v>36.116833999999997</v>
      </c>
      <c r="C9" s="408">
        <f>+(30.9+38)/2</f>
        <v>34.450000000000003</v>
      </c>
      <c r="D9" s="410">
        <f>+(23+30.3)/2</f>
        <v>26.65</v>
      </c>
    </row>
    <row r="10" spans="1:5" x14ac:dyDescent="0.3">
      <c r="A10" s="409" t="s">
        <v>947</v>
      </c>
      <c r="B10" s="408">
        <v>73.680940000000007</v>
      </c>
      <c r="C10" s="408">
        <f>+(78.6+85.7)/2</f>
        <v>82.15</v>
      </c>
      <c r="D10" s="407">
        <f>+(46.7+57.1)/2</f>
        <v>51.900000000000006</v>
      </c>
    </row>
    <row r="11" spans="1:5" x14ac:dyDescent="0.3">
      <c r="A11" s="409" t="s">
        <v>939</v>
      </c>
      <c r="B11" s="408">
        <v>68.548835999999994</v>
      </c>
      <c r="C11" s="408">
        <f>+(58.8+66.4)/2</f>
        <v>62.6</v>
      </c>
      <c r="D11" s="410">
        <f>+(43.4+51.3)/2</f>
        <v>47.349999999999994</v>
      </c>
    </row>
    <row r="12" spans="1:5" x14ac:dyDescent="0.3">
      <c r="A12" s="409" t="s">
        <v>938</v>
      </c>
      <c r="B12" s="408">
        <v>32.331760000000003</v>
      </c>
      <c r="C12" s="408">
        <f>+(26.5+33)/2</f>
        <v>29.75</v>
      </c>
      <c r="D12" s="410">
        <f>+(21.2+27.4)/2</f>
        <v>24.299999999999997</v>
      </c>
    </row>
    <row r="13" spans="1:5" x14ac:dyDescent="0.3">
      <c r="A13" s="409" t="s">
        <v>937</v>
      </c>
      <c r="B13" s="408">
        <v>73.206646000000006</v>
      </c>
      <c r="C13" s="408">
        <f>+(63.6+71.8)/2</f>
        <v>67.7</v>
      </c>
      <c r="D13" s="410">
        <f>+(43.9+52.1)/2</f>
        <v>48</v>
      </c>
    </row>
    <row r="14" spans="1:5" x14ac:dyDescent="0.3">
      <c r="A14" s="409" t="s">
        <v>952</v>
      </c>
      <c r="B14" s="408">
        <v>83.869085999999996</v>
      </c>
      <c r="C14" s="408">
        <f>+(55.3+62.5)/2</f>
        <v>58.9</v>
      </c>
      <c r="D14" s="407">
        <f>+(44.4+54)/2</f>
        <v>49.2</v>
      </c>
    </row>
    <row r="15" spans="1:5" x14ac:dyDescent="0.3">
      <c r="A15" s="409" t="s">
        <v>936</v>
      </c>
      <c r="B15" s="408">
        <v>58.531388</v>
      </c>
      <c r="C15" s="408">
        <f>+(56.5+64.7)/2</f>
        <v>60.6</v>
      </c>
      <c r="D15" s="410">
        <f>+(41.4+51.1)/2</f>
        <v>46.25</v>
      </c>
    </row>
    <row r="16" spans="1:5" x14ac:dyDescent="0.3">
      <c r="A16" s="409" t="s">
        <v>948</v>
      </c>
      <c r="B16" s="408">
        <v>58.637436999999998</v>
      </c>
      <c r="C16" s="408">
        <f>+(58.5+66.4)/2</f>
        <v>62.45</v>
      </c>
      <c r="D16" s="410">
        <f>+(38.9+49.8)/2</f>
        <v>44.349999999999994</v>
      </c>
    </row>
    <row r="17" spans="1:4" x14ac:dyDescent="0.3">
      <c r="A17" s="409" t="s">
        <v>949</v>
      </c>
      <c r="B17" s="408">
        <v>48.815461999999997</v>
      </c>
      <c r="C17" s="408">
        <f>+(29.3+37.1)/2</f>
        <v>33.200000000000003</v>
      </c>
      <c r="D17" s="407">
        <f>+(27.6+38.8)/2</f>
        <v>33.200000000000003</v>
      </c>
    </row>
  </sheetData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5E980-E2A6-4424-8CC8-37479A230F42}">
  <dimension ref="A1:F22"/>
  <sheetViews>
    <sheetView workbookViewId="0"/>
  </sheetViews>
  <sheetFormatPr baseColWidth="10" defaultRowHeight="14.4" x14ac:dyDescent="0.3"/>
  <cols>
    <col min="2" max="2" width="26.44140625" customWidth="1"/>
    <col min="3" max="3" width="21.21875" customWidth="1"/>
    <col min="4" max="4" width="23" customWidth="1"/>
    <col min="5" max="5" width="21.88671875" customWidth="1"/>
    <col min="6" max="6" width="25.33203125" customWidth="1"/>
  </cols>
  <sheetData>
    <row r="1" spans="1:6" ht="18" x14ac:dyDescent="0.3">
      <c r="A1" s="229" t="s">
        <v>954</v>
      </c>
    </row>
    <row r="2" spans="1:6" ht="18" x14ac:dyDescent="0.3">
      <c r="A2" s="304" t="s">
        <v>955</v>
      </c>
    </row>
    <row r="3" spans="1:6" x14ac:dyDescent="0.3">
      <c r="A3" s="231" t="s">
        <v>956</v>
      </c>
    </row>
    <row r="5" spans="1:6" ht="18.600000000000001" thickBot="1" x14ac:dyDescent="0.4">
      <c r="A5" s="405" t="s">
        <v>849</v>
      </c>
      <c r="B5" s="339" t="s">
        <v>958</v>
      </c>
      <c r="C5" s="339" t="s">
        <v>957</v>
      </c>
      <c r="D5" s="339" t="s">
        <v>959</v>
      </c>
      <c r="E5" s="339" t="s">
        <v>960</v>
      </c>
      <c r="F5" s="339" t="s">
        <v>961</v>
      </c>
    </row>
    <row r="6" spans="1:6" ht="15.6" x14ac:dyDescent="0.3">
      <c r="A6" s="404">
        <v>2007</v>
      </c>
      <c r="B6" s="417">
        <v>6.1</v>
      </c>
      <c r="C6" s="417">
        <v>1.3</v>
      </c>
      <c r="D6" s="417">
        <v>2.7</v>
      </c>
      <c r="E6" s="417">
        <v>17.2</v>
      </c>
      <c r="F6" s="419">
        <v>2.9</v>
      </c>
    </row>
    <row r="7" spans="1:6" ht="15.6" x14ac:dyDescent="0.3">
      <c r="A7" s="404">
        <v>2008</v>
      </c>
      <c r="B7" s="417">
        <v>5.8</v>
      </c>
      <c r="C7" s="417">
        <v>1.2</v>
      </c>
      <c r="D7" s="417">
        <v>2.5</v>
      </c>
      <c r="E7" s="417">
        <v>15.6</v>
      </c>
      <c r="F7" s="419">
        <v>2.2999999999999998</v>
      </c>
    </row>
    <row r="8" spans="1:6" ht="15.6" x14ac:dyDescent="0.3">
      <c r="A8" s="404">
        <v>2009</v>
      </c>
      <c r="B8" s="417">
        <v>8</v>
      </c>
      <c r="C8" s="417">
        <v>0.5</v>
      </c>
      <c r="D8" s="417">
        <v>2.8</v>
      </c>
      <c r="E8" s="417">
        <v>12.3</v>
      </c>
      <c r="F8" s="419">
        <v>1.5</v>
      </c>
    </row>
    <row r="9" spans="1:6" ht="15.6" x14ac:dyDescent="0.3">
      <c r="A9" s="404">
        <v>2010</v>
      </c>
      <c r="B9" s="417">
        <v>6.2</v>
      </c>
      <c r="C9" s="417">
        <v>0.2</v>
      </c>
      <c r="D9" s="417">
        <v>1</v>
      </c>
      <c r="E9" s="417">
        <v>12.9</v>
      </c>
      <c r="F9" s="419">
        <v>1.6</v>
      </c>
    </row>
    <row r="10" spans="1:6" ht="15.6" x14ac:dyDescent="0.3">
      <c r="A10" s="404">
        <v>2011</v>
      </c>
      <c r="B10" s="417">
        <v>5.7</v>
      </c>
      <c r="C10" s="417">
        <v>0.6</v>
      </c>
      <c r="D10" s="417">
        <v>1.2</v>
      </c>
      <c r="E10" s="417">
        <v>7.1</v>
      </c>
      <c r="F10" s="419">
        <v>1.7</v>
      </c>
    </row>
    <row r="11" spans="1:6" ht="15.6" x14ac:dyDescent="0.3">
      <c r="A11" s="404">
        <v>2012</v>
      </c>
      <c r="B11" s="417">
        <v>9</v>
      </c>
      <c r="C11" s="417">
        <v>1.1000000000000001</v>
      </c>
      <c r="D11" s="417">
        <v>1.2</v>
      </c>
      <c r="E11" s="417">
        <v>7.8</v>
      </c>
      <c r="F11" s="419">
        <v>0.7</v>
      </c>
    </row>
    <row r="12" spans="1:6" ht="15.6" x14ac:dyDescent="0.3">
      <c r="A12" s="404">
        <v>2013</v>
      </c>
      <c r="B12" s="417">
        <v>5</v>
      </c>
      <c r="C12" s="417">
        <v>0.7</v>
      </c>
      <c r="D12" s="417">
        <v>1.3</v>
      </c>
      <c r="E12" s="417">
        <v>7</v>
      </c>
      <c r="F12" s="419">
        <v>1.8</v>
      </c>
    </row>
    <row r="13" spans="1:6" ht="15.6" x14ac:dyDescent="0.3">
      <c r="A13" s="404">
        <v>2014</v>
      </c>
      <c r="B13" s="417">
        <v>5.4</v>
      </c>
      <c r="C13" s="417">
        <v>0.8</v>
      </c>
      <c r="D13" s="418">
        <v>0.5</v>
      </c>
      <c r="E13" s="417">
        <v>5.7</v>
      </c>
      <c r="F13" s="419">
        <v>1.7</v>
      </c>
    </row>
    <row r="14" spans="1:6" ht="15.6" x14ac:dyDescent="0.3">
      <c r="A14" s="404">
        <v>2015</v>
      </c>
      <c r="B14" s="417">
        <v>6.7</v>
      </c>
      <c r="C14" s="417">
        <v>1.2</v>
      </c>
      <c r="D14" s="418">
        <v>0.9</v>
      </c>
      <c r="E14" s="417">
        <v>7.2</v>
      </c>
      <c r="F14" s="419">
        <v>1.5</v>
      </c>
    </row>
    <row r="15" spans="1:6" ht="15.6" x14ac:dyDescent="0.3">
      <c r="A15" s="404">
        <v>2016</v>
      </c>
      <c r="B15" s="417">
        <v>4.8</v>
      </c>
      <c r="C15" s="417">
        <v>0.2</v>
      </c>
      <c r="D15" s="418">
        <v>1.2</v>
      </c>
      <c r="E15" s="417">
        <v>7.2</v>
      </c>
      <c r="F15" s="419">
        <v>2.1</v>
      </c>
    </row>
    <row r="16" spans="1:6" ht="15.6" x14ac:dyDescent="0.3">
      <c r="A16" s="404">
        <v>2017</v>
      </c>
      <c r="B16" s="417">
        <v>5.2</v>
      </c>
      <c r="C16" s="417">
        <v>0.3</v>
      </c>
      <c r="D16" s="418">
        <v>0.9</v>
      </c>
      <c r="E16" s="417">
        <v>7.4</v>
      </c>
      <c r="F16" s="419">
        <v>2.1</v>
      </c>
    </row>
    <row r="17" spans="1:6" ht="15.6" x14ac:dyDescent="0.3">
      <c r="A17" s="404">
        <v>2018</v>
      </c>
      <c r="B17" s="417">
        <v>4.8</v>
      </c>
      <c r="C17" s="417">
        <v>0.4</v>
      </c>
      <c r="D17" s="418">
        <v>0.3</v>
      </c>
      <c r="E17" s="417">
        <v>5.5</v>
      </c>
      <c r="F17" s="419">
        <v>1.7</v>
      </c>
    </row>
    <row r="18" spans="1:6" ht="15.6" x14ac:dyDescent="0.3">
      <c r="A18" s="404">
        <v>2019</v>
      </c>
      <c r="B18" s="417">
        <v>4</v>
      </c>
      <c r="C18" s="417">
        <v>0.7</v>
      </c>
      <c r="D18" s="418">
        <v>0.6</v>
      </c>
      <c r="E18" s="417">
        <v>4.4000000000000004</v>
      </c>
      <c r="F18" s="419">
        <v>1.7</v>
      </c>
    </row>
    <row r="19" spans="1:6" ht="15.6" x14ac:dyDescent="0.3">
      <c r="A19" s="404">
        <v>2020</v>
      </c>
      <c r="B19" s="417">
        <v>3</v>
      </c>
      <c r="C19" s="417">
        <v>0.5</v>
      </c>
      <c r="D19" s="418">
        <v>1.3</v>
      </c>
      <c r="E19" s="417">
        <v>4.5999999999999996</v>
      </c>
      <c r="F19" s="419">
        <v>2.8</v>
      </c>
    </row>
    <row r="20" spans="1:6" ht="15.6" x14ac:dyDescent="0.3">
      <c r="A20" s="404">
        <v>2021</v>
      </c>
      <c r="B20" s="417">
        <v>3.6</v>
      </c>
      <c r="C20" s="417">
        <v>1</v>
      </c>
      <c r="D20" s="418">
        <v>2.1</v>
      </c>
      <c r="E20" s="417">
        <v>3.1</v>
      </c>
      <c r="F20" s="419">
        <v>2.4</v>
      </c>
    </row>
    <row r="21" spans="1:6" ht="15.6" x14ac:dyDescent="0.3">
      <c r="A21" s="404">
        <v>2022</v>
      </c>
      <c r="B21" s="417">
        <v>5.2</v>
      </c>
      <c r="C21" s="417">
        <v>0.5</v>
      </c>
      <c r="D21" s="418">
        <v>1.7</v>
      </c>
      <c r="E21" s="417">
        <v>4.3</v>
      </c>
      <c r="F21" s="419">
        <v>1.5</v>
      </c>
    </row>
    <row r="22" spans="1:6" ht="15.6" x14ac:dyDescent="0.3">
      <c r="A22" s="404">
        <v>2023</v>
      </c>
      <c r="B22" s="417">
        <v>4.9000000000000004</v>
      </c>
      <c r="C22" s="417">
        <v>0.9</v>
      </c>
      <c r="D22" s="420">
        <v>0.9</v>
      </c>
      <c r="E22" s="417">
        <v>4.5999999999999996</v>
      </c>
      <c r="F22" s="419">
        <v>2.6</v>
      </c>
    </row>
  </sheetData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EF72-02A3-4FDF-B801-CE89C536D5E3}">
  <dimension ref="A1:J22"/>
  <sheetViews>
    <sheetView workbookViewId="0"/>
  </sheetViews>
  <sheetFormatPr baseColWidth="10" defaultRowHeight="14.4" x14ac:dyDescent="0.3"/>
  <cols>
    <col min="2" max="2" width="22.33203125" customWidth="1"/>
    <col min="3" max="3" width="22.6640625" customWidth="1"/>
    <col min="4" max="4" width="25" customWidth="1"/>
    <col min="6" max="6" width="18.5546875" customWidth="1"/>
  </cols>
  <sheetData>
    <row r="1" spans="1:10" ht="18" x14ac:dyDescent="0.3">
      <c r="A1" s="229" t="s">
        <v>962</v>
      </c>
    </row>
    <row r="2" spans="1:10" ht="18" x14ac:dyDescent="0.3">
      <c r="A2" s="304" t="s">
        <v>1010</v>
      </c>
    </row>
    <row r="3" spans="1:10" x14ac:dyDescent="0.3">
      <c r="A3" s="231" t="s">
        <v>963</v>
      </c>
    </row>
    <row r="5" spans="1:10" ht="15" thickBot="1" x14ac:dyDescent="0.35">
      <c r="A5" s="351" t="s">
        <v>849</v>
      </c>
      <c r="B5" s="339" t="str">
        <f>'c-497'!B5</f>
        <v>pbi_percapita</v>
      </c>
      <c r="C5" s="339" t="str">
        <f>'c-502'!D5</f>
        <v>pobreza_total_la_libertad</v>
      </c>
      <c r="D5" s="339" t="str">
        <f>'c-502'!E5</f>
        <v>pobreza_extrema_la_libertad</v>
      </c>
      <c r="E5" s="339" t="s">
        <v>973</v>
      </c>
      <c r="F5" s="339" t="s">
        <v>974</v>
      </c>
    </row>
    <row r="6" spans="1:10" x14ac:dyDescent="0.3">
      <c r="A6" s="352">
        <v>2007</v>
      </c>
      <c r="B6" s="403">
        <f>'c-497'!B12</f>
        <v>8610.0217696629225</v>
      </c>
      <c r="C6">
        <f>'c-502'!D9</f>
        <v>39.052222923290429</v>
      </c>
      <c r="D6">
        <f>'c-502'!E9</f>
        <v>9.9556581114099725</v>
      </c>
    </row>
    <row r="7" spans="1:10" x14ac:dyDescent="0.3">
      <c r="A7" s="352">
        <v>2008</v>
      </c>
      <c r="B7" s="403">
        <f>'c-497'!B13</f>
        <v>9150.7296348314612</v>
      </c>
      <c r="C7">
        <f>'c-502'!D10</f>
        <v>38.586058393561004</v>
      </c>
      <c r="D7">
        <f>'c-502'!E10</f>
        <v>13.492516865508932</v>
      </c>
      <c r="E7">
        <f>+(B7-B6)/B6</f>
        <v>6.2799825556040051E-2</v>
      </c>
      <c r="F7">
        <f>+(C7-C6)/C6</f>
        <v>-1.1936952491670044E-2</v>
      </c>
    </row>
    <row r="8" spans="1:10" x14ac:dyDescent="0.3">
      <c r="A8" s="352">
        <v>2009</v>
      </c>
      <c r="B8" s="403">
        <f>'c-497'!B14</f>
        <v>9233.3377808988771</v>
      </c>
      <c r="C8">
        <f>'c-502'!D11</f>
        <v>35.158676013994906</v>
      </c>
      <c r="D8">
        <f>'c-502'!E11</f>
        <v>10.919167417955892</v>
      </c>
      <c r="E8">
        <f t="shared" ref="E8:E22" si="0">+(B8-B7)/B7</f>
        <v>9.0274928190398184E-3</v>
      </c>
      <c r="F8">
        <f t="shared" ref="F8:F22" si="1">+(C8-C7)/C7</f>
        <v>-8.8824371346984676E-2</v>
      </c>
    </row>
    <row r="9" spans="1:10" x14ac:dyDescent="0.3">
      <c r="A9" s="352">
        <v>2010</v>
      </c>
      <c r="B9" s="403">
        <f>'c-497'!B15</f>
        <v>9711</v>
      </c>
      <c r="C9">
        <f>'c-502'!D12</f>
        <v>31.421462204705712</v>
      </c>
      <c r="D9">
        <f>'c-502'!E12</f>
        <v>9.7145203174804617</v>
      </c>
      <c r="E9">
        <f t="shared" si="0"/>
        <v>5.1732345381024489E-2</v>
      </c>
      <c r="F9">
        <f t="shared" si="1"/>
        <v>-0.10629563547278052</v>
      </c>
    </row>
    <row r="10" spans="1:10" x14ac:dyDescent="0.3">
      <c r="A10" s="352">
        <v>2011</v>
      </c>
      <c r="B10" s="403">
        <f>'c-497'!B16</f>
        <v>10040</v>
      </c>
      <c r="C10">
        <f>'c-502'!D13</f>
        <v>29.369508103888737</v>
      </c>
      <c r="D10">
        <f>+'c-502'!E13</f>
        <v>8.2098441776883853</v>
      </c>
      <c r="E10">
        <f t="shared" si="0"/>
        <v>3.3879106168262792E-2</v>
      </c>
      <c r="F10">
        <f t="shared" si="1"/>
        <v>-6.5304220645392874E-2</v>
      </c>
    </row>
    <row r="11" spans="1:10" x14ac:dyDescent="0.3">
      <c r="A11" s="352">
        <v>2012</v>
      </c>
      <c r="B11" s="403">
        <f>'c-497'!B17</f>
        <v>10694</v>
      </c>
      <c r="C11">
        <f>'c-502'!D14</f>
        <v>30.632667445922465</v>
      </c>
      <c r="D11">
        <f>+'c-502'!E14</f>
        <v>8.4145805327891612</v>
      </c>
      <c r="E11">
        <f t="shared" si="0"/>
        <v>6.5139442231075692E-2</v>
      </c>
      <c r="F11">
        <f t="shared" si="1"/>
        <v>4.3009210013513162E-2</v>
      </c>
      <c r="J11" s="421"/>
    </row>
    <row r="12" spans="1:10" x14ac:dyDescent="0.3">
      <c r="A12" s="352">
        <v>2013</v>
      </c>
      <c r="B12" s="403">
        <f>'c-497'!B18</f>
        <v>11034</v>
      </c>
      <c r="C12">
        <f>'c-502'!D15</f>
        <v>29.456005664685286</v>
      </c>
      <c r="D12">
        <f>+'c-502'!E15</f>
        <v>7.4957035110124703</v>
      </c>
      <c r="E12">
        <f t="shared" si="0"/>
        <v>3.179352908172807E-2</v>
      </c>
      <c r="F12">
        <f t="shared" si="1"/>
        <v>-3.8411992142519259E-2</v>
      </c>
    </row>
    <row r="13" spans="1:10" x14ac:dyDescent="0.3">
      <c r="A13" s="352">
        <v>2014</v>
      </c>
      <c r="B13" s="403">
        <f>'c-497'!B19</f>
        <v>11052</v>
      </c>
      <c r="C13">
        <f>'c-502'!D16</f>
        <v>27.422392365577302</v>
      </c>
      <c r="D13">
        <f>'c-502'!E16</f>
        <v>5.4644378214137079</v>
      </c>
      <c r="E13">
        <f t="shared" si="0"/>
        <v>1.6313213703099511E-3</v>
      </c>
      <c r="F13">
        <f t="shared" si="1"/>
        <v>-6.9039004210475027E-2</v>
      </c>
    </row>
    <row r="14" spans="1:10" x14ac:dyDescent="0.3">
      <c r="A14" s="352">
        <v>2015</v>
      </c>
      <c r="B14" s="403">
        <f>'c-497'!B20</f>
        <v>11132</v>
      </c>
      <c r="C14">
        <f>'c-502'!D17</f>
        <v>25.860357188646585</v>
      </c>
      <c r="D14">
        <f>'c-502'!E17</f>
        <v>6.3056648540833855</v>
      </c>
      <c r="E14">
        <f t="shared" si="0"/>
        <v>7.238508867173362E-3</v>
      </c>
      <c r="F14">
        <f t="shared" si="1"/>
        <v>-5.6962031470729875E-2</v>
      </c>
    </row>
    <row r="15" spans="1:10" x14ac:dyDescent="0.3">
      <c r="A15" s="352">
        <v>2016</v>
      </c>
      <c r="B15" s="403">
        <f>'c-497'!B21</f>
        <v>11019</v>
      </c>
      <c r="C15">
        <f>'c-502'!D18</f>
        <v>24.468292255118257</v>
      </c>
      <c r="D15">
        <f>'c-502'!E18</f>
        <v>4.4435021042281022</v>
      </c>
      <c r="E15">
        <f t="shared" si="0"/>
        <v>-1.0150916277398491E-2</v>
      </c>
      <c r="F15">
        <f t="shared" si="1"/>
        <v>-5.383007370599982E-2</v>
      </c>
    </row>
    <row r="16" spans="1:10" x14ac:dyDescent="0.3">
      <c r="A16" s="352">
        <v>2017</v>
      </c>
      <c r="B16" s="403">
        <f>'c-497'!B22</f>
        <v>10969</v>
      </c>
      <c r="C16">
        <f>'c-502'!D19</f>
        <v>23.483814761833003</v>
      </c>
      <c r="D16">
        <f>'c-502'!E19</f>
        <v>4.3425362593290755</v>
      </c>
      <c r="E16">
        <f t="shared" si="0"/>
        <v>-4.5376168436337232E-3</v>
      </c>
      <c r="F16">
        <f t="shared" si="1"/>
        <v>-4.0234826485666252E-2</v>
      </c>
    </row>
    <row r="17" spans="1:6" x14ac:dyDescent="0.3">
      <c r="A17" s="352">
        <v>2018</v>
      </c>
      <c r="B17" s="403">
        <f>'c-497'!B23</f>
        <v>11267</v>
      </c>
      <c r="C17">
        <f>'c-502'!D20</f>
        <v>20.830604464164715</v>
      </c>
      <c r="D17">
        <f>'c-502'!E20</f>
        <v>3.2352450745834633</v>
      </c>
      <c r="E17">
        <f t="shared" si="0"/>
        <v>2.7167471966450907E-2</v>
      </c>
      <c r="F17">
        <f t="shared" si="1"/>
        <v>-0.11298037923465526</v>
      </c>
    </row>
    <row r="18" spans="1:6" x14ac:dyDescent="0.3">
      <c r="A18" s="352">
        <v>2019</v>
      </c>
      <c r="B18" s="403">
        <f>'c-497'!B24</f>
        <v>11434</v>
      </c>
      <c r="C18">
        <f>'c-502'!D21</f>
        <v>24.729512094054709</v>
      </c>
      <c r="D18">
        <f>'c-502'!E21</f>
        <v>6.2632455575121702</v>
      </c>
      <c r="E18">
        <f t="shared" si="0"/>
        <v>1.4822046685009319E-2</v>
      </c>
      <c r="F18">
        <f t="shared" si="1"/>
        <v>0.18717208310480662</v>
      </c>
    </row>
    <row r="19" spans="1:6" x14ac:dyDescent="0.3">
      <c r="A19" s="352">
        <v>2020</v>
      </c>
      <c r="B19" s="403">
        <f>'c-497'!B25</f>
        <v>10524</v>
      </c>
      <c r="C19">
        <f>'c-502'!D22</f>
        <v>31.929651502259276</v>
      </c>
      <c r="D19">
        <f>'c-502'!E22</f>
        <v>6.1790078340642554</v>
      </c>
      <c r="E19">
        <f t="shared" si="0"/>
        <v>-7.9587196081861114E-2</v>
      </c>
      <c r="F19">
        <f t="shared" si="1"/>
        <v>0.29115574059124172</v>
      </c>
    </row>
    <row r="20" spans="1:6" x14ac:dyDescent="0.3">
      <c r="A20" s="352">
        <v>2021</v>
      </c>
      <c r="B20" s="403">
        <f>'c-497'!B26</f>
        <v>11487</v>
      </c>
      <c r="C20">
        <f>'c-502'!D23</f>
        <v>26.763162920657628</v>
      </c>
      <c r="D20">
        <f>'c-502'!E23</f>
        <v>5.8192720266070284</v>
      </c>
      <c r="E20">
        <f t="shared" si="0"/>
        <v>9.1505131128848352E-2</v>
      </c>
      <c r="F20">
        <f t="shared" si="1"/>
        <v>-0.16180848642322571</v>
      </c>
    </row>
    <row r="21" spans="1:6" x14ac:dyDescent="0.3">
      <c r="A21" s="352">
        <v>2022</v>
      </c>
      <c r="B21" s="403">
        <f>'c-497'!B27</f>
        <v>11501</v>
      </c>
      <c r="C21">
        <f>'c-502'!D24</f>
        <v>28.414148782991894</v>
      </c>
      <c r="D21">
        <f>'c-502'!E24</f>
        <v>4.3763711307984767</v>
      </c>
      <c r="E21">
        <f t="shared" si="0"/>
        <v>1.2187690432663011E-3</v>
      </c>
      <c r="F21">
        <f t="shared" si="1"/>
        <v>6.1688742366841978E-2</v>
      </c>
    </row>
    <row r="22" spans="1:6" x14ac:dyDescent="0.3">
      <c r="A22" s="352">
        <v>2023</v>
      </c>
      <c r="B22" s="403">
        <f>'c-497'!B28</f>
        <v>11058.544738420362</v>
      </c>
      <c r="C22">
        <f>'c-502'!D25</f>
        <v>31.606651446256862</v>
      </c>
      <c r="D22">
        <f>'c-502'!E25</f>
        <v>6.9678318423750785</v>
      </c>
      <c r="E22">
        <f t="shared" si="0"/>
        <v>-3.8471025265597626E-2</v>
      </c>
      <c r="F22">
        <f t="shared" si="1"/>
        <v>0.11235609018757345</v>
      </c>
    </row>
  </sheetData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B52BC-E0BF-4259-B148-4681B1BCD588}">
  <dimension ref="B1:H20"/>
  <sheetViews>
    <sheetView workbookViewId="0"/>
  </sheetViews>
  <sheetFormatPr baseColWidth="10" defaultRowHeight="14.4" x14ac:dyDescent="0.3"/>
  <cols>
    <col min="2" max="2" width="22.21875" customWidth="1"/>
    <col min="3" max="3" width="25.109375" customWidth="1"/>
    <col min="4" max="4" width="12.77734375" customWidth="1"/>
    <col min="5" max="5" width="18.44140625" customWidth="1"/>
    <col min="6" max="6" width="26.77734375" customWidth="1"/>
    <col min="7" max="7" width="14.5546875" customWidth="1"/>
    <col min="8" max="8" width="19.109375" customWidth="1"/>
  </cols>
  <sheetData>
    <row r="1" spans="2:8" ht="14.4" customHeight="1" x14ac:dyDescent="0.3">
      <c r="B1" s="563" t="s">
        <v>966</v>
      </c>
      <c r="C1" s="563"/>
      <c r="D1" s="563"/>
      <c r="E1" s="563"/>
      <c r="F1" s="563"/>
      <c r="G1" s="563"/>
      <c r="H1" s="563"/>
    </row>
    <row r="2" spans="2:8" ht="14.4" customHeight="1" x14ac:dyDescent="0.3">
      <c r="B2" s="563"/>
      <c r="C2" s="563"/>
      <c r="D2" s="563"/>
      <c r="E2" s="563"/>
      <c r="F2" s="563"/>
      <c r="G2" s="563"/>
      <c r="H2" s="563"/>
    </row>
    <row r="3" spans="2:8" ht="10.8" customHeight="1" thickBot="1" x14ac:dyDescent="0.35">
      <c r="B3" s="339"/>
      <c r="C3" s="339"/>
      <c r="D3" s="339"/>
      <c r="E3" s="339"/>
      <c r="F3" s="339"/>
      <c r="G3" s="339"/>
      <c r="H3" s="339"/>
    </row>
    <row r="4" spans="2:8" ht="18" customHeight="1" x14ac:dyDescent="0.4">
      <c r="B4" s="568" t="s">
        <v>849</v>
      </c>
      <c r="C4" s="575" t="s">
        <v>989</v>
      </c>
      <c r="D4" s="575" t="s">
        <v>968</v>
      </c>
      <c r="E4" s="426" t="s">
        <v>990</v>
      </c>
      <c r="F4" s="426" t="s">
        <v>969</v>
      </c>
      <c r="G4" s="575" t="s">
        <v>971</v>
      </c>
      <c r="H4" s="577" t="s">
        <v>972</v>
      </c>
    </row>
    <row r="5" spans="2:8" ht="19.8" customHeight="1" x14ac:dyDescent="0.4">
      <c r="B5" s="569"/>
      <c r="C5" s="576"/>
      <c r="D5" s="576"/>
      <c r="E5" s="427" t="s">
        <v>967</v>
      </c>
      <c r="F5" s="427" t="s">
        <v>970</v>
      </c>
      <c r="G5" s="576"/>
      <c r="H5" s="578"/>
    </row>
    <row r="6" spans="2:8" ht="21" customHeight="1" x14ac:dyDescent="0.4">
      <c r="B6" s="431">
        <v>2007</v>
      </c>
      <c r="C6" s="429">
        <f>+'c-505'!B6</f>
        <v>8610.0217696629225</v>
      </c>
      <c r="D6" s="428">
        <f>+'c-505'!C6</f>
        <v>39.052222923290429</v>
      </c>
      <c r="E6" s="582">
        <f>+AVERAGE('c-505'!E7:E22) *100</f>
        <v>1.657551473935863</v>
      </c>
      <c r="F6" s="584">
        <f>+AVERAGE('c-505'!F7:F22) *100</f>
        <v>-0.68903817103826581</v>
      </c>
      <c r="G6" s="570">
        <f>+E12</f>
        <v>-0.83308158685652067</v>
      </c>
      <c r="H6" s="579" t="str">
        <f>IF(G6&lt;-1,B16,IF(G6&lt;0,B17,IF(G6=0,B18,IF(E6&gt;0,B19,B20))))</f>
        <v>Pro-pobre débil</v>
      </c>
    </row>
    <row r="7" spans="2:8" ht="21" customHeight="1" thickBot="1" x14ac:dyDescent="0.45">
      <c r="B7" s="432">
        <v>2023</v>
      </c>
      <c r="C7" s="433">
        <f>+'c-505'!B22</f>
        <v>11058.544738420362</v>
      </c>
      <c r="D7" s="430">
        <f>+'c-505'!C22</f>
        <v>31.606651446256862</v>
      </c>
      <c r="E7" s="583"/>
      <c r="F7" s="585"/>
      <c r="G7" s="571"/>
      <c r="H7" s="580"/>
    </row>
    <row r="10" spans="2:8" ht="15.6" customHeight="1" thickBot="1" x14ac:dyDescent="0.35">
      <c r="B10" s="581" t="s">
        <v>977</v>
      </c>
      <c r="C10" s="581"/>
      <c r="D10" s="581"/>
      <c r="E10" s="581"/>
      <c r="F10" s="423"/>
      <c r="G10" s="423"/>
    </row>
    <row r="11" spans="2:8" ht="18.600000000000001" customHeight="1" x14ac:dyDescent="0.3">
      <c r="B11" t="s">
        <v>979</v>
      </c>
      <c r="C11" s="422" t="s">
        <v>975</v>
      </c>
      <c r="D11" s="422" t="s">
        <v>976</v>
      </c>
      <c r="E11" t="s">
        <v>978</v>
      </c>
    </row>
    <row r="12" spans="2:8" x14ac:dyDescent="0.3">
      <c r="B12" s="417">
        <f>+B7-B6</f>
        <v>16</v>
      </c>
      <c r="C12" s="424">
        <f>+(C7/C6)^(1/B12) -1</f>
        <v>1.576526605055184E-2</v>
      </c>
      <c r="D12" s="424">
        <f>+(D7/D6) ^(1/B12) -1</f>
        <v>-1.313375285860896E-2</v>
      </c>
      <c r="E12" s="425">
        <f>+D12/C12</f>
        <v>-0.83308158685652067</v>
      </c>
    </row>
    <row r="14" spans="2:8" ht="15" thickBot="1" x14ac:dyDescent="0.35">
      <c r="B14" t="s">
        <v>1001</v>
      </c>
    </row>
    <row r="15" spans="2:8" ht="28.8" customHeight="1" thickBot="1" x14ac:dyDescent="0.35">
      <c r="B15" s="434" t="s">
        <v>980</v>
      </c>
      <c r="C15" s="435" t="s">
        <v>982</v>
      </c>
      <c r="D15" s="586" t="s">
        <v>981</v>
      </c>
      <c r="E15" s="586"/>
      <c r="F15" s="587"/>
    </row>
    <row r="16" spans="2:8" ht="25.8" customHeight="1" x14ac:dyDescent="0.3">
      <c r="B16" s="440" t="s">
        <v>983</v>
      </c>
      <c r="C16" s="441" t="s">
        <v>991</v>
      </c>
      <c r="D16" s="588" t="s">
        <v>984</v>
      </c>
      <c r="E16" s="589"/>
      <c r="F16" s="590"/>
    </row>
    <row r="17" spans="2:6" ht="25.8" customHeight="1" x14ac:dyDescent="0.3">
      <c r="B17" s="437" t="s">
        <v>985</v>
      </c>
      <c r="C17" s="436" t="s">
        <v>992</v>
      </c>
      <c r="D17" s="565" t="s">
        <v>996</v>
      </c>
      <c r="E17" s="566"/>
      <c r="F17" s="567"/>
    </row>
    <row r="18" spans="2:6" ht="25.8" customHeight="1" x14ac:dyDescent="0.3">
      <c r="B18" s="437" t="s">
        <v>986</v>
      </c>
      <c r="C18" s="436" t="s">
        <v>993</v>
      </c>
      <c r="D18" s="565" t="s">
        <v>997</v>
      </c>
      <c r="E18" s="566"/>
      <c r="F18" s="567"/>
    </row>
    <row r="19" spans="2:6" ht="25.8" customHeight="1" x14ac:dyDescent="0.3">
      <c r="B19" s="437" t="s">
        <v>987</v>
      </c>
      <c r="C19" s="436" t="s">
        <v>994</v>
      </c>
      <c r="D19" s="565" t="s">
        <v>998</v>
      </c>
      <c r="E19" s="566"/>
      <c r="F19" s="567"/>
    </row>
    <row r="20" spans="2:6" ht="26.4" customHeight="1" thickBot="1" x14ac:dyDescent="0.35">
      <c r="B20" s="438" t="s">
        <v>988</v>
      </c>
      <c r="C20" s="439" t="s">
        <v>995</v>
      </c>
      <c r="D20" s="572" t="s">
        <v>999</v>
      </c>
      <c r="E20" s="573"/>
      <c r="F20" s="574"/>
    </row>
  </sheetData>
  <mergeCells count="17">
    <mergeCell ref="D20:F20"/>
    <mergeCell ref="C4:C5"/>
    <mergeCell ref="D4:D5"/>
    <mergeCell ref="G4:G5"/>
    <mergeCell ref="H4:H5"/>
    <mergeCell ref="H6:H7"/>
    <mergeCell ref="B10:E10"/>
    <mergeCell ref="E6:E7"/>
    <mergeCell ref="F6:F7"/>
    <mergeCell ref="D15:F15"/>
    <mergeCell ref="D16:F16"/>
    <mergeCell ref="D17:F17"/>
    <mergeCell ref="D18:F18"/>
    <mergeCell ref="D19:F19"/>
    <mergeCell ref="B1:H2"/>
    <mergeCell ref="B4:B5"/>
    <mergeCell ref="G6:G7"/>
  </mergeCells>
  <conditionalFormatting sqref="B16:B20">
    <cfRule type="duplicateValues" dxfId="8" priority="1"/>
  </conditionalFormatting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8B23F-811F-4E63-8484-205CE23F2BEF}">
  <dimension ref="B1:O47"/>
  <sheetViews>
    <sheetView workbookViewId="0"/>
  </sheetViews>
  <sheetFormatPr baseColWidth="10" defaultRowHeight="14.4" x14ac:dyDescent="0.3"/>
  <cols>
    <col min="2" max="2" width="22.109375" customWidth="1"/>
    <col min="3" max="3" width="22" customWidth="1"/>
    <col min="4" max="4" width="17.44140625" customWidth="1"/>
    <col min="5" max="5" width="14.77734375" customWidth="1"/>
    <col min="6" max="6" width="17.33203125" customWidth="1"/>
    <col min="7" max="7" width="14.5546875" customWidth="1"/>
    <col min="8" max="8" width="16" customWidth="1"/>
    <col min="9" max="9" width="13.5546875" customWidth="1"/>
    <col min="11" max="11" width="20.5546875" customWidth="1"/>
    <col min="12" max="12" width="17.5546875" customWidth="1"/>
    <col min="15" max="15" width="38.33203125" customWidth="1"/>
  </cols>
  <sheetData>
    <row r="1" spans="2:15" x14ac:dyDescent="0.3">
      <c r="C1" s="563" t="s">
        <v>1000</v>
      </c>
      <c r="D1" s="563"/>
      <c r="E1" s="563"/>
      <c r="F1" s="563"/>
    </row>
    <row r="2" spans="2:15" ht="15" thickBot="1" x14ac:dyDescent="0.35">
      <c r="C2" s="563"/>
      <c r="D2" s="563"/>
      <c r="E2" s="563"/>
      <c r="F2" s="563"/>
      <c r="K2" t="s">
        <v>1001</v>
      </c>
    </row>
    <row r="3" spans="2:15" ht="18.600000000000001" customHeight="1" thickBot="1" x14ac:dyDescent="0.35">
      <c r="C3" s="443"/>
      <c r="D3" s="339"/>
      <c r="E3" s="339"/>
      <c r="F3" s="339"/>
      <c r="K3" s="434" t="s">
        <v>980</v>
      </c>
      <c r="L3" s="442" t="s">
        <v>982</v>
      </c>
      <c r="M3" s="586" t="s">
        <v>981</v>
      </c>
      <c r="N3" s="586"/>
      <c r="O3" s="587"/>
    </row>
    <row r="4" spans="2:15" ht="18.600000000000001" customHeight="1" x14ac:dyDescent="0.4">
      <c r="B4" s="599" t="s">
        <v>1002</v>
      </c>
      <c r="C4" s="604" t="s">
        <v>849</v>
      </c>
      <c r="D4" s="575" t="s">
        <v>989</v>
      </c>
      <c r="E4" s="575" t="s">
        <v>968</v>
      </c>
      <c r="F4" s="426" t="s">
        <v>990</v>
      </c>
      <c r="G4" s="575" t="s">
        <v>971</v>
      </c>
      <c r="H4" s="577" t="s">
        <v>972</v>
      </c>
      <c r="K4" s="440" t="s">
        <v>983</v>
      </c>
      <c r="L4" s="441" t="s">
        <v>991</v>
      </c>
      <c r="M4" s="601" t="s">
        <v>984</v>
      </c>
      <c r="N4" s="602"/>
      <c r="O4" s="603"/>
    </row>
    <row r="5" spans="2:15" ht="20.399999999999999" customHeight="1" thickBot="1" x14ac:dyDescent="0.45">
      <c r="B5" s="600"/>
      <c r="C5" s="605"/>
      <c r="D5" s="576"/>
      <c r="E5" s="576"/>
      <c r="F5" s="427" t="s">
        <v>967</v>
      </c>
      <c r="G5" s="576"/>
      <c r="H5" s="578"/>
      <c r="K5" s="437" t="s">
        <v>985</v>
      </c>
      <c r="L5" s="436" t="s">
        <v>992</v>
      </c>
      <c r="M5" s="565" t="s">
        <v>996</v>
      </c>
      <c r="N5" s="566"/>
      <c r="O5" s="567"/>
    </row>
    <row r="6" spans="2:15" ht="18.899999999999999" customHeight="1" x14ac:dyDescent="0.35">
      <c r="B6" s="596" t="str">
        <f>+'c-503'!A6</f>
        <v>TRUJILLO</v>
      </c>
      <c r="C6" s="453">
        <v>2007</v>
      </c>
      <c r="D6" s="454">
        <v>8803.1484016765935</v>
      </c>
      <c r="E6" s="457">
        <f>+'c-503'!B6</f>
        <v>20.085515000000001</v>
      </c>
      <c r="F6" s="594">
        <f>+AVERAGE('c-505'!E7:E22) *100</f>
        <v>1.657551473935863</v>
      </c>
      <c r="G6" s="570">
        <f>+C36</f>
        <v>-1.3785812578637278</v>
      </c>
      <c r="H6" s="579" t="str">
        <f>IF(G6&lt;-1,"Pro-pobre fuerte",IF(G6&lt;0,"Pro-pobre débil",IF(G6=0,"Neutro",IF(F6&gt;0,"Por goteo","Empobrecedor"))))</f>
        <v>Pro-pobre fuerte</v>
      </c>
      <c r="K6" s="437" t="s">
        <v>986</v>
      </c>
      <c r="L6" s="436" t="s">
        <v>993</v>
      </c>
      <c r="M6" s="565" t="s">
        <v>997</v>
      </c>
      <c r="N6" s="566"/>
      <c r="O6" s="567"/>
    </row>
    <row r="7" spans="2:15" ht="18.899999999999999" customHeight="1" thickBot="1" x14ac:dyDescent="0.4">
      <c r="B7" s="598"/>
      <c r="C7" s="455">
        <v>2018</v>
      </c>
      <c r="D7" s="456">
        <v>11058.544738420362</v>
      </c>
      <c r="E7" s="458">
        <f>+'c-503'!D6</f>
        <v>14.55</v>
      </c>
      <c r="F7" s="595"/>
      <c r="G7" s="571"/>
      <c r="H7" s="580"/>
      <c r="K7" s="437" t="s">
        <v>987</v>
      </c>
      <c r="L7" s="436" t="s">
        <v>994</v>
      </c>
      <c r="M7" s="565" t="s">
        <v>998</v>
      </c>
      <c r="N7" s="566"/>
      <c r="O7" s="567"/>
    </row>
    <row r="8" spans="2:15" ht="18.899999999999999" customHeight="1" thickBot="1" x14ac:dyDescent="0.4">
      <c r="B8" s="596" t="str">
        <f>+'c-503'!A7</f>
        <v>ASCOPE</v>
      </c>
      <c r="C8" s="453">
        <v>2007</v>
      </c>
      <c r="D8" s="454">
        <v>8803.1484016765935</v>
      </c>
      <c r="E8" s="457">
        <f>+'c-503'!B7</f>
        <v>25.755697999999999</v>
      </c>
      <c r="F8" s="594">
        <f>+AVERAGE('c-505'!E7:E22) *100</f>
        <v>1.657551473935863</v>
      </c>
      <c r="G8" s="570">
        <f>+C37</f>
        <v>-0.62102047515497194</v>
      </c>
      <c r="H8" s="579" t="str">
        <f>IF(G8&lt;-1,"Pro-pobre fuerte",IF(G8&lt;0,"Pro-pobre débil",IF(G8=0,"Neutro",IF(F8&gt;0,"Por goteo","Empobrecedor"))))</f>
        <v>Pro-pobre débil</v>
      </c>
      <c r="K8" s="438" t="s">
        <v>988</v>
      </c>
      <c r="L8" s="439" t="s">
        <v>995</v>
      </c>
      <c r="M8" s="572" t="s">
        <v>999</v>
      </c>
      <c r="N8" s="573"/>
      <c r="O8" s="574"/>
    </row>
    <row r="9" spans="2:15" ht="18.899999999999999" customHeight="1" thickBot="1" x14ac:dyDescent="0.4">
      <c r="B9" s="598"/>
      <c r="C9" s="455">
        <v>2018</v>
      </c>
      <c r="D9" s="456">
        <v>11058.544738420362</v>
      </c>
      <c r="E9" s="458">
        <f>+'c-503'!D7</f>
        <v>22.299999999999997</v>
      </c>
      <c r="F9" s="595"/>
      <c r="G9" s="571"/>
      <c r="H9" s="580"/>
      <c r="K9" s="443"/>
      <c r="L9" s="444"/>
      <c r="M9" s="445"/>
      <c r="N9" s="445"/>
      <c r="O9" s="445"/>
    </row>
    <row r="10" spans="2:15" ht="18.899999999999999" customHeight="1" x14ac:dyDescent="0.35">
      <c r="B10" s="596" t="str">
        <f>+'c-503'!A8</f>
        <v>BOLIVAR</v>
      </c>
      <c r="C10" s="453">
        <v>2007</v>
      </c>
      <c r="D10" s="454">
        <v>8803.1484016765935</v>
      </c>
      <c r="E10" s="457">
        <f>+'c-503'!B8</f>
        <v>77.612793999999994</v>
      </c>
      <c r="F10" s="594">
        <f>+AVERAGE('c-505'!E7:E22) *100</f>
        <v>1.657551473935863</v>
      </c>
      <c r="G10" s="570">
        <f>+C38</f>
        <v>-1.6464616310080251</v>
      </c>
      <c r="H10" s="579" t="str">
        <f>IF(G10&lt;-1,"Pro-pobre fuerte",IF(G10&lt;0,"Pro-pobre débil",IF(G10=0,"Neutro",IF(F10&gt;0,"Por goteo","Empobrecedor"))))</f>
        <v>Pro-pobre fuerte</v>
      </c>
      <c r="K10" s="443"/>
      <c r="L10" s="444"/>
      <c r="M10" s="445"/>
      <c r="N10" s="445"/>
      <c r="O10" s="445"/>
    </row>
    <row r="11" spans="2:15" ht="18.899999999999999" customHeight="1" thickBot="1" x14ac:dyDescent="0.4">
      <c r="B11" s="598"/>
      <c r="C11" s="455">
        <v>2018</v>
      </c>
      <c r="D11" s="456">
        <v>11058.544738420362</v>
      </c>
      <c r="E11" s="458">
        <f>+'c-503'!D8</f>
        <v>52.75</v>
      </c>
      <c r="F11" s="595"/>
      <c r="G11" s="571"/>
      <c r="H11" s="580"/>
      <c r="K11" s="443"/>
      <c r="L11" s="444"/>
      <c r="M11" s="445"/>
      <c r="N11" s="445"/>
      <c r="O11" s="445"/>
    </row>
    <row r="12" spans="2:15" ht="18.899999999999999" customHeight="1" x14ac:dyDescent="0.35">
      <c r="B12" s="596" t="str">
        <f>+'c-503'!A9</f>
        <v>CHEPEN</v>
      </c>
      <c r="C12" s="453">
        <v>2007</v>
      </c>
      <c r="D12" s="454">
        <v>8803.1484016765935</v>
      </c>
      <c r="E12" s="457">
        <f>+'c-503'!B9</f>
        <v>36.116833999999997</v>
      </c>
      <c r="F12" s="594">
        <f>+AVERAGE('c-505'!E7:E22) *100</f>
        <v>1.657551473935863</v>
      </c>
      <c r="G12" s="570">
        <f>+C39</f>
        <v>-1.3008269854916492</v>
      </c>
      <c r="H12" s="579" t="str">
        <f>IF(G12&lt;-1,"Pro-pobre fuerte",IF(G12&lt;0,"Pro-pobre débil",IF(G12=0,"Neutro",IF(F12&gt;0,"Por goteo","Empobrecedor"))))</f>
        <v>Pro-pobre fuerte</v>
      </c>
      <c r="K12" s="443"/>
      <c r="L12" s="444"/>
      <c r="M12" s="445"/>
      <c r="N12" s="445"/>
      <c r="O12" s="445"/>
    </row>
    <row r="13" spans="2:15" ht="18.899999999999999" customHeight="1" thickBot="1" x14ac:dyDescent="0.4">
      <c r="B13" s="598"/>
      <c r="C13" s="455">
        <v>2018</v>
      </c>
      <c r="D13" s="456">
        <v>11058.544738420362</v>
      </c>
      <c r="E13" s="458">
        <f>+'c-503'!D9</f>
        <v>26.65</v>
      </c>
      <c r="F13" s="595"/>
      <c r="G13" s="571"/>
      <c r="H13" s="580"/>
      <c r="K13" s="443"/>
      <c r="L13" s="444"/>
      <c r="M13" s="445"/>
      <c r="N13" s="445"/>
      <c r="O13" s="445"/>
    </row>
    <row r="14" spans="2:15" ht="18.899999999999999" customHeight="1" x14ac:dyDescent="0.35">
      <c r="B14" s="596" t="str">
        <f>+'c-503'!A10</f>
        <v>JULCAN</v>
      </c>
      <c r="C14" s="453">
        <v>2007</v>
      </c>
      <c r="D14" s="454">
        <v>8803.1484016765935</v>
      </c>
      <c r="E14" s="457">
        <f>+'c-503'!B10</f>
        <v>73.680940000000007</v>
      </c>
      <c r="F14" s="594">
        <f>+AVERAGE('c-505'!E7:E22) *100</f>
        <v>1.657551473935863</v>
      </c>
      <c r="G14" s="570">
        <f>+C40</f>
        <v>-1.4964835213964283</v>
      </c>
      <c r="H14" s="579" t="str">
        <f>IF(G14&lt;-1,"Pro-pobre fuerte",IF(G14&lt;0,"Pro-pobre débil",IF(G14=0,"Neutro",IF(F14&gt;0,"Por goteo","Empobrecedor"))))</f>
        <v>Pro-pobre fuerte</v>
      </c>
      <c r="K14" s="443"/>
      <c r="L14" s="444"/>
      <c r="M14" s="445"/>
      <c r="N14" s="445"/>
      <c r="O14" s="445"/>
    </row>
    <row r="15" spans="2:15" ht="18.899999999999999" customHeight="1" thickBot="1" x14ac:dyDescent="0.4">
      <c r="B15" s="598"/>
      <c r="C15" s="455">
        <v>2018</v>
      </c>
      <c r="D15" s="456">
        <v>11058.544738420362</v>
      </c>
      <c r="E15" s="458">
        <f>+'c-503'!D10</f>
        <v>51.900000000000006</v>
      </c>
      <c r="F15" s="595"/>
      <c r="G15" s="571"/>
      <c r="H15" s="580"/>
      <c r="K15" s="443"/>
      <c r="L15" s="444"/>
      <c r="M15" s="445"/>
      <c r="N15" s="445"/>
      <c r="O15" s="445"/>
    </row>
    <row r="16" spans="2:15" ht="18.899999999999999" customHeight="1" x14ac:dyDescent="0.35">
      <c r="B16" s="596" t="str">
        <f>+'c-503'!A11</f>
        <v>OTUZCO</v>
      </c>
      <c r="C16" s="453">
        <v>2007</v>
      </c>
      <c r="D16" s="454">
        <v>8803.1484016765935</v>
      </c>
      <c r="E16" s="457">
        <f>+'c-503'!B11</f>
        <v>68.548835999999994</v>
      </c>
      <c r="F16" s="594">
        <f>+AVERAGE('c-505'!E7:E22) *100</f>
        <v>1.657551473935863</v>
      </c>
      <c r="G16" s="570">
        <f>+C41</f>
        <v>-1.5785934256425826</v>
      </c>
      <c r="H16" s="579" t="str">
        <f>IF(G16&lt;-1,"Pro-pobre fuerte",IF(G16&lt;0,"Pro-pobre débil",IF(G16=0,"Neutro",IF(F16&gt;0,"Por goteo","Empobrecedor"))))</f>
        <v>Pro-pobre fuerte</v>
      </c>
      <c r="K16" s="443"/>
      <c r="L16" s="444"/>
      <c r="M16" s="445"/>
      <c r="N16" s="445"/>
      <c r="O16" s="445"/>
    </row>
    <row r="17" spans="2:15" ht="18.899999999999999" customHeight="1" thickBot="1" x14ac:dyDescent="0.4">
      <c r="B17" s="598"/>
      <c r="C17" s="455">
        <v>2018</v>
      </c>
      <c r="D17" s="456">
        <v>11058.544738420362</v>
      </c>
      <c r="E17" s="458">
        <f>+'c-503'!D11</f>
        <v>47.349999999999994</v>
      </c>
      <c r="F17" s="595"/>
      <c r="G17" s="571"/>
      <c r="H17" s="580"/>
      <c r="K17" s="443"/>
      <c r="L17" s="444"/>
      <c r="M17" s="445"/>
      <c r="N17" s="445"/>
      <c r="O17" s="445"/>
    </row>
    <row r="18" spans="2:15" ht="18.899999999999999" customHeight="1" x14ac:dyDescent="0.35">
      <c r="B18" s="596" t="str">
        <f>+'c-503'!A12</f>
        <v>PACASMAYO</v>
      </c>
      <c r="C18" s="453">
        <v>2007</v>
      </c>
      <c r="D18" s="454">
        <v>8803.1484016765935</v>
      </c>
      <c r="E18" s="457">
        <f>+'c-503'!B12</f>
        <v>32.331760000000003</v>
      </c>
      <c r="F18" s="594">
        <f>+AVERAGE('c-505'!E7:E22) *100</f>
        <v>1.657551473935863</v>
      </c>
      <c r="G18" s="570">
        <f>+C42</f>
        <v>-1.2231187779949564</v>
      </c>
      <c r="H18" s="579" t="str">
        <f>IF(G18&lt;-1,"Pro-pobre fuerte",IF(G18&lt;0,"Pro-pobre débil",IF(G18=0,"Neutro",IF(F18&gt;0,"Por goteo","Empobrecedor"))))</f>
        <v>Pro-pobre fuerte</v>
      </c>
      <c r="K18" s="443"/>
      <c r="L18" s="444"/>
      <c r="M18" s="445"/>
      <c r="N18" s="445"/>
      <c r="O18" s="445"/>
    </row>
    <row r="19" spans="2:15" ht="18.899999999999999" customHeight="1" thickBot="1" x14ac:dyDescent="0.4">
      <c r="B19" s="597"/>
      <c r="C19" s="455">
        <v>2018</v>
      </c>
      <c r="D19" s="456">
        <v>11058.544738420362</v>
      </c>
      <c r="E19" s="458">
        <f>+'c-503'!D12</f>
        <v>24.299999999999997</v>
      </c>
      <c r="F19" s="595"/>
      <c r="G19" s="571"/>
      <c r="H19" s="580"/>
      <c r="K19" s="443"/>
      <c r="L19" s="444"/>
      <c r="M19" s="445"/>
      <c r="N19" s="445"/>
      <c r="O19" s="445"/>
    </row>
    <row r="20" spans="2:15" ht="18.899999999999999" customHeight="1" x14ac:dyDescent="0.35">
      <c r="B20" s="596" t="str">
        <f>+'c-503'!A13</f>
        <v>PATAZ</v>
      </c>
      <c r="C20" s="453">
        <v>2007</v>
      </c>
      <c r="D20" s="454">
        <v>8803.1484016765935</v>
      </c>
      <c r="E20" s="457">
        <f>+'c-503'!B13</f>
        <v>73.206646000000006</v>
      </c>
      <c r="F20" s="594">
        <f>+AVERAGE('c-505'!E7:E22) *100</f>
        <v>1.657551473935863</v>
      </c>
      <c r="G20" s="570">
        <f>+C43</f>
        <v>-1.7966777937183953</v>
      </c>
      <c r="H20" s="579" t="str">
        <f>IF(G20&lt;-1,"Pro-pobre fuerte",IF(G20&lt;0,"Pro-pobre débil",IF(G20=0,"Neutro",IF(F20&gt;0,"Por goteo","Empobrecedor"))))</f>
        <v>Pro-pobre fuerte</v>
      </c>
      <c r="K20" s="443"/>
      <c r="L20" s="444"/>
      <c r="M20" s="445"/>
      <c r="N20" s="445"/>
      <c r="O20" s="445"/>
    </row>
    <row r="21" spans="2:15" ht="18.899999999999999" customHeight="1" thickBot="1" x14ac:dyDescent="0.4">
      <c r="B21" s="597"/>
      <c r="C21" s="455">
        <v>2018</v>
      </c>
      <c r="D21" s="456">
        <v>11058.544738420362</v>
      </c>
      <c r="E21" s="458">
        <f>+'c-503'!D13</f>
        <v>48</v>
      </c>
      <c r="F21" s="595"/>
      <c r="G21" s="571"/>
      <c r="H21" s="580"/>
      <c r="K21" s="443"/>
      <c r="L21" s="444"/>
      <c r="M21" s="445"/>
      <c r="N21" s="445"/>
      <c r="O21" s="445"/>
    </row>
    <row r="22" spans="2:15" ht="18.899999999999999" customHeight="1" x14ac:dyDescent="0.35">
      <c r="B22" s="596" t="str">
        <f>+'c-503'!A14</f>
        <v>SANCHEZ CARRION</v>
      </c>
      <c r="C22" s="453">
        <v>2007</v>
      </c>
      <c r="D22" s="454">
        <v>8803.1484016765935</v>
      </c>
      <c r="E22" s="457">
        <f>+'c-503'!B14</f>
        <v>83.869085999999996</v>
      </c>
      <c r="F22" s="594">
        <f>+AVERAGE('c-505'!E7:E22) *100</f>
        <v>1.657551473935863</v>
      </c>
      <c r="G22" s="570">
        <f>+C44</f>
        <v>-2.2589807515371154</v>
      </c>
      <c r="H22" s="579" t="str">
        <f>IF(G22&lt;-1,"Pro-pobre fuerte",IF(G22&lt;0,"Pro-pobre débil",IF(G22=0,"Neutro",IF(F22&gt;0,"Por goteo","Empobrecedor"))))</f>
        <v>Pro-pobre fuerte</v>
      </c>
      <c r="K22" s="443"/>
      <c r="L22" s="444"/>
      <c r="M22" s="445"/>
      <c r="N22" s="445"/>
      <c r="O22" s="445"/>
    </row>
    <row r="23" spans="2:15" ht="18.899999999999999" customHeight="1" thickBot="1" x14ac:dyDescent="0.4">
      <c r="B23" s="598"/>
      <c r="C23" s="455">
        <v>2018</v>
      </c>
      <c r="D23" s="456">
        <v>11058.544738420362</v>
      </c>
      <c r="E23" s="458">
        <f>+'c-503'!D14</f>
        <v>49.2</v>
      </c>
      <c r="F23" s="595"/>
      <c r="G23" s="571"/>
      <c r="H23" s="580"/>
      <c r="K23" s="443"/>
      <c r="L23" s="444"/>
      <c r="M23" s="445"/>
      <c r="N23" s="445"/>
      <c r="O23" s="445"/>
    </row>
    <row r="24" spans="2:15" ht="18.899999999999999" customHeight="1" x14ac:dyDescent="0.35">
      <c r="B24" s="596" t="str">
        <f>+'c-503'!A15</f>
        <v>SANTIAGO DE CHUCO</v>
      </c>
      <c r="C24" s="453">
        <v>2007</v>
      </c>
      <c r="D24" s="454">
        <v>8803.1484016765935</v>
      </c>
      <c r="E24" s="457">
        <f>+'c-503'!B15</f>
        <v>58.531388</v>
      </c>
      <c r="F24" s="594">
        <f>+AVERAGE('c-505'!E7:E22) *100</f>
        <v>1.657551473935863</v>
      </c>
      <c r="G24" s="570">
        <f>+C45</f>
        <v>-1.0109485281556643</v>
      </c>
      <c r="H24" s="579" t="str">
        <f>IF(G24&lt;-1,"Pro-pobre fuerte",IF(G24&lt;0,"Pro-pobre débil",IF(G24=0,"Neutro",IF(F24&gt;0,"Por goteo","Empobrecedor"))))</f>
        <v>Pro-pobre fuerte</v>
      </c>
      <c r="K24" s="443"/>
      <c r="L24" s="444"/>
      <c r="M24" s="445"/>
      <c r="N24" s="445"/>
      <c r="O24" s="445"/>
    </row>
    <row r="25" spans="2:15" ht="18.899999999999999" customHeight="1" thickBot="1" x14ac:dyDescent="0.4">
      <c r="B25" s="598"/>
      <c r="C25" s="455">
        <v>2018</v>
      </c>
      <c r="D25" s="456">
        <v>11058.544738420362</v>
      </c>
      <c r="E25" s="458">
        <f>+'c-503'!D15</f>
        <v>46.25</v>
      </c>
      <c r="F25" s="595"/>
      <c r="G25" s="571"/>
      <c r="H25" s="580"/>
      <c r="K25" s="443"/>
      <c r="L25" s="444"/>
      <c r="M25" s="445"/>
      <c r="N25" s="445"/>
      <c r="O25" s="445"/>
    </row>
    <row r="26" spans="2:15" ht="18.899999999999999" customHeight="1" x14ac:dyDescent="0.35">
      <c r="B26" s="592" t="str">
        <f>+'c-503'!A16</f>
        <v>GRAN CHIMU</v>
      </c>
      <c r="C26" s="453">
        <v>2007</v>
      </c>
      <c r="D26" s="454">
        <v>8803.1484016765935</v>
      </c>
      <c r="E26" s="457">
        <f>+'c-503'!B16</f>
        <v>58.637436999999998</v>
      </c>
      <c r="F26" s="594">
        <f>+AVERAGE('c-505'!E7:E22) *100</f>
        <v>1.657551473935863</v>
      </c>
      <c r="G26" s="570">
        <f>+C46</f>
        <v>-1.1964216906030829</v>
      </c>
      <c r="H26" s="579" t="str">
        <f>IF(G26&lt;-1,"Pro-pobre fuerte",IF(G26&lt;0,"Pro-pobre débil",IF(G26=0,"Neutro",IF(F26&gt;0,"Por goteo","Empobrecedor"))))</f>
        <v>Pro-pobre fuerte</v>
      </c>
      <c r="K26" s="443"/>
      <c r="L26" s="444"/>
      <c r="M26" s="445"/>
      <c r="N26" s="445"/>
      <c r="O26" s="445"/>
    </row>
    <row r="27" spans="2:15" ht="18.899999999999999" customHeight="1" thickBot="1" x14ac:dyDescent="0.4">
      <c r="B27" s="593"/>
      <c r="C27" s="455">
        <v>2018</v>
      </c>
      <c r="D27" s="456">
        <v>11058.544738420362</v>
      </c>
      <c r="E27" s="458">
        <f>+'c-503'!D16</f>
        <v>44.349999999999994</v>
      </c>
      <c r="F27" s="595"/>
      <c r="G27" s="571"/>
      <c r="H27" s="580"/>
      <c r="K27" s="443"/>
      <c r="L27" s="444"/>
      <c r="M27" s="445"/>
      <c r="N27" s="445"/>
      <c r="O27" s="445"/>
    </row>
    <row r="28" spans="2:15" ht="18.899999999999999" customHeight="1" x14ac:dyDescent="0.35">
      <c r="B28" s="596" t="str">
        <f>+'c-503'!A17</f>
        <v>VIRU</v>
      </c>
      <c r="C28" s="453">
        <v>2007</v>
      </c>
      <c r="D28" s="454">
        <v>8803.1484016765935</v>
      </c>
      <c r="E28" s="457">
        <f>+'c-503'!B17</f>
        <v>48.815461999999997</v>
      </c>
      <c r="F28" s="594">
        <f>+AVERAGE('c-505'!E7:E22) *100</f>
        <v>1.657551473935863</v>
      </c>
      <c r="G28" s="570">
        <f>+C47</f>
        <v>-1.6436494253713685</v>
      </c>
      <c r="H28" s="579" t="str">
        <f>IF(G28&lt;-1,"Pro-pobre fuerte",IF(G28&lt;0,"Pro-pobre débil",IF(G28=0,"Neutro",IF(F28&gt;0,"Por goteo","Empobrecedor"))))</f>
        <v>Pro-pobre fuerte</v>
      </c>
      <c r="K28" s="443"/>
      <c r="L28" s="444"/>
      <c r="M28" s="445"/>
      <c r="N28" s="445"/>
      <c r="O28" s="445"/>
    </row>
    <row r="29" spans="2:15" ht="18.899999999999999" customHeight="1" thickBot="1" x14ac:dyDescent="0.4">
      <c r="B29" s="597"/>
      <c r="C29" s="455">
        <v>2018</v>
      </c>
      <c r="D29" s="456">
        <v>11058.544738420362</v>
      </c>
      <c r="E29" s="458">
        <f>+'c-503'!D17</f>
        <v>33.200000000000003</v>
      </c>
      <c r="F29" s="595"/>
      <c r="G29" s="571"/>
      <c r="H29" s="580"/>
      <c r="K29" s="443"/>
      <c r="L29" s="444"/>
      <c r="M29" s="445"/>
      <c r="N29" s="445"/>
      <c r="O29" s="445"/>
    </row>
    <row r="30" spans="2:15" ht="14.4" customHeight="1" x14ac:dyDescent="0.4">
      <c r="C30" s="446"/>
      <c r="D30" s="447"/>
      <c r="E30" s="448"/>
      <c r="F30" s="449"/>
      <c r="G30" s="450"/>
      <c r="H30" s="451"/>
      <c r="K30" s="443"/>
      <c r="L30" s="444"/>
      <c r="M30" s="445"/>
      <c r="N30" s="445"/>
      <c r="O30" s="445"/>
    </row>
    <row r="31" spans="2:15" ht="14.4" customHeight="1" x14ac:dyDescent="0.4">
      <c r="B31" s="452"/>
      <c r="C31" s="446"/>
      <c r="D31" s="447"/>
      <c r="E31" s="448"/>
      <c r="F31" s="449"/>
      <c r="G31" s="450"/>
      <c r="H31" s="451"/>
      <c r="K31" s="443"/>
      <c r="L31" s="444"/>
      <c r="M31" s="445"/>
      <c r="N31" s="445"/>
      <c r="O31" s="445"/>
    </row>
    <row r="33" spans="2:14" ht="16.2" customHeight="1" x14ac:dyDescent="0.3">
      <c r="B33" s="591" t="s">
        <v>1003</v>
      </c>
      <c r="C33" s="591"/>
      <c r="D33" s="591"/>
      <c r="E33" s="591"/>
      <c r="F33" s="459" t="s">
        <v>1004</v>
      </c>
      <c r="G33" s="423">
        <f>2018-2007</f>
        <v>11</v>
      </c>
    </row>
    <row r="34" spans="2:14" ht="21.6" customHeight="1" thickBot="1" x14ac:dyDescent="0.35"/>
    <row r="35" spans="2:14" ht="25.8" customHeight="1" x14ac:dyDescent="0.3">
      <c r="B35" s="466" t="s">
        <v>1002</v>
      </c>
      <c r="C35" s="467" t="s">
        <v>1005</v>
      </c>
      <c r="D35" s="468" t="s">
        <v>972</v>
      </c>
      <c r="E35" s="460" t="s">
        <v>975</v>
      </c>
      <c r="F35" s="461" t="s">
        <v>976</v>
      </c>
    </row>
    <row r="36" spans="2:14" x14ac:dyDescent="0.3">
      <c r="B36" s="470" t="s">
        <v>941</v>
      </c>
      <c r="C36" s="469">
        <f t="shared" ref="C36:C47" si="0">+F36/E36</f>
        <v>-1.3785812578637278</v>
      </c>
      <c r="D36" s="471" t="str">
        <f>+H6</f>
        <v>Pro-pobre fuerte</v>
      </c>
      <c r="E36" s="462">
        <f>+($D$7/$D$6)^(1/$G$33) -1</f>
        <v>2.0952296950726312E-2</v>
      </c>
      <c r="F36" s="463">
        <f>+(E7/E6) ^(1/$G$33) -1</f>
        <v>-2.8884443885466626E-2</v>
      </c>
      <c r="H36" s="417"/>
      <c r="I36" s="417"/>
      <c r="J36" s="417"/>
      <c r="K36" s="417"/>
      <c r="L36" s="417"/>
      <c r="M36" s="417"/>
      <c r="N36" s="417"/>
    </row>
    <row r="37" spans="2:14" x14ac:dyDescent="0.3">
      <c r="B37" s="470" t="s">
        <v>940</v>
      </c>
      <c r="C37" s="469">
        <f t="shared" si="0"/>
        <v>-0.62102047515497194</v>
      </c>
      <c r="D37" s="471" t="str">
        <f>+H8</f>
        <v>Pro-pobre débil</v>
      </c>
      <c r="E37" s="462">
        <f>+($D$7/$D$6)^(1/$G$33) -1</f>
        <v>2.0952296950726312E-2</v>
      </c>
      <c r="F37" s="463">
        <f>+(E9/E8) ^(1/$G$33) -1</f>
        <v>-1.3011805407928123E-2</v>
      </c>
    </row>
    <row r="38" spans="2:14" ht="13.8" customHeight="1" x14ac:dyDescent="0.3">
      <c r="B38" s="470" t="s">
        <v>946</v>
      </c>
      <c r="C38" s="469">
        <f t="shared" si="0"/>
        <v>-1.6464616310080251</v>
      </c>
      <c r="D38" s="471" t="str">
        <f>+H10</f>
        <v>Pro-pobre fuerte</v>
      </c>
      <c r="E38" s="462">
        <f t="shared" ref="E38:E47" si="1">+($D$7/$D$6)^(1/$G$33) -1</f>
        <v>2.0952296950726312E-2</v>
      </c>
      <c r="F38" s="463">
        <f>+(E11/E10) ^(1/$G$33) -1</f>
        <v>-3.4497153010857318E-2</v>
      </c>
    </row>
    <row r="39" spans="2:14" x14ac:dyDescent="0.3">
      <c r="B39" s="470" t="s">
        <v>950</v>
      </c>
      <c r="C39" s="469">
        <f t="shared" si="0"/>
        <v>-1.3008269854916492</v>
      </c>
      <c r="D39" s="471" t="str">
        <f>+H12</f>
        <v>Pro-pobre fuerte</v>
      </c>
      <c r="E39" s="462">
        <f t="shared" si="1"/>
        <v>2.0952296950726312E-2</v>
      </c>
      <c r="F39" s="463">
        <f>+(E13/E12) ^(1/$G$33) -1</f>
        <v>-2.7255313281539184E-2</v>
      </c>
    </row>
    <row r="40" spans="2:14" x14ac:dyDescent="0.3">
      <c r="B40" s="470" t="s">
        <v>947</v>
      </c>
      <c r="C40" s="469">
        <f t="shared" si="0"/>
        <v>-1.4964835213964283</v>
      </c>
      <c r="D40" s="471" t="str">
        <f>+H14</f>
        <v>Pro-pobre fuerte</v>
      </c>
      <c r="E40" s="462">
        <f t="shared" si="1"/>
        <v>2.0952296950726312E-2</v>
      </c>
      <c r="F40" s="463">
        <f>+(E15/E14) ^(1/$G$33) -1</f>
        <v>-3.135476712216656E-2</v>
      </c>
    </row>
    <row r="41" spans="2:14" x14ac:dyDescent="0.3">
      <c r="B41" s="470" t="s">
        <v>939</v>
      </c>
      <c r="C41" s="469">
        <f t="shared" si="0"/>
        <v>-1.5785934256425826</v>
      </c>
      <c r="D41" s="471" t="str">
        <f>+H16</f>
        <v>Pro-pobre fuerte</v>
      </c>
      <c r="E41" s="462">
        <f t="shared" si="1"/>
        <v>2.0952296950726312E-2</v>
      </c>
      <c r="F41" s="463">
        <f>+(E17/E16) ^(1/$G$33) -1</f>
        <v>-3.3075158218527689E-2</v>
      </c>
    </row>
    <row r="42" spans="2:14" x14ac:dyDescent="0.3">
      <c r="B42" s="470" t="s">
        <v>938</v>
      </c>
      <c r="C42" s="469">
        <f t="shared" si="0"/>
        <v>-1.2231187779949564</v>
      </c>
      <c r="D42" s="471" t="str">
        <f>+H18</f>
        <v>Pro-pobre fuerte</v>
      </c>
      <c r="E42" s="462">
        <f t="shared" si="1"/>
        <v>2.0952296950726312E-2</v>
      </c>
      <c r="F42" s="463">
        <f>+(E19/E18) ^(1/$G$33) -1</f>
        <v>-2.5627147842559816E-2</v>
      </c>
    </row>
    <row r="43" spans="2:14" x14ac:dyDescent="0.3">
      <c r="B43" s="470" t="s">
        <v>937</v>
      </c>
      <c r="C43" s="469">
        <f t="shared" si="0"/>
        <v>-1.7966777937183953</v>
      </c>
      <c r="D43" s="471" t="str">
        <f>+H20</f>
        <v>Pro-pobre fuerte</v>
      </c>
      <c r="E43" s="462">
        <f t="shared" si="1"/>
        <v>2.0952296950726312E-2</v>
      </c>
      <c r="F43" s="463">
        <f>+(E21/E20) ^(1/$G$33) -1</f>
        <v>-3.7644526658763611E-2</v>
      </c>
    </row>
    <row r="44" spans="2:14" x14ac:dyDescent="0.3">
      <c r="B44" s="470" t="s">
        <v>952</v>
      </c>
      <c r="C44" s="469">
        <f t="shared" si="0"/>
        <v>-2.2589807515371154</v>
      </c>
      <c r="D44" s="471" t="str">
        <f>+H22</f>
        <v>Pro-pobre fuerte</v>
      </c>
      <c r="E44" s="462">
        <f t="shared" si="1"/>
        <v>2.0952296950726312E-2</v>
      </c>
      <c r="F44" s="463">
        <f>+(E23/E22) ^(1/$G$33) -1</f>
        <v>-4.7330835512180536E-2</v>
      </c>
    </row>
    <row r="45" spans="2:14" x14ac:dyDescent="0.3">
      <c r="B45" s="470" t="s">
        <v>936</v>
      </c>
      <c r="C45" s="469">
        <f t="shared" si="0"/>
        <v>-1.0109485281556643</v>
      </c>
      <c r="D45" s="471" t="str">
        <f>+H24</f>
        <v>Pro-pobre fuerte</v>
      </c>
      <c r="E45" s="462">
        <f t="shared" si="1"/>
        <v>2.0952296950726312E-2</v>
      </c>
      <c r="F45" s="463">
        <f>+(E25/E24) ^(1/$G$33) -1</f>
        <v>-2.1181693763817178E-2</v>
      </c>
    </row>
    <row r="46" spans="2:14" x14ac:dyDescent="0.3">
      <c r="B46" s="470" t="s">
        <v>948</v>
      </c>
      <c r="C46" s="469">
        <f t="shared" si="0"/>
        <v>-1.1964216906030829</v>
      </c>
      <c r="D46" s="471" t="str">
        <f>+H26</f>
        <v>Pro-pobre fuerte</v>
      </c>
      <c r="E46" s="462">
        <f t="shared" si="1"/>
        <v>2.0952296950726312E-2</v>
      </c>
      <c r="F46" s="463">
        <f>+(E27/E26) ^(1/$G$33) -1</f>
        <v>-2.5067782539805794E-2</v>
      </c>
    </row>
    <row r="47" spans="2:14" ht="15" thickBot="1" x14ac:dyDescent="0.35">
      <c r="B47" s="472" t="s">
        <v>949</v>
      </c>
      <c r="C47" s="473">
        <f t="shared" si="0"/>
        <v>-1.6436494253713685</v>
      </c>
      <c r="D47" s="474" t="str">
        <f>+H28</f>
        <v>Pro-pobre fuerte</v>
      </c>
      <c r="E47" s="464">
        <f t="shared" si="1"/>
        <v>2.0952296950726312E-2</v>
      </c>
      <c r="F47" s="465">
        <f>+(E29/E28) ^(1/$G$33) -1</f>
        <v>-3.4438230843271578E-2</v>
      </c>
    </row>
  </sheetData>
  <mergeCells count="62">
    <mergeCell ref="C1:F2"/>
    <mergeCell ref="C4:C5"/>
    <mergeCell ref="D4:D5"/>
    <mergeCell ref="E4:E5"/>
    <mergeCell ref="F6:F7"/>
    <mergeCell ref="M8:O8"/>
    <mergeCell ref="G4:G5"/>
    <mergeCell ref="H4:H5"/>
    <mergeCell ref="G6:G7"/>
    <mergeCell ref="H6:H7"/>
    <mergeCell ref="H8:H9"/>
    <mergeCell ref="M3:O3"/>
    <mergeCell ref="M4:O4"/>
    <mergeCell ref="M5:O5"/>
    <mergeCell ref="M6:O6"/>
    <mergeCell ref="M7:O7"/>
    <mergeCell ref="B4:B5"/>
    <mergeCell ref="B6:B7"/>
    <mergeCell ref="B8:B9"/>
    <mergeCell ref="F8:F9"/>
    <mergeCell ref="G8:G9"/>
    <mergeCell ref="B16:B17"/>
    <mergeCell ref="F16:F17"/>
    <mergeCell ref="G16:G17"/>
    <mergeCell ref="H16:H17"/>
    <mergeCell ref="B10:B11"/>
    <mergeCell ref="B14:B15"/>
    <mergeCell ref="G12:G13"/>
    <mergeCell ref="H12:H13"/>
    <mergeCell ref="F14:F15"/>
    <mergeCell ref="G14:G15"/>
    <mergeCell ref="H14:H15"/>
    <mergeCell ref="B12:B13"/>
    <mergeCell ref="F12:F13"/>
    <mergeCell ref="F10:F11"/>
    <mergeCell ref="G10:G11"/>
    <mergeCell ref="H10:H11"/>
    <mergeCell ref="B18:B19"/>
    <mergeCell ref="F18:F19"/>
    <mergeCell ref="G18:G19"/>
    <mergeCell ref="H18:H19"/>
    <mergeCell ref="B20:B21"/>
    <mergeCell ref="F20:F21"/>
    <mergeCell ref="G20:G21"/>
    <mergeCell ref="H20:H21"/>
    <mergeCell ref="B22:B23"/>
    <mergeCell ref="F22:F23"/>
    <mergeCell ref="G22:G23"/>
    <mergeCell ref="H22:H23"/>
    <mergeCell ref="B24:B25"/>
    <mergeCell ref="F24:F25"/>
    <mergeCell ref="G24:G25"/>
    <mergeCell ref="H24:H25"/>
    <mergeCell ref="B33:E33"/>
    <mergeCell ref="B26:B27"/>
    <mergeCell ref="F26:F27"/>
    <mergeCell ref="G26:G27"/>
    <mergeCell ref="H26:H27"/>
    <mergeCell ref="B28:B29"/>
    <mergeCell ref="F28:F29"/>
    <mergeCell ref="G28:G29"/>
    <mergeCell ref="H28:H29"/>
  </mergeCells>
  <conditionalFormatting sqref="K4:K31">
    <cfRule type="duplicateValues" dxfId="7" priority="3"/>
  </conditionalFormatting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C2977-387D-4CD7-B91C-5687C5344596}">
  <dimension ref="A1:U28"/>
  <sheetViews>
    <sheetView workbookViewId="0"/>
  </sheetViews>
  <sheetFormatPr baseColWidth="10" defaultRowHeight="14.4" x14ac:dyDescent="0.3"/>
  <cols>
    <col min="1" max="1" width="10.33203125" customWidth="1"/>
    <col min="2" max="2" width="18.21875" customWidth="1"/>
    <col min="3" max="3" width="31" customWidth="1"/>
    <col min="4" max="4" width="32.88671875" customWidth="1"/>
    <col min="5" max="6" width="31" customWidth="1"/>
  </cols>
  <sheetData>
    <row r="1" spans="1:21" ht="18" x14ac:dyDescent="0.3">
      <c r="A1" s="229" t="s">
        <v>1006</v>
      </c>
    </row>
    <row r="2" spans="1:21" ht="18" x14ac:dyDescent="0.3">
      <c r="A2" s="304" t="s">
        <v>1007</v>
      </c>
    </row>
    <row r="5" spans="1:21" ht="18.600000000000001" thickBot="1" x14ac:dyDescent="0.4">
      <c r="A5" s="488" t="s">
        <v>1035</v>
      </c>
      <c r="B5" s="489" t="s">
        <v>1009</v>
      </c>
      <c r="C5" s="490" t="s">
        <v>928</v>
      </c>
      <c r="D5" s="490" t="s">
        <v>929</v>
      </c>
      <c r="E5" s="491" t="s">
        <v>876</v>
      </c>
      <c r="F5" s="491" t="s">
        <v>862</v>
      </c>
    </row>
    <row r="6" spans="1:21" ht="18" x14ac:dyDescent="0.35">
      <c r="A6" s="352">
        <v>2001</v>
      </c>
      <c r="B6" s="525">
        <f>+'c-497'!B6</f>
        <v>5936.5217696629215</v>
      </c>
      <c r="C6" s="524"/>
      <c r="D6" s="524"/>
      <c r="E6" s="525">
        <f>+'c-498'!F6</f>
        <v>316286033.57553655</v>
      </c>
      <c r="F6" s="525">
        <f>+'c-497'!D6</f>
        <v>7754.6897938387201</v>
      </c>
    </row>
    <row r="7" spans="1:21" ht="18" x14ac:dyDescent="0.35">
      <c r="A7" s="352">
        <v>2002</v>
      </c>
      <c r="B7" s="525">
        <f>+'c-497'!B7</f>
        <v>6225.6502808988771</v>
      </c>
      <c r="C7" s="524"/>
      <c r="D7" s="524"/>
      <c r="E7" s="525">
        <f>+'c-498'!F7</f>
        <v>221678622.60667473</v>
      </c>
      <c r="F7" s="525">
        <f>+'c-497'!D7</f>
        <v>8736.3666180568907</v>
      </c>
    </row>
    <row r="8" spans="1:21" ht="18" x14ac:dyDescent="0.35">
      <c r="A8" s="352">
        <v>2003</v>
      </c>
      <c r="B8" s="525">
        <f>+'c-497'!B8</f>
        <v>6539.1857443820227</v>
      </c>
      <c r="C8" s="524"/>
      <c r="D8" s="524"/>
      <c r="E8" s="525">
        <f>+'c-498'!F8</f>
        <v>445227317.27849764</v>
      </c>
      <c r="F8" s="525">
        <f>+'c-497'!D8</f>
        <v>8290.4779623856666</v>
      </c>
    </row>
    <row r="9" spans="1:21" ht="18" x14ac:dyDescent="0.35">
      <c r="A9" s="352">
        <v>2004</v>
      </c>
      <c r="B9" s="525">
        <f>+'c-497'!B9</f>
        <v>6402.1313202247193</v>
      </c>
      <c r="C9" s="524">
        <f>+'c-502'!D6</f>
        <v>58.888671392946989</v>
      </c>
      <c r="D9" s="526">
        <f>+'c-502'!E6</f>
        <v>19.66580622747907</v>
      </c>
      <c r="E9" s="525">
        <f>+'c-498'!F9</f>
        <v>400825599.08987802</v>
      </c>
      <c r="F9" s="525">
        <f>+'c-497'!D9</f>
        <v>9081.5197666001277</v>
      </c>
    </row>
    <row r="10" spans="1:21" ht="18" x14ac:dyDescent="0.35">
      <c r="A10" s="352">
        <v>2005</v>
      </c>
      <c r="B10" s="525">
        <f>+'c-497'!B10</f>
        <v>6940.9617275280898</v>
      </c>
      <c r="C10" s="524">
        <f>+'c-502'!D7</f>
        <v>49.152723729699424</v>
      </c>
      <c r="D10" s="526">
        <f>+'c-502'!E7</f>
        <v>14.550285903572814</v>
      </c>
      <c r="E10" s="525">
        <f>+'c-498'!F10</f>
        <v>424940157.57925916</v>
      </c>
      <c r="F10" s="525">
        <f>+'c-497'!D10</f>
        <v>9092.2678598917628</v>
      </c>
    </row>
    <row r="11" spans="1:21" ht="18" x14ac:dyDescent="0.35">
      <c r="A11" s="352">
        <v>2006</v>
      </c>
      <c r="B11" s="525">
        <f>+'c-497'!B11</f>
        <v>7915.3623595505624</v>
      </c>
      <c r="C11" s="524">
        <f>+'c-502'!D8</f>
        <v>49.684836536338835</v>
      </c>
      <c r="D11" s="526">
        <f>+'c-502'!E8</f>
        <v>13.930988064672537</v>
      </c>
      <c r="E11" s="525">
        <f>+'c-498'!F11</f>
        <v>467488236.27474123</v>
      </c>
      <c r="F11" s="525">
        <f>+'c-497'!D11</f>
        <v>8408.7054841854679</v>
      </c>
    </row>
    <row r="12" spans="1:21" ht="18" x14ac:dyDescent="0.35">
      <c r="A12" s="352">
        <v>2007</v>
      </c>
      <c r="B12" s="525">
        <f>+'c-497'!B12</f>
        <v>8610.0217696629225</v>
      </c>
      <c r="C12" s="524">
        <f>+'c-502'!D9</f>
        <v>39.052222923290429</v>
      </c>
      <c r="D12" s="526">
        <f>+'c-502'!E9</f>
        <v>9.9556581114099725</v>
      </c>
      <c r="E12" s="525">
        <f>+'c-498'!F12</f>
        <v>586844046</v>
      </c>
      <c r="F12" s="525">
        <f>+'c-497'!D12</f>
        <v>11468.94606486072</v>
      </c>
      <c r="G12" s="415"/>
      <c r="H12" s="415"/>
      <c r="I12" s="415"/>
      <c r="J12" s="415"/>
      <c r="K12" s="415"/>
      <c r="L12" s="415"/>
      <c r="M12" s="415"/>
      <c r="N12" s="415"/>
      <c r="O12" s="415"/>
      <c r="P12" s="415"/>
      <c r="Q12" s="415"/>
      <c r="R12" s="415"/>
      <c r="S12" s="415"/>
      <c r="T12" s="415"/>
      <c r="U12" s="415"/>
    </row>
    <row r="13" spans="1:21" ht="18" x14ac:dyDescent="0.35">
      <c r="A13" s="352">
        <v>2008</v>
      </c>
      <c r="B13" s="525">
        <f>+'c-497'!B13</f>
        <v>9150.7296348314612</v>
      </c>
      <c r="C13" s="524">
        <f>+'c-502'!D10</f>
        <v>38.586058393561004</v>
      </c>
      <c r="D13" s="526">
        <f>+'c-502'!E10</f>
        <v>13.492516865508932</v>
      </c>
      <c r="E13" s="525">
        <f>+'c-498'!F13</f>
        <v>722791437.38209403</v>
      </c>
      <c r="F13" s="525">
        <f>+'c-497'!D13</f>
        <v>10563.52160814644</v>
      </c>
    </row>
    <row r="14" spans="1:21" ht="18" x14ac:dyDescent="0.35">
      <c r="A14" s="352">
        <v>2009</v>
      </c>
      <c r="B14" s="525">
        <f>+'c-497'!B14</f>
        <v>9233.3377808988771</v>
      </c>
      <c r="C14" s="524">
        <f>+'c-502'!D11</f>
        <v>35.158676013994906</v>
      </c>
      <c r="D14" s="526">
        <f>+'c-502'!E11</f>
        <v>10.919167417955892</v>
      </c>
      <c r="E14" s="525">
        <f>+'c-498'!F14</f>
        <v>840470062.45199013</v>
      </c>
      <c r="F14" s="525">
        <f>+'c-497'!D14</f>
        <v>12556.89226213071</v>
      </c>
    </row>
    <row r="15" spans="1:21" ht="18" x14ac:dyDescent="0.35">
      <c r="A15" s="352">
        <v>2010</v>
      </c>
      <c r="B15" s="525">
        <f>+'c-497'!B15</f>
        <v>9711</v>
      </c>
      <c r="C15" s="524">
        <f>+'c-502'!D12</f>
        <v>31.421462204705712</v>
      </c>
      <c r="D15" s="526">
        <f>+'c-502'!E12</f>
        <v>9.7145203174804617</v>
      </c>
      <c r="E15" s="525">
        <f>+'c-498'!F15</f>
        <v>996513063.17282891</v>
      </c>
      <c r="F15" s="525">
        <f>+'c-497'!D15</f>
        <v>11420.571580537877</v>
      </c>
    </row>
    <row r="16" spans="1:21" ht="18" x14ac:dyDescent="0.35">
      <c r="A16" s="352">
        <v>2011</v>
      </c>
      <c r="B16" s="525">
        <f>+'c-497'!B16</f>
        <v>10040</v>
      </c>
      <c r="C16" s="524">
        <f>+'c-502'!D13</f>
        <v>29.369508103888737</v>
      </c>
      <c r="D16" s="526">
        <f>+'c-502'!E13</f>
        <v>8.2098441776883853</v>
      </c>
      <c r="E16" s="525">
        <f>+'c-498'!F16</f>
        <v>993040556.997756</v>
      </c>
      <c r="F16" s="525">
        <f>+'c-497'!D16</f>
        <v>10766.309715363643</v>
      </c>
    </row>
    <row r="17" spans="1:6" ht="18" x14ac:dyDescent="0.35">
      <c r="A17" s="352">
        <v>2012</v>
      </c>
      <c r="B17" s="525">
        <f>+'c-497'!B17</f>
        <v>10694</v>
      </c>
      <c r="C17" s="524">
        <f>+'c-502'!D14</f>
        <v>30.632667445922465</v>
      </c>
      <c r="D17" s="526">
        <f>+'c-502'!E14</f>
        <v>8.4145805327891612</v>
      </c>
      <c r="E17" s="525">
        <f>+'c-498'!F17</f>
        <v>1183683603.517777</v>
      </c>
      <c r="F17" s="525">
        <f>+'c-497'!D17</f>
        <v>11891.4155612016</v>
      </c>
    </row>
    <row r="18" spans="1:6" ht="18" x14ac:dyDescent="0.35">
      <c r="A18" s="352">
        <v>2013</v>
      </c>
      <c r="B18" s="525">
        <f>+'c-497'!B18</f>
        <v>11034</v>
      </c>
      <c r="C18" s="524">
        <f>+'c-502'!D15</f>
        <v>29.456005664685286</v>
      </c>
      <c r="D18" s="526">
        <f>+'c-502'!E15</f>
        <v>7.4957035110124703</v>
      </c>
      <c r="E18" s="525">
        <f>+'c-498'!F18</f>
        <v>1246905039.0128293</v>
      </c>
      <c r="F18" s="525">
        <f>+'c-497'!D18</f>
        <v>12230.871694234407</v>
      </c>
    </row>
    <row r="19" spans="1:6" ht="18" x14ac:dyDescent="0.35">
      <c r="A19" s="352">
        <v>2014</v>
      </c>
      <c r="B19" s="525">
        <f>+'c-497'!B19</f>
        <v>11052</v>
      </c>
      <c r="C19" s="524">
        <f>+'c-502'!D16</f>
        <v>27.422392365577302</v>
      </c>
      <c r="D19" s="526">
        <f>+'c-502'!E16</f>
        <v>5.4644378214137079</v>
      </c>
      <c r="E19" s="525">
        <f>+'c-498'!F19</f>
        <v>1306583209.7478817</v>
      </c>
      <c r="F19" s="525">
        <f>+'c-497'!D19</f>
        <v>12537.008708212585</v>
      </c>
    </row>
    <row r="20" spans="1:6" ht="18" x14ac:dyDescent="0.35">
      <c r="A20" s="352">
        <v>2015</v>
      </c>
      <c r="B20" s="525">
        <f>+'c-497'!B20</f>
        <v>11132</v>
      </c>
      <c r="C20" s="524">
        <f>+'c-502'!D17</f>
        <v>25.860357188646585</v>
      </c>
      <c r="D20" s="526">
        <f>+'c-502'!E17</f>
        <v>6.3056648540833855</v>
      </c>
      <c r="E20" s="525">
        <f>+'c-498'!F20</f>
        <v>1253331659.2292576</v>
      </c>
      <c r="F20" s="525">
        <f>+'c-497'!D20</f>
        <v>12616.571719733949</v>
      </c>
    </row>
    <row r="21" spans="1:6" ht="18" x14ac:dyDescent="0.35">
      <c r="A21" s="352">
        <v>2016</v>
      </c>
      <c r="B21" s="525">
        <f>+'c-497'!B21</f>
        <v>11019</v>
      </c>
      <c r="C21" s="524">
        <f>+'c-502'!D18</f>
        <v>24.468292255118257</v>
      </c>
      <c r="D21" s="526">
        <f>+'c-502'!E18</f>
        <v>4.4435021042281022</v>
      </c>
      <c r="E21" s="525">
        <f>+'c-498'!F21</f>
        <v>1362163550.5952706</v>
      </c>
      <c r="F21" s="525">
        <f>+'c-497'!D21</f>
        <v>13051.596802365868</v>
      </c>
    </row>
    <row r="22" spans="1:6" ht="18" x14ac:dyDescent="0.35">
      <c r="A22" s="352">
        <v>2017</v>
      </c>
      <c r="B22" s="525">
        <f>+'c-497'!B22</f>
        <v>10969</v>
      </c>
      <c r="C22" s="524">
        <f>+'c-502'!D19</f>
        <v>23.483814761833003</v>
      </c>
      <c r="D22" s="526">
        <f>+'c-502'!E19</f>
        <v>4.3425362593290755</v>
      </c>
      <c r="E22" s="525">
        <f>+'c-498'!F22</f>
        <v>1489335661.4907095</v>
      </c>
      <c r="F22" s="525">
        <f>+'c-497'!D22</f>
        <v>13147.573598380392</v>
      </c>
    </row>
    <row r="23" spans="1:6" ht="18" x14ac:dyDescent="0.35">
      <c r="A23" s="352">
        <v>2018</v>
      </c>
      <c r="B23" s="525">
        <f>+'c-497'!B23</f>
        <v>11267</v>
      </c>
      <c r="C23" s="524">
        <f>+'c-502'!D20</f>
        <v>20.830604464164715</v>
      </c>
      <c r="D23" s="526">
        <f>+'c-502'!E20</f>
        <v>3.2352450745834633</v>
      </c>
      <c r="E23" s="525">
        <f>+'c-498'!F23</f>
        <v>1466000237.0406699</v>
      </c>
      <c r="F23" s="525">
        <f>+'c-497'!D23</f>
        <v>12976.770777580981</v>
      </c>
    </row>
    <row r="24" spans="1:6" ht="18" x14ac:dyDescent="0.35">
      <c r="A24" s="352">
        <v>2019</v>
      </c>
      <c r="B24" s="525">
        <f>+'c-497'!B24</f>
        <v>11434</v>
      </c>
      <c r="C24" s="524">
        <f>+'c-502'!D21</f>
        <v>24.729512094054709</v>
      </c>
      <c r="D24" s="526">
        <f>+'c-502'!E21</f>
        <v>6.2632455575121702</v>
      </c>
      <c r="E24" s="525">
        <f>+'c-498'!F24</f>
        <v>1489009623.6924295</v>
      </c>
      <c r="F24" s="525">
        <f>+'c-497'!D24</f>
        <v>13130.981173660373</v>
      </c>
    </row>
    <row r="25" spans="1:6" ht="18" x14ac:dyDescent="0.35">
      <c r="A25" s="352">
        <v>2020</v>
      </c>
      <c r="B25" s="525">
        <f>+'c-497'!B25</f>
        <v>10524</v>
      </c>
      <c r="C25" s="524">
        <f>+'c-502'!D22</f>
        <v>31.929651502259276</v>
      </c>
      <c r="D25" s="526">
        <f>+'c-502'!E22</f>
        <v>6.1790078340642554</v>
      </c>
      <c r="E25" s="525">
        <f>+'c-498'!F25</f>
        <v>1809289771.9500299</v>
      </c>
      <c r="F25" s="525">
        <f>+'c-497'!D25</f>
        <v>11301.378315238799</v>
      </c>
    </row>
    <row r="26" spans="1:6" ht="18" x14ac:dyDescent="0.35">
      <c r="A26" s="352">
        <v>2021</v>
      </c>
      <c r="B26" s="525">
        <f>+'c-497'!B26</f>
        <v>11487</v>
      </c>
      <c r="C26" s="524">
        <f>+'c-502'!D23</f>
        <v>26.763162920657628</v>
      </c>
      <c r="D26" s="526">
        <f>+'c-502'!E23</f>
        <v>5.8192720266070284</v>
      </c>
      <c r="E26" s="525">
        <f>+'c-498'!F26</f>
        <v>2122001737.0032959</v>
      </c>
      <c r="F26" s="525">
        <f>+'c-497'!D26</f>
        <v>12369.661090268286</v>
      </c>
    </row>
    <row r="27" spans="1:6" ht="18" x14ac:dyDescent="0.35">
      <c r="A27" s="352">
        <v>2022</v>
      </c>
      <c r="B27" s="525">
        <f>+'c-497'!B27</f>
        <v>11501</v>
      </c>
      <c r="C27" s="524">
        <f>+'c-502'!D24</f>
        <v>28.414148782991894</v>
      </c>
      <c r="D27" s="526">
        <f>+'c-502'!E24</f>
        <v>4.3763711307984767</v>
      </c>
      <c r="E27" s="525">
        <f>+'c-498'!F27</f>
        <v>1958661629.6645412</v>
      </c>
      <c r="F27" s="525">
        <f>+'c-497'!D27</f>
        <v>12343.208414507022</v>
      </c>
    </row>
    <row r="28" spans="1:6" ht="18" x14ac:dyDescent="0.35">
      <c r="A28" s="352">
        <v>2023</v>
      </c>
      <c r="B28" s="525">
        <f>+'c-497'!B28</f>
        <v>11058.544738420362</v>
      </c>
      <c r="C28" s="524">
        <f>+'c-502'!D25</f>
        <v>31.606651446256862</v>
      </c>
      <c r="D28" s="526">
        <f>+'c-502'!E25</f>
        <v>6.9678318423750785</v>
      </c>
      <c r="E28" s="525">
        <f>+'c-498'!F28</f>
        <v>1912460399.4722166</v>
      </c>
      <c r="F28" s="525">
        <f>+'c-497'!D28</f>
        <v>12105.770157524932</v>
      </c>
    </row>
  </sheetData>
  <phoneticPr fontId="38" type="noConversion"/>
  <pageMargins left="0.7" right="0.7" top="0.75" bottom="0.75" header="0.3" footer="0.3"/>
  <ignoredErrors>
    <ignoredError sqref="B6:B28 F6:F11" calculatedColumn="1"/>
  </ignoredErrors>
  <tableParts count="1">
    <tablePart r:id="rId1"/>
  </tableParts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E7F4B-630F-4590-B08A-846136284EAD}">
  <dimension ref="A2:BQ8"/>
  <sheetViews>
    <sheetView workbookViewId="0"/>
  </sheetViews>
  <sheetFormatPr baseColWidth="10" defaultRowHeight="14.4" x14ac:dyDescent="0.3"/>
  <cols>
    <col min="1" max="1" width="26.77734375" customWidth="1"/>
    <col min="2" max="4" width="16" customWidth="1"/>
    <col min="5" max="5" width="17.88671875" customWidth="1"/>
    <col min="6" max="8" width="16" customWidth="1"/>
    <col min="9" max="9" width="17.88671875" customWidth="1"/>
    <col min="10" max="12" width="16" customWidth="1"/>
    <col min="13" max="13" width="17.88671875" customWidth="1"/>
    <col min="14" max="16" width="16" customWidth="1"/>
    <col min="17" max="17" width="17.88671875" customWidth="1"/>
    <col min="18" max="20" width="16" customWidth="1"/>
    <col min="21" max="21" width="17.88671875" customWidth="1"/>
    <col min="22" max="24" width="16" customWidth="1"/>
    <col min="25" max="25" width="17.88671875" customWidth="1"/>
    <col min="26" max="28" width="16" customWidth="1"/>
    <col min="29" max="29" width="17.88671875" customWidth="1"/>
    <col min="30" max="31" width="16" customWidth="1"/>
    <col min="32" max="32" width="17.44140625" customWidth="1"/>
    <col min="33" max="33" width="17.88671875" customWidth="1"/>
    <col min="34" max="36" width="16" customWidth="1"/>
    <col min="37" max="37" width="17.88671875" customWidth="1"/>
    <col min="38" max="40" width="16" customWidth="1"/>
    <col min="41" max="41" width="19" customWidth="1"/>
    <col min="42" max="44" width="16" customWidth="1"/>
    <col min="45" max="45" width="19" customWidth="1"/>
    <col min="46" max="48" width="16" customWidth="1"/>
    <col min="49" max="49" width="17.21875" customWidth="1"/>
    <col min="50" max="52" width="16" customWidth="1"/>
    <col min="53" max="53" width="17.21875" customWidth="1"/>
    <col min="54" max="56" width="16" customWidth="1"/>
    <col min="57" max="57" width="17.21875" customWidth="1"/>
    <col min="58" max="59" width="16" customWidth="1"/>
    <col min="61" max="61" width="19.44140625" customWidth="1"/>
    <col min="64" max="64" width="14.5546875" customWidth="1"/>
    <col min="65" max="65" width="19.44140625" customWidth="1"/>
    <col min="69" max="69" width="18.21875" customWidth="1"/>
  </cols>
  <sheetData>
    <row r="2" spans="1:69" ht="15.6" x14ac:dyDescent="0.3">
      <c r="A2" s="480" t="s">
        <v>1025</v>
      </c>
    </row>
    <row r="3" spans="1:69" x14ac:dyDescent="0.3">
      <c r="A3" t="s">
        <v>1019</v>
      </c>
    </row>
    <row r="5" spans="1:69" ht="15" thickBot="1" x14ac:dyDescent="0.35"/>
    <row r="6" spans="1:69" ht="16.2" thickBot="1" x14ac:dyDescent="0.35">
      <c r="A6" s="484" t="s">
        <v>1023</v>
      </c>
      <c r="B6" s="606">
        <v>2007</v>
      </c>
      <c r="C6" s="607"/>
      <c r="D6" s="607"/>
      <c r="E6" s="608"/>
      <c r="F6" s="606">
        <v>2008</v>
      </c>
      <c r="G6" s="607"/>
      <c r="H6" s="607"/>
      <c r="I6" s="608"/>
      <c r="J6" s="606">
        <v>2009</v>
      </c>
      <c r="K6" s="607"/>
      <c r="L6" s="607"/>
      <c r="M6" s="608"/>
      <c r="N6" s="606">
        <v>2010</v>
      </c>
      <c r="O6" s="607"/>
      <c r="P6" s="607"/>
      <c r="Q6" s="608"/>
      <c r="R6" s="606">
        <v>2011</v>
      </c>
      <c r="S6" s="607"/>
      <c r="T6" s="607"/>
      <c r="U6" s="608"/>
      <c r="V6" s="606">
        <v>2012</v>
      </c>
      <c r="W6" s="607"/>
      <c r="X6" s="607"/>
      <c r="Y6" s="608"/>
      <c r="Z6" s="606">
        <v>2013</v>
      </c>
      <c r="AA6" s="607"/>
      <c r="AB6" s="607"/>
      <c r="AC6" s="608"/>
      <c r="AD6" s="606">
        <v>2014</v>
      </c>
      <c r="AE6" s="607"/>
      <c r="AF6" s="607"/>
      <c r="AG6" s="608"/>
      <c r="AH6" s="606">
        <v>2015</v>
      </c>
      <c r="AI6" s="607"/>
      <c r="AJ6" s="607"/>
      <c r="AK6" s="608"/>
      <c r="AL6" s="606">
        <v>2016</v>
      </c>
      <c r="AM6" s="607"/>
      <c r="AN6" s="607"/>
      <c r="AO6" s="608"/>
      <c r="AP6" s="606">
        <v>2017</v>
      </c>
      <c r="AQ6" s="607"/>
      <c r="AR6" s="607"/>
      <c r="AS6" s="608"/>
      <c r="AT6" s="606">
        <v>2018</v>
      </c>
      <c r="AU6" s="607"/>
      <c r="AV6" s="607"/>
      <c r="AW6" s="608"/>
      <c r="AX6" s="606">
        <v>2019</v>
      </c>
      <c r="AY6" s="607"/>
      <c r="AZ6" s="607"/>
      <c r="BA6" s="608"/>
      <c r="BB6" s="606">
        <v>2020</v>
      </c>
      <c r="BC6" s="607"/>
      <c r="BD6" s="607"/>
      <c r="BE6" s="608"/>
      <c r="BF6" s="606">
        <v>2021</v>
      </c>
      <c r="BG6" s="607"/>
      <c r="BH6" s="607"/>
      <c r="BI6" s="608"/>
      <c r="BJ6" s="606">
        <v>2022</v>
      </c>
      <c r="BK6" s="607"/>
      <c r="BL6" s="607"/>
      <c r="BM6" s="608"/>
      <c r="BN6" s="606">
        <v>2023</v>
      </c>
      <c r="BO6" s="607"/>
      <c r="BP6" s="607"/>
      <c r="BQ6" s="608"/>
    </row>
    <row r="7" spans="1:69" ht="15" thickBot="1" x14ac:dyDescent="0.35">
      <c r="A7" s="483" t="s">
        <v>1024</v>
      </c>
      <c r="B7" s="481" t="s">
        <v>1020</v>
      </c>
      <c r="C7" s="482" t="s">
        <v>1021</v>
      </c>
      <c r="D7" s="482" t="s">
        <v>1022</v>
      </c>
      <c r="E7" s="485" t="s">
        <v>1018</v>
      </c>
      <c r="F7" s="481" t="s">
        <v>1020</v>
      </c>
      <c r="G7" s="482" t="s">
        <v>1021</v>
      </c>
      <c r="H7" s="482" t="s">
        <v>1022</v>
      </c>
      <c r="I7" s="485" t="s">
        <v>1018</v>
      </c>
      <c r="J7" s="481" t="s">
        <v>1020</v>
      </c>
      <c r="K7" s="482" t="s">
        <v>1021</v>
      </c>
      <c r="L7" s="482" t="s">
        <v>1022</v>
      </c>
      <c r="M7" s="485" t="s">
        <v>1018</v>
      </c>
      <c r="N7" s="481" t="s">
        <v>1020</v>
      </c>
      <c r="O7" s="482" t="s">
        <v>1021</v>
      </c>
      <c r="P7" s="482" t="s">
        <v>1022</v>
      </c>
      <c r="Q7" s="485" t="s">
        <v>1018</v>
      </c>
      <c r="R7" s="481" t="s">
        <v>1020</v>
      </c>
      <c r="S7" s="482" t="s">
        <v>1021</v>
      </c>
      <c r="T7" s="482" t="s">
        <v>1022</v>
      </c>
      <c r="U7" s="485" t="s">
        <v>1018</v>
      </c>
      <c r="V7" s="481" t="s">
        <v>1020</v>
      </c>
      <c r="W7" s="482" t="s">
        <v>1021</v>
      </c>
      <c r="X7" s="482" t="s">
        <v>1022</v>
      </c>
      <c r="Y7" s="485" t="s">
        <v>1018</v>
      </c>
      <c r="Z7" s="481" t="s">
        <v>1020</v>
      </c>
      <c r="AA7" s="482" t="s">
        <v>1021</v>
      </c>
      <c r="AB7" s="482" t="s">
        <v>1022</v>
      </c>
      <c r="AC7" s="485" t="s">
        <v>1018</v>
      </c>
      <c r="AD7" s="481" t="s">
        <v>1020</v>
      </c>
      <c r="AE7" s="482" t="s">
        <v>1021</v>
      </c>
      <c r="AF7" s="482" t="s">
        <v>1022</v>
      </c>
      <c r="AG7" s="485" t="s">
        <v>1018</v>
      </c>
      <c r="AH7" s="481" t="s">
        <v>1020</v>
      </c>
      <c r="AI7" s="482" t="s">
        <v>1021</v>
      </c>
      <c r="AJ7" s="482" t="s">
        <v>1022</v>
      </c>
      <c r="AK7" s="485" t="s">
        <v>1018</v>
      </c>
      <c r="AL7" s="481" t="s">
        <v>1020</v>
      </c>
      <c r="AM7" s="482" t="s">
        <v>1021</v>
      </c>
      <c r="AN7" s="482" t="s">
        <v>1022</v>
      </c>
      <c r="AO7" s="485" t="s">
        <v>1018</v>
      </c>
      <c r="AP7" s="481" t="s">
        <v>1020</v>
      </c>
      <c r="AQ7" s="482" t="s">
        <v>1021</v>
      </c>
      <c r="AR7" s="482" t="s">
        <v>1022</v>
      </c>
      <c r="AS7" s="485" t="s">
        <v>1018</v>
      </c>
      <c r="AT7" s="481" t="s">
        <v>1020</v>
      </c>
      <c r="AU7" s="482" t="s">
        <v>1021</v>
      </c>
      <c r="AV7" s="482" t="s">
        <v>1022</v>
      </c>
      <c r="AW7" s="485" t="s">
        <v>1018</v>
      </c>
      <c r="AX7" s="481" t="s">
        <v>1020</v>
      </c>
      <c r="AY7" s="482" t="s">
        <v>1021</v>
      </c>
      <c r="AZ7" s="482" t="s">
        <v>1022</v>
      </c>
      <c r="BA7" s="485" t="s">
        <v>1018</v>
      </c>
      <c r="BB7" s="481" t="s">
        <v>1020</v>
      </c>
      <c r="BC7" s="482" t="s">
        <v>1021</v>
      </c>
      <c r="BD7" s="482" t="s">
        <v>1022</v>
      </c>
      <c r="BE7" s="485" t="s">
        <v>1018</v>
      </c>
      <c r="BF7" s="481" t="s">
        <v>1020</v>
      </c>
      <c r="BG7" s="482" t="s">
        <v>1021</v>
      </c>
      <c r="BH7" s="482" t="s">
        <v>1022</v>
      </c>
      <c r="BI7" s="485" t="s">
        <v>1018</v>
      </c>
      <c r="BJ7" s="481" t="s">
        <v>1020</v>
      </c>
      <c r="BK7" s="482" t="s">
        <v>1021</v>
      </c>
      <c r="BL7" s="482" t="s">
        <v>1022</v>
      </c>
      <c r="BM7" s="485" t="s">
        <v>1018</v>
      </c>
      <c r="BN7" s="481" t="s">
        <v>1020</v>
      </c>
      <c r="BO7" s="482" t="s">
        <v>1021</v>
      </c>
      <c r="BP7" s="482" t="s">
        <v>1022</v>
      </c>
      <c r="BQ7" s="485" t="s">
        <v>1018</v>
      </c>
    </row>
    <row r="8" spans="1:69" ht="15" thickBot="1" x14ac:dyDescent="0.35">
      <c r="A8" s="483" t="s">
        <v>14</v>
      </c>
      <c r="B8" s="481">
        <v>791</v>
      </c>
      <c r="C8" s="482">
        <v>141</v>
      </c>
      <c r="D8" s="482">
        <v>650</v>
      </c>
      <c r="E8" s="486">
        <f>D8/B8*100</f>
        <v>82.174462705436156</v>
      </c>
      <c r="F8" s="481">
        <v>808</v>
      </c>
      <c r="G8" s="482">
        <v>143</v>
      </c>
      <c r="H8" s="482">
        <v>665</v>
      </c>
      <c r="I8" s="486">
        <f>H8/F8*100</f>
        <v>82.301980198019791</v>
      </c>
      <c r="J8" s="481">
        <v>864</v>
      </c>
      <c r="K8" s="482">
        <v>161</v>
      </c>
      <c r="L8" s="482">
        <v>703</v>
      </c>
      <c r="M8" s="486">
        <f>L8/J8*100</f>
        <v>81.365740740740748</v>
      </c>
      <c r="N8" s="481">
        <v>890</v>
      </c>
      <c r="O8" s="482">
        <v>178</v>
      </c>
      <c r="P8" s="482">
        <v>712</v>
      </c>
      <c r="Q8" s="486">
        <f>P8/N8*100</f>
        <v>80</v>
      </c>
      <c r="R8" s="481">
        <v>877</v>
      </c>
      <c r="S8" s="482">
        <v>190</v>
      </c>
      <c r="T8" s="482">
        <v>687</v>
      </c>
      <c r="U8" s="486">
        <f>T8/R8*100</f>
        <v>78.335233751425321</v>
      </c>
      <c r="V8" s="481">
        <v>911</v>
      </c>
      <c r="W8" s="482">
        <v>214</v>
      </c>
      <c r="X8" s="482">
        <v>697</v>
      </c>
      <c r="Y8" s="486">
        <f>X8/V8*100</f>
        <v>76.509330406147086</v>
      </c>
      <c r="Z8" s="481">
        <v>897</v>
      </c>
      <c r="AA8" s="482">
        <v>210</v>
      </c>
      <c r="AB8" s="482">
        <v>688</v>
      </c>
      <c r="AC8" s="486">
        <f>AB8/Z8*100</f>
        <v>76.700111482720175</v>
      </c>
      <c r="AD8" s="481">
        <v>912</v>
      </c>
      <c r="AE8" s="482">
        <v>230</v>
      </c>
      <c r="AF8" s="482">
        <v>682</v>
      </c>
      <c r="AG8" s="486">
        <f>AF8/AD8*100</f>
        <v>74.780701754385973</v>
      </c>
      <c r="AH8" s="481">
        <v>919</v>
      </c>
      <c r="AI8" s="482">
        <v>211</v>
      </c>
      <c r="AJ8" s="482">
        <v>708</v>
      </c>
      <c r="AK8" s="486">
        <f>AJ8/AH8*100</f>
        <v>77.040261153427636</v>
      </c>
      <c r="AL8" s="481">
        <v>946</v>
      </c>
      <c r="AM8" s="482">
        <v>261</v>
      </c>
      <c r="AN8" s="482">
        <v>685</v>
      </c>
      <c r="AO8" s="486">
        <f>AN8/AL8*100</f>
        <v>72.41014799154334</v>
      </c>
      <c r="AP8" s="481">
        <v>976</v>
      </c>
      <c r="AQ8" s="482">
        <v>270</v>
      </c>
      <c r="AR8" s="482">
        <v>707</v>
      </c>
      <c r="AS8" s="486">
        <f>AR8/AP8*100</f>
        <v>72.438524590163937</v>
      </c>
      <c r="AT8" s="481">
        <v>998</v>
      </c>
      <c r="AU8" s="482">
        <v>274</v>
      </c>
      <c r="AV8" s="482">
        <v>724</v>
      </c>
      <c r="AW8" s="486">
        <f>AV8/AT8*100</f>
        <v>72.545090180360717</v>
      </c>
      <c r="AX8" s="481">
        <v>1018</v>
      </c>
      <c r="AY8" s="482">
        <v>277</v>
      </c>
      <c r="AZ8" s="482">
        <v>741</v>
      </c>
      <c r="BA8" s="486">
        <f>AZ8/AX8*100</f>
        <v>72.789783889980356</v>
      </c>
      <c r="BB8" s="481">
        <v>845</v>
      </c>
      <c r="BC8" s="482">
        <v>237</v>
      </c>
      <c r="BD8" s="482">
        <v>608</v>
      </c>
      <c r="BE8" s="486">
        <f>BD8/BB8*100</f>
        <v>71.952662721893489</v>
      </c>
      <c r="BF8" s="481">
        <v>978</v>
      </c>
      <c r="BG8" s="482">
        <v>261</v>
      </c>
      <c r="BH8" s="482">
        <v>717</v>
      </c>
      <c r="BI8" s="486">
        <f>BH8/BF8*100</f>
        <v>73.312883435582819</v>
      </c>
      <c r="BJ8" s="481">
        <v>1099</v>
      </c>
      <c r="BK8" s="482">
        <v>288</v>
      </c>
      <c r="BL8" s="482">
        <v>811</v>
      </c>
      <c r="BM8" s="486">
        <f>BL8/BJ8*100</f>
        <v>73.794358507734302</v>
      </c>
      <c r="BN8" s="481">
        <v>1153</v>
      </c>
      <c r="BO8" s="482">
        <v>313</v>
      </c>
      <c r="BP8" s="482">
        <v>840</v>
      </c>
      <c r="BQ8" s="486">
        <f>BP8/BN8*100</f>
        <v>72.853425845620123</v>
      </c>
    </row>
  </sheetData>
  <mergeCells count="17">
    <mergeCell ref="BN6:BQ6"/>
    <mergeCell ref="V6:Y6"/>
    <mergeCell ref="Z6:AC6"/>
    <mergeCell ref="AD6:AG6"/>
    <mergeCell ref="AH6:AK6"/>
    <mergeCell ref="AL6:AO6"/>
    <mergeCell ref="AP6:AS6"/>
    <mergeCell ref="AT6:AW6"/>
    <mergeCell ref="AX6:BA6"/>
    <mergeCell ref="BB6:BE6"/>
    <mergeCell ref="BF6:BI6"/>
    <mergeCell ref="BJ6:BM6"/>
    <mergeCell ref="B6:E6"/>
    <mergeCell ref="F6:I6"/>
    <mergeCell ref="J6:M6"/>
    <mergeCell ref="N6:Q6"/>
    <mergeCell ref="R6:U6"/>
  </mergeCells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48F7F-59B1-4F78-BD76-371ECE4E2F4A}">
  <dimension ref="A2:L23"/>
  <sheetViews>
    <sheetView workbookViewId="0"/>
  </sheetViews>
  <sheetFormatPr baseColWidth="10" defaultRowHeight="14.4" x14ac:dyDescent="0.3"/>
  <cols>
    <col min="2" max="2" width="15.6640625" customWidth="1"/>
    <col min="3" max="3" width="13.5546875" customWidth="1"/>
    <col min="4" max="4" width="13.33203125" customWidth="1"/>
  </cols>
  <sheetData>
    <row r="2" spans="1:12" ht="15.6" x14ac:dyDescent="0.3">
      <c r="A2" s="480" t="s">
        <v>1031</v>
      </c>
    </row>
    <row r="3" spans="1:12" x14ac:dyDescent="0.3">
      <c r="A3" t="s">
        <v>1032</v>
      </c>
    </row>
    <row r="5" spans="1:12" x14ac:dyDescent="0.3">
      <c r="A5" t="s">
        <v>849</v>
      </c>
      <c r="B5" t="s">
        <v>1029</v>
      </c>
      <c r="C5" t="s">
        <v>1030</v>
      </c>
      <c r="K5" s="609" t="s">
        <v>1026</v>
      </c>
      <c r="L5" s="609"/>
    </row>
    <row r="6" spans="1:12" x14ac:dyDescent="0.3">
      <c r="A6" s="345">
        <v>2007</v>
      </c>
      <c r="B6" s="415">
        <v>73.3</v>
      </c>
      <c r="C6" s="415">
        <f>100-B6</f>
        <v>26.700000000000003</v>
      </c>
      <c r="K6" s="609"/>
      <c r="L6" s="609"/>
    </row>
    <row r="7" spans="1:12" x14ac:dyDescent="0.3">
      <c r="A7" s="345">
        <v>2008</v>
      </c>
      <c r="B7" s="415">
        <f>+B6+(B6*$K$9)</f>
        <v>73.86</v>
      </c>
      <c r="C7" s="415">
        <f t="shared" ref="C7:C15" si="0">+C6+(C6*$L$9)</f>
        <v>26.14</v>
      </c>
      <c r="K7" s="487" t="s">
        <v>1027</v>
      </c>
      <c r="L7" s="487" t="s">
        <v>1028</v>
      </c>
    </row>
    <row r="8" spans="1:12" x14ac:dyDescent="0.3">
      <c r="A8" s="345">
        <v>2009</v>
      </c>
      <c r="B8" s="415">
        <f t="shared" ref="B8:B15" si="1">+B7+(B7*$K$9)</f>
        <v>74.424278308321959</v>
      </c>
      <c r="C8" s="415">
        <f t="shared" si="0"/>
        <v>25.591745318352061</v>
      </c>
    </row>
    <row r="9" spans="1:12" x14ac:dyDescent="0.3">
      <c r="A9" s="345">
        <v>2010</v>
      </c>
      <c r="B9" s="415">
        <f t="shared" si="1"/>
        <v>74.992867610541069</v>
      </c>
      <c r="C9" s="415">
        <f t="shared" si="0"/>
        <v>25.054989611300481</v>
      </c>
      <c r="J9" t="s">
        <v>1034</v>
      </c>
      <c r="K9" s="478">
        <f>+((B16-B6)/B6)/10</f>
        <v>7.6398362892223862E-3</v>
      </c>
      <c r="L9" s="349">
        <f>+((C16-C6)/C6)/10</f>
        <v>-2.097378277153561E-2</v>
      </c>
    </row>
    <row r="10" spans="1:12" x14ac:dyDescent="0.3">
      <c r="A10" s="345">
        <v>2011</v>
      </c>
      <c r="B10" s="415">
        <f t="shared" si="1"/>
        <v>75.565800841944935</v>
      </c>
      <c r="C10" s="415">
        <f t="shared" si="0"/>
        <v>24.529491701849985</v>
      </c>
      <c r="J10" t="s">
        <v>1033</v>
      </c>
      <c r="K10" s="478">
        <f>+((B21-B16)/B16)/5</f>
        <v>2.7883396704689338E-3</v>
      </c>
      <c r="L10" s="478">
        <f>+((C21-C16)/C16)/5</f>
        <v>-1.0426540284360139E-2</v>
      </c>
    </row>
    <row r="11" spans="1:12" x14ac:dyDescent="0.3">
      <c r="A11" s="345">
        <v>2012</v>
      </c>
      <c r="B11" s="415">
        <f t="shared" si="1"/>
        <v>76.14311118944137</v>
      </c>
      <c r="C11" s="415">
        <f t="shared" si="0"/>
        <v>24.015015471399199</v>
      </c>
    </row>
    <row r="12" spans="1:12" x14ac:dyDescent="0.3">
      <c r="A12" s="345">
        <v>2013</v>
      </c>
      <c r="B12" s="415">
        <f t="shared" si="1"/>
        <v>76.724832093480757</v>
      </c>
      <c r="C12" s="415">
        <f t="shared" si="0"/>
        <v>23.511329753647004</v>
      </c>
      <c r="L12" s="349"/>
    </row>
    <row r="13" spans="1:12" x14ac:dyDescent="0.3">
      <c r="A13" s="345">
        <v>2014</v>
      </c>
      <c r="B13" s="415">
        <f t="shared" si="1"/>
        <v>77.310997249993022</v>
      </c>
      <c r="C13" s="415">
        <f t="shared" si="0"/>
        <v>23.018208230724071</v>
      </c>
    </row>
    <row r="14" spans="1:12" x14ac:dyDescent="0.3">
      <c r="A14" s="345">
        <v>2015</v>
      </c>
      <c r="B14" s="415">
        <f t="shared" si="1"/>
        <v>77.901640612339492</v>
      </c>
      <c r="C14" s="415">
        <f t="shared" si="0"/>
        <v>22.53542933150289</v>
      </c>
      <c r="K14" s="349"/>
    </row>
    <row r="15" spans="1:12" x14ac:dyDescent="0.3">
      <c r="A15" s="345">
        <v>2016</v>
      </c>
      <c r="B15" s="415">
        <f t="shared" si="1"/>
        <v>78.49679639327961</v>
      </c>
      <c r="C15" s="415">
        <f t="shared" si="0"/>
        <v>22.062776132040657</v>
      </c>
    </row>
    <row r="16" spans="1:12" x14ac:dyDescent="0.3">
      <c r="A16" s="345">
        <v>2017</v>
      </c>
      <c r="B16" s="415">
        <v>78.900000000000006</v>
      </c>
      <c r="C16" s="415">
        <f>100-B16</f>
        <v>21.099999999999994</v>
      </c>
    </row>
    <row r="17" spans="1:3" x14ac:dyDescent="0.3">
      <c r="A17" s="345">
        <v>2018</v>
      </c>
      <c r="B17" s="415">
        <f>+B16+(B16*$K$10)</f>
        <v>79.12</v>
      </c>
      <c r="C17" s="415">
        <f>C16+(C16*$L$10)</f>
        <v>20.879999999999995</v>
      </c>
    </row>
    <row r="18" spans="1:3" x14ac:dyDescent="0.3">
      <c r="A18" s="345">
        <v>2019</v>
      </c>
      <c r="B18" s="415">
        <f t="shared" ref="B18:B20" si="2">+B17+(B17*$K$10)</f>
        <v>79.340613434727501</v>
      </c>
      <c r="C18" s="415">
        <f t="shared" ref="C18:C20" si="3">C17+(C17*$L$10)</f>
        <v>20.662293838862556</v>
      </c>
    </row>
    <row r="19" spans="1:3" x14ac:dyDescent="0.3">
      <c r="A19" s="345">
        <v>2020</v>
      </c>
      <c r="B19" s="415">
        <f t="shared" si="2"/>
        <v>79.561842014646899</v>
      </c>
      <c r="C19" s="415">
        <f t="shared" si="3"/>
        <v>20.446857599784369</v>
      </c>
    </row>
    <row r="20" spans="1:3" x14ac:dyDescent="0.3">
      <c r="A20" s="345">
        <v>2021</v>
      </c>
      <c r="B20" s="415">
        <f t="shared" si="2"/>
        <v>79.78368745499192</v>
      </c>
      <c r="C20" s="415">
        <f t="shared" si="3"/>
        <v>20.233667615331644</v>
      </c>
    </row>
    <row r="21" spans="1:3" x14ac:dyDescent="0.3">
      <c r="A21" s="345">
        <v>2022</v>
      </c>
      <c r="B21" s="415">
        <v>80</v>
      </c>
      <c r="C21" s="415">
        <v>20</v>
      </c>
    </row>
    <row r="22" spans="1:3" x14ac:dyDescent="0.3">
      <c r="A22" s="345">
        <v>2023</v>
      </c>
      <c r="B22" s="415">
        <f>+B21+(B21*$K$10)</f>
        <v>80.223067173637517</v>
      </c>
      <c r="C22" s="415">
        <f>+C21+(C21*$L$10)</f>
        <v>19.791469194312796</v>
      </c>
    </row>
    <row r="23" spans="1:3" x14ac:dyDescent="0.3">
      <c r="A23" s="345"/>
    </row>
  </sheetData>
  <mergeCells count="1">
    <mergeCell ref="K5:L6"/>
  </mergeCells>
  <pageMargins left="0.7" right="0.7" top="0.75" bottom="0.75" header="0.3" footer="0.3"/>
  <ignoredErrors>
    <ignoredError sqref="B6:B22" calculatedColumn="1"/>
  </ignoredErrors>
  <tableParts count="1">
    <tablePart r:id="rId1"/>
  </tableParts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FCFAF-6612-4E4E-82ED-30C283402DD3}">
  <dimension ref="A1:G62"/>
  <sheetViews>
    <sheetView tabSelected="1" workbookViewId="0">
      <selection activeCell="J14" sqref="J14"/>
    </sheetView>
  </sheetViews>
  <sheetFormatPr baseColWidth="10" defaultRowHeight="14.4" x14ac:dyDescent="0.3"/>
  <cols>
    <col min="1" max="3" width="16.21875" customWidth="1"/>
    <col min="4" max="4" width="17.5546875" customWidth="1"/>
    <col min="5" max="5" width="17.21875" customWidth="1"/>
    <col min="6" max="6" width="16.21875" customWidth="1"/>
    <col min="7" max="7" width="16.109375" customWidth="1"/>
  </cols>
  <sheetData>
    <row r="1" spans="1:7" x14ac:dyDescent="0.3">
      <c r="A1" t="s">
        <v>1052</v>
      </c>
    </row>
    <row r="2" spans="1:7" ht="18" x14ac:dyDescent="0.3">
      <c r="A2" s="304" t="s">
        <v>1053</v>
      </c>
    </row>
    <row r="5" spans="1:7" ht="28.2" customHeight="1" x14ac:dyDescent="0.3">
      <c r="A5" s="494" t="s">
        <v>1036</v>
      </c>
      <c r="B5" s="496" t="s">
        <v>1035</v>
      </c>
      <c r="C5" s="494" t="s">
        <v>1009</v>
      </c>
      <c r="D5" s="494" t="s">
        <v>1037</v>
      </c>
      <c r="E5" s="494" t="s">
        <v>1038</v>
      </c>
      <c r="F5" s="494" t="s">
        <v>1039</v>
      </c>
      <c r="G5" s="494" t="s">
        <v>1040</v>
      </c>
    </row>
    <row r="6" spans="1:7" ht="16.8" customHeight="1" x14ac:dyDescent="0.3">
      <c r="A6" s="497" t="s">
        <v>14</v>
      </c>
      <c r="B6" s="417">
        <v>2004</v>
      </c>
      <c r="C6" s="624">
        <f>La_Libertad!B9</f>
        <v>6402.1313202247193</v>
      </c>
      <c r="D6" s="506">
        <f>La_Libertad!C9</f>
        <v>58.888671392946989</v>
      </c>
      <c r="E6" s="506">
        <f>La_Libertad!D9</f>
        <v>19.66580622747907</v>
      </c>
      <c r="F6" s="624">
        <f>La_Libertad!E9</f>
        <v>400825599.08987802</v>
      </c>
      <c r="G6" s="624">
        <f>La_Libertad!F9</f>
        <v>7784.1597999429669</v>
      </c>
    </row>
    <row r="7" spans="1:7" ht="16.8" customHeight="1" x14ac:dyDescent="0.3">
      <c r="A7" s="497" t="s">
        <v>21</v>
      </c>
      <c r="B7" s="417">
        <v>2004</v>
      </c>
      <c r="C7" s="624">
        <f>Piura!B9</f>
        <v>5990.7075139722629</v>
      </c>
      <c r="D7" s="506">
        <f>Piura!C9</f>
        <v>73.375087309413104</v>
      </c>
      <c r="E7" s="506">
        <f>Piura!D9</f>
        <v>22.031252900846962</v>
      </c>
      <c r="F7" s="624">
        <f>Piura!E9</f>
        <v>427601521.64960825</v>
      </c>
      <c r="G7" s="624">
        <f>Piura!F9</f>
        <v>6405.3755675960247</v>
      </c>
    </row>
    <row r="8" spans="1:7" ht="16.8" customHeight="1" x14ac:dyDescent="0.3">
      <c r="A8" s="498" t="s">
        <v>15</v>
      </c>
      <c r="B8" s="495">
        <v>2004</v>
      </c>
      <c r="C8" s="625">
        <f>Lambayeque!B9</f>
        <v>5125.729752238185</v>
      </c>
      <c r="D8" s="507">
        <f>Lambayeque!C9</f>
        <v>58.293370893673504</v>
      </c>
      <c r="E8" s="507">
        <f>Lambayeque!D9</f>
        <v>8.606288244485901</v>
      </c>
      <c r="F8" s="625">
        <f>Lambayeque!E9</f>
        <v>273225917.11318547</v>
      </c>
      <c r="G8" s="625">
        <f>Lambayeque!F9</f>
        <v>7234.5460065369516</v>
      </c>
    </row>
    <row r="9" spans="1:7" ht="16.8" customHeight="1" x14ac:dyDescent="0.3">
      <c r="A9" s="497" t="s">
        <v>14</v>
      </c>
      <c r="B9" s="417">
        <v>2005</v>
      </c>
      <c r="C9" s="624">
        <f>La_Libertad!B10</f>
        <v>6940.9617275280898</v>
      </c>
      <c r="D9" s="506">
        <f>La_Libertad!C10</f>
        <v>49.152723729699424</v>
      </c>
      <c r="E9" s="506">
        <f>La_Libertad!D10</f>
        <v>14.550285903572814</v>
      </c>
      <c r="F9" s="624">
        <f>La_Libertad!E10</f>
        <v>424940157.57925916</v>
      </c>
      <c r="G9" s="624">
        <f>La_Libertad!F10</f>
        <v>7793.3724513357975</v>
      </c>
    </row>
    <row r="10" spans="1:7" ht="16.8" customHeight="1" x14ac:dyDescent="0.3">
      <c r="A10" s="497" t="s">
        <v>21</v>
      </c>
      <c r="B10" s="417">
        <v>2005</v>
      </c>
      <c r="C10" s="624">
        <f>Tabla356[[#This Row],[pbi_percapita]]</f>
        <v>6271.6754295176979</v>
      </c>
      <c r="D10" s="506">
        <f>Tabla356[[#This Row],[pobreza_total_piura]]</f>
        <v>70.136692695634721</v>
      </c>
      <c r="E10" s="506">
        <f>Tabla356[[#This Row],[pobreza_extrema_piura]]</f>
        <v>19.588498299016425</v>
      </c>
      <c r="F10" s="624">
        <f>Tabla356[[#This Row],[gasto_social_real]]</f>
        <v>482033397.46140712</v>
      </c>
      <c r="G10" s="624">
        <f>Tabla356[[#This Row],[ingreso_trabajo_anual]]</f>
        <v>5961.7201440484314</v>
      </c>
    </row>
    <row r="11" spans="1:7" ht="16.8" customHeight="1" x14ac:dyDescent="0.3">
      <c r="A11" s="498" t="s">
        <v>15</v>
      </c>
      <c r="B11" s="495">
        <v>2005</v>
      </c>
      <c r="C11" s="625">
        <f>Lambayeque!B10</f>
        <v>5480.8411409535711</v>
      </c>
      <c r="D11" s="507">
        <f>Lambayeque!C10</f>
        <v>56.898902837916516</v>
      </c>
      <c r="E11" s="507">
        <f>Lambayeque!D10</f>
        <v>6.2601726910673063</v>
      </c>
      <c r="F11" s="625">
        <f>Lambayeque!E10</f>
        <v>270912854.82681119</v>
      </c>
      <c r="G11" s="625">
        <f>Lambayeque!F10</f>
        <v>6605.4862735245206</v>
      </c>
    </row>
    <row r="12" spans="1:7" ht="16.8" customHeight="1" x14ac:dyDescent="0.3">
      <c r="A12" s="497" t="s">
        <v>14</v>
      </c>
      <c r="B12" s="417">
        <v>2006</v>
      </c>
      <c r="C12" s="624">
        <f>La_Libertad!B11</f>
        <v>7915.3623595505624</v>
      </c>
      <c r="D12" s="506">
        <f>La_Libertad!C11</f>
        <v>49.684836536338835</v>
      </c>
      <c r="E12" s="506">
        <f>La_Libertad!D11</f>
        <v>13.930988064672537</v>
      </c>
      <c r="F12" s="624">
        <f>La_Libertad!E11</f>
        <v>467488236.27474123</v>
      </c>
      <c r="G12" s="624">
        <f>La_Libertad!F11</f>
        <v>7207.4618435875436</v>
      </c>
    </row>
    <row r="13" spans="1:7" ht="16.8" customHeight="1" x14ac:dyDescent="0.3">
      <c r="A13" s="497" t="s">
        <v>21</v>
      </c>
      <c r="B13" s="417">
        <v>2006</v>
      </c>
      <c r="C13" s="624">
        <f>Piura!B11</f>
        <v>6821.8223970192512</v>
      </c>
      <c r="D13" s="506">
        <f>Piura!C11</f>
        <v>65.026138821631235</v>
      </c>
      <c r="E13" s="506">
        <f>Piura!D11</f>
        <v>14.382050622535713</v>
      </c>
      <c r="F13" s="624">
        <f>Piura!E11</f>
        <v>537093042.26186574</v>
      </c>
      <c r="G13" s="624">
        <f>Piura!F11</f>
        <v>6488.9078578294066</v>
      </c>
    </row>
    <row r="14" spans="1:7" ht="16.8" customHeight="1" x14ac:dyDescent="0.3">
      <c r="A14" s="498" t="s">
        <v>15</v>
      </c>
      <c r="B14" s="495">
        <v>2006</v>
      </c>
      <c r="C14" s="625">
        <f>Lambayeque!B11</f>
        <v>5716.4272329793885</v>
      </c>
      <c r="D14" s="507">
        <f>Lambayeque!C11</f>
        <v>50.919942231809628</v>
      </c>
      <c r="E14" s="507">
        <f>Lambayeque!D11</f>
        <v>7.2934081595013298</v>
      </c>
      <c r="F14" s="625">
        <f>Lambayeque!E11</f>
        <v>310943045.90835649</v>
      </c>
      <c r="G14" s="625">
        <f>Lambayeque!F11</f>
        <v>6558.3274801823136</v>
      </c>
    </row>
    <row r="15" spans="1:7" x14ac:dyDescent="0.3">
      <c r="A15" s="497" t="s">
        <v>14</v>
      </c>
      <c r="B15" s="417">
        <v>2007</v>
      </c>
      <c r="C15" s="624">
        <f>La_Libertad!B12</f>
        <v>8610.0217696629225</v>
      </c>
      <c r="D15" s="506">
        <f>La_Libertad!C12</f>
        <v>39.052222923290429</v>
      </c>
      <c r="E15" s="506">
        <f>La_Libertad!D12</f>
        <v>9.9556581114099725</v>
      </c>
      <c r="F15" s="624">
        <f>La_Libertad!E12</f>
        <v>586844046</v>
      </c>
      <c r="G15" s="624">
        <f>La_Libertad!F12</f>
        <v>9830.5251984520455</v>
      </c>
    </row>
    <row r="16" spans="1:7" x14ac:dyDescent="0.3">
      <c r="A16" s="497" t="s">
        <v>21</v>
      </c>
      <c r="B16" s="417">
        <v>2007</v>
      </c>
      <c r="C16" s="624">
        <f>Piura!B12</f>
        <v>7426.9840612709586</v>
      </c>
      <c r="D16" s="506">
        <f>Piura!C12</f>
        <v>54.15970977023963</v>
      </c>
      <c r="E16" s="506">
        <f>Piura!D12</f>
        <v>13.340175486393127</v>
      </c>
      <c r="F16" s="624">
        <f>Piura!E12</f>
        <v>709872743</v>
      </c>
      <c r="G16" s="624">
        <f>Piura!F12</f>
        <v>6602.2130487220202</v>
      </c>
    </row>
    <row r="17" spans="1:7" x14ac:dyDescent="0.3">
      <c r="A17" s="498" t="s">
        <v>15</v>
      </c>
      <c r="B17" s="495">
        <v>2007</v>
      </c>
      <c r="C17" s="625">
        <f>Lambayeque!B12</f>
        <v>6262.0861961274204</v>
      </c>
      <c r="D17" s="507">
        <f>Lambayeque!C12</f>
        <v>42.489667665779294</v>
      </c>
      <c r="E17" s="507">
        <f>Lambayeque!D12</f>
        <v>5.2821407421761108</v>
      </c>
      <c r="F17" s="625">
        <f>Lambayeque!E12</f>
        <v>400632813</v>
      </c>
      <c r="G17" s="625">
        <f>Lambayeque!F12</f>
        <v>7079.7667517889622</v>
      </c>
    </row>
    <row r="18" spans="1:7" x14ac:dyDescent="0.3">
      <c r="A18" s="497" t="s">
        <v>14</v>
      </c>
      <c r="B18" s="417">
        <v>2008</v>
      </c>
      <c r="C18" s="624">
        <f>La_Libertad!B13</f>
        <v>9150.7296348314612</v>
      </c>
      <c r="D18" s="506">
        <f>La_Libertad!C13</f>
        <v>38.586058393561004</v>
      </c>
      <c r="E18" s="506">
        <f>La_Libertad!D13</f>
        <v>13.492516865508932</v>
      </c>
      <c r="F18" s="624">
        <f>La_Libertad!E13</f>
        <v>722791437.38209403</v>
      </c>
      <c r="G18" s="624">
        <f>La_Libertad!F13</f>
        <v>9054.4470926969479</v>
      </c>
    </row>
    <row r="19" spans="1:7" x14ac:dyDescent="0.3">
      <c r="A19" s="497" t="s">
        <v>21</v>
      </c>
      <c r="B19" s="417">
        <v>2008</v>
      </c>
      <c r="C19" s="624">
        <f>Piura!B13</f>
        <v>7872.9960670668597</v>
      </c>
      <c r="D19" s="506">
        <f>Piura!C13</f>
        <v>49.41979926719911</v>
      </c>
      <c r="E19" s="506">
        <f>Piura!D13</f>
        <v>11.263094566281369</v>
      </c>
      <c r="F19" s="624">
        <f>Piura!E13</f>
        <v>836809088.58419895</v>
      </c>
      <c r="G19" s="624">
        <f>Piura!F13</f>
        <v>7364.4936456193418</v>
      </c>
    </row>
    <row r="20" spans="1:7" x14ac:dyDescent="0.3">
      <c r="A20" s="498" t="s">
        <v>15</v>
      </c>
      <c r="B20" s="495">
        <v>2008</v>
      </c>
      <c r="C20" s="625">
        <f>Lambayeque!B13</f>
        <v>6724.597126795753</v>
      </c>
      <c r="D20" s="507">
        <f>Lambayeque!C13</f>
        <v>33.250445677412216</v>
      </c>
      <c r="E20" s="507">
        <f>Lambayeque!D13</f>
        <v>6.0643259751783534</v>
      </c>
      <c r="F20" s="625">
        <f>Lambayeque!E13</f>
        <v>502902926.44477856</v>
      </c>
      <c r="G20" s="625">
        <f>Lambayeque!F13</f>
        <v>7555.2411332406909</v>
      </c>
    </row>
    <row r="21" spans="1:7" x14ac:dyDescent="0.3">
      <c r="A21" s="497" t="s">
        <v>14</v>
      </c>
      <c r="B21" s="417">
        <v>2009</v>
      </c>
      <c r="C21" s="624">
        <f>La_Libertad!B14</f>
        <v>9233.3377808988771</v>
      </c>
      <c r="D21" s="506">
        <f>La_Libertad!C14</f>
        <v>35.158676013994906</v>
      </c>
      <c r="E21" s="506">
        <f>La_Libertad!D14</f>
        <v>10.919167417955892</v>
      </c>
      <c r="F21" s="624">
        <f>La_Libertad!E14</f>
        <v>840470062.45199013</v>
      </c>
      <c r="G21" s="624">
        <f>La_Libertad!F14</f>
        <v>10763.050510397752</v>
      </c>
    </row>
    <row r="22" spans="1:7" x14ac:dyDescent="0.3">
      <c r="A22" s="497" t="s">
        <v>21</v>
      </c>
      <c r="B22" s="417">
        <v>2009</v>
      </c>
      <c r="C22" s="624">
        <f>Piura!B14</f>
        <v>7988.9198923618296</v>
      </c>
      <c r="D22" s="506">
        <f>Piura!C14</f>
        <v>42.412087523449046</v>
      </c>
      <c r="E22" s="506">
        <f>Piura!D14</f>
        <v>9.2908264164451531</v>
      </c>
      <c r="F22" s="624">
        <f>Piura!E14</f>
        <v>817358046.73513699</v>
      </c>
      <c r="G22" s="624">
        <f>Piura!F14</f>
        <v>8835.6538328535735</v>
      </c>
    </row>
    <row r="23" spans="1:7" x14ac:dyDescent="0.3">
      <c r="A23" s="498" t="s">
        <v>15</v>
      </c>
      <c r="B23" s="495">
        <v>2009</v>
      </c>
      <c r="C23" s="625">
        <f>Lambayeque!B14</f>
        <v>6878.7674370185305</v>
      </c>
      <c r="D23" s="507">
        <f>Lambayeque!C14</f>
        <v>29.913723824699584</v>
      </c>
      <c r="E23" s="507">
        <f>Lambayeque!D14</f>
        <v>4.2056725831467867</v>
      </c>
      <c r="F23" s="625">
        <f>Lambayeque!E14</f>
        <v>543166739.75701523</v>
      </c>
      <c r="G23" s="625">
        <f>Lambayeque!F14</f>
        <v>7800.1716134729868</v>
      </c>
    </row>
    <row r="24" spans="1:7" x14ac:dyDescent="0.3">
      <c r="A24" s="497" t="s">
        <v>14</v>
      </c>
      <c r="B24" s="417">
        <v>2010</v>
      </c>
      <c r="C24" s="624">
        <f>La_Libertad!B15</f>
        <v>9711</v>
      </c>
      <c r="D24" s="506">
        <f>La_Libertad!C15</f>
        <v>31.421462204705712</v>
      </c>
      <c r="E24" s="506">
        <f>La_Libertad!D15</f>
        <v>9.7145203174804617</v>
      </c>
      <c r="F24" s="624">
        <f>La_Libertad!E15</f>
        <v>996513063.17282891</v>
      </c>
      <c r="G24" s="624">
        <f>La_Libertad!F15</f>
        <v>9789.061354746751</v>
      </c>
    </row>
    <row r="25" spans="1:7" x14ac:dyDescent="0.3">
      <c r="A25" s="497" t="s">
        <v>21</v>
      </c>
      <c r="B25" s="417">
        <v>2010</v>
      </c>
      <c r="C25" s="624">
        <f>Piura!B15</f>
        <v>8559</v>
      </c>
      <c r="D25" s="506">
        <f>Piura!C15</f>
        <v>44.250723398488063</v>
      </c>
      <c r="E25" s="506">
        <f>Piura!D15</f>
        <v>9.5564207768234777</v>
      </c>
      <c r="F25" s="624">
        <f>Piura!E15</f>
        <v>915655296.84558928</v>
      </c>
      <c r="G25" s="624">
        <f>Piura!F15</f>
        <v>8169.944835180062</v>
      </c>
    </row>
    <row r="26" spans="1:7" x14ac:dyDescent="0.3">
      <c r="A26" s="498" t="s">
        <v>15</v>
      </c>
      <c r="B26" s="495">
        <v>2010</v>
      </c>
      <c r="C26" s="625">
        <f>Lambayeque!B15</f>
        <v>7284</v>
      </c>
      <c r="D26" s="507">
        <f>Lambayeque!C15</f>
        <v>31.761073319367224</v>
      </c>
      <c r="E26" s="507">
        <f>Lambayeque!D15</f>
        <v>3.8567087944598524</v>
      </c>
      <c r="F26" s="625">
        <f>Lambayeque!E15</f>
        <v>685696017.32436752</v>
      </c>
      <c r="G26" s="625">
        <f>Lambayeque!F15</f>
        <v>7783.8855069918336</v>
      </c>
    </row>
    <row r="27" spans="1:7" x14ac:dyDescent="0.3">
      <c r="A27" s="497" t="s">
        <v>14</v>
      </c>
      <c r="B27" s="419">
        <v>2011</v>
      </c>
      <c r="C27" s="624">
        <f>La_Libertad!B16</f>
        <v>10040</v>
      </c>
      <c r="D27" s="506">
        <f>La_Libertad!C16</f>
        <v>29.369508103888737</v>
      </c>
      <c r="E27" s="506">
        <f>La_Libertad!D16</f>
        <v>8.2098441776883853</v>
      </c>
      <c r="F27" s="624">
        <f>La_Libertad!E16</f>
        <v>993040556.997756</v>
      </c>
      <c r="G27" s="624">
        <f>La_Libertad!F16</f>
        <v>9228.2654703116932</v>
      </c>
    </row>
    <row r="28" spans="1:7" x14ac:dyDescent="0.3">
      <c r="A28" s="497" t="s">
        <v>21</v>
      </c>
      <c r="B28" s="419">
        <v>2011</v>
      </c>
      <c r="C28" s="624">
        <f>Piura!B16</f>
        <v>9188</v>
      </c>
      <c r="D28" s="506">
        <f>Piura!C16</f>
        <v>35.180912628828956</v>
      </c>
      <c r="E28" s="506">
        <f>Piura!D16</f>
        <v>8.3389054723243259</v>
      </c>
      <c r="F28" s="624">
        <f>Piura!E16</f>
        <v>967276203.90389442</v>
      </c>
      <c r="G28" s="624">
        <f>Piura!F16</f>
        <v>8827.9640527166812</v>
      </c>
    </row>
    <row r="29" spans="1:7" x14ac:dyDescent="0.3">
      <c r="A29" s="498" t="s">
        <v>15</v>
      </c>
      <c r="B29" s="499">
        <v>2011</v>
      </c>
      <c r="C29" s="625">
        <f>Lambayeque!B16</f>
        <v>7653</v>
      </c>
      <c r="D29" s="507">
        <f>Lambayeque!C16</f>
        <v>24.206949825174895</v>
      </c>
      <c r="E29" s="507">
        <f>Lambayeque!D16</f>
        <v>2.0508760805772663</v>
      </c>
      <c r="F29" s="625">
        <f>Lambayeque!E16</f>
        <v>751867086.30620778</v>
      </c>
      <c r="G29" s="625">
        <f>Lambayeque!F16</f>
        <v>7733.6436019695475</v>
      </c>
    </row>
    <row r="30" spans="1:7" x14ac:dyDescent="0.3">
      <c r="A30" s="497" t="s">
        <v>14</v>
      </c>
      <c r="B30" s="419">
        <v>2012</v>
      </c>
      <c r="C30" s="624">
        <f>La_Libertad!B17</f>
        <v>10694</v>
      </c>
      <c r="D30" s="506">
        <f>La_Libertad!C17</f>
        <v>30.632667445922465</v>
      </c>
      <c r="E30" s="506">
        <f>La_Libertad!D17</f>
        <v>8.4145805327891612</v>
      </c>
      <c r="F30" s="624">
        <f>La_Libertad!E17</f>
        <v>1183683603.517777</v>
      </c>
      <c r="G30" s="624">
        <f>La_Libertad!F17</f>
        <v>10192.641909601372</v>
      </c>
    </row>
    <row r="31" spans="1:7" x14ac:dyDescent="0.3">
      <c r="A31" s="497" t="s">
        <v>21</v>
      </c>
      <c r="B31" s="419">
        <v>2012</v>
      </c>
      <c r="C31" s="624">
        <f>Piura!B17</f>
        <v>9492</v>
      </c>
      <c r="D31" s="506">
        <f>Piura!C17</f>
        <v>34.874720588630232</v>
      </c>
      <c r="E31" s="506">
        <f>Piura!D17</f>
        <v>6.9284084170972582</v>
      </c>
      <c r="F31" s="624">
        <f>Piura!E17</f>
        <v>1074442189.1466691</v>
      </c>
      <c r="G31" s="624">
        <f>Piura!F17</f>
        <v>9031.9996369461624</v>
      </c>
    </row>
    <row r="32" spans="1:7" x14ac:dyDescent="0.3">
      <c r="A32" s="498" t="s">
        <v>15</v>
      </c>
      <c r="B32" s="499">
        <v>2012</v>
      </c>
      <c r="C32" s="625">
        <f>Lambayeque!B17</f>
        <v>8320</v>
      </c>
      <c r="D32" s="507">
        <f>Lambayeque!C17</f>
        <v>20.902794536236371</v>
      </c>
      <c r="E32" s="507">
        <f>Lambayeque!D17</f>
        <v>3.4221129607014773</v>
      </c>
      <c r="F32" s="625">
        <f>Lambayeque!E17</f>
        <v>728896394.80438089</v>
      </c>
      <c r="G32" s="625">
        <f>Lambayeque!F17</f>
        <v>8590.316495829984</v>
      </c>
    </row>
    <row r="33" spans="1:7" x14ac:dyDescent="0.3">
      <c r="A33" s="497" t="s">
        <v>14</v>
      </c>
      <c r="B33" s="419">
        <v>2013</v>
      </c>
      <c r="C33" s="624">
        <f>La_Libertad!B18</f>
        <v>11034</v>
      </c>
      <c r="D33" s="506">
        <f>La_Libertad!C18</f>
        <v>29.456005664685286</v>
      </c>
      <c r="E33" s="506">
        <f>La_Libertad!D18</f>
        <v>7.4957035110124703</v>
      </c>
      <c r="F33" s="624">
        <f>La_Libertad!E18</f>
        <v>1246905039.0128293</v>
      </c>
      <c r="G33" s="624">
        <f>La_Libertad!F18</f>
        <v>10483.604309343778</v>
      </c>
    </row>
    <row r="34" spans="1:7" x14ac:dyDescent="0.3">
      <c r="A34" s="497" t="s">
        <v>21</v>
      </c>
      <c r="B34" s="419">
        <v>2013</v>
      </c>
      <c r="C34" s="624">
        <f>Piura!B18</f>
        <v>9770</v>
      </c>
      <c r="D34" s="506">
        <f>Piura!C18</f>
        <v>35.111472272463423</v>
      </c>
      <c r="E34" s="506">
        <f>Piura!D18</f>
        <v>6.3481092949930318</v>
      </c>
      <c r="F34" s="624">
        <f>Piura!E18</f>
        <v>1343201898.2175994</v>
      </c>
      <c r="G34" s="624">
        <f>Piura!F18</f>
        <v>8972.3017664964464</v>
      </c>
    </row>
    <row r="35" spans="1:7" x14ac:dyDescent="0.3">
      <c r="A35" s="498" t="s">
        <v>15</v>
      </c>
      <c r="B35" s="499">
        <v>2013</v>
      </c>
      <c r="C35" s="625">
        <f>Lambayeque!B18</f>
        <v>8559</v>
      </c>
      <c r="D35" s="507">
        <f>Lambayeque!C18</f>
        <v>20.701216591435706</v>
      </c>
      <c r="E35" s="507">
        <f>Lambayeque!D18</f>
        <v>1.5785380970895448</v>
      </c>
      <c r="F35" s="625">
        <f>Lambayeque!E18</f>
        <v>722247931.28249681</v>
      </c>
      <c r="G35" s="625">
        <f>Lambayeque!F18</f>
        <v>8418.4213872479831</v>
      </c>
    </row>
    <row r="36" spans="1:7" x14ac:dyDescent="0.3">
      <c r="A36" s="497" t="s">
        <v>14</v>
      </c>
      <c r="B36" s="419">
        <v>2014</v>
      </c>
      <c r="C36" s="624">
        <f>La_Libertad!B19</f>
        <v>11052</v>
      </c>
      <c r="D36" s="506">
        <f>La_Libertad!C19</f>
        <v>27.422392365577302</v>
      </c>
      <c r="E36" s="506">
        <f>La_Libertad!D19</f>
        <v>5.4644378214137079</v>
      </c>
      <c r="F36" s="624">
        <f>La_Libertad!E19</f>
        <v>1306583209.7478817</v>
      </c>
      <c r="G36" s="624">
        <f>La_Libertad!F19</f>
        <v>10746.007464182216</v>
      </c>
    </row>
    <row r="37" spans="1:7" x14ac:dyDescent="0.3">
      <c r="A37" s="497" t="s">
        <v>21</v>
      </c>
      <c r="B37" s="419">
        <v>2014</v>
      </c>
      <c r="C37" s="624">
        <f>Piura!B19</f>
        <v>10202</v>
      </c>
      <c r="D37" s="506">
        <f>Piura!C19</f>
        <v>29.61384312293324</v>
      </c>
      <c r="E37" s="506">
        <f>Piura!D19</f>
        <v>7.8398860477006034</v>
      </c>
      <c r="F37" s="624">
        <f>Piura!E19</f>
        <v>1302703203.8613801</v>
      </c>
      <c r="G37" s="624">
        <f>Piura!F19</f>
        <v>8877.5608178415132</v>
      </c>
    </row>
    <row r="38" spans="1:7" x14ac:dyDescent="0.3">
      <c r="A38" s="498" t="s">
        <v>15</v>
      </c>
      <c r="B38" s="499">
        <v>2014</v>
      </c>
      <c r="C38" s="625">
        <f>Lambayeque!B19</f>
        <v>8663</v>
      </c>
      <c r="D38" s="507">
        <f>Lambayeque!C19</f>
        <v>19.246399730911083</v>
      </c>
      <c r="E38" s="507">
        <f>Lambayeque!D19</f>
        <v>1.9196215171257449</v>
      </c>
      <c r="F38" s="625">
        <f>Lambayeque!E19</f>
        <v>672229535.90995371</v>
      </c>
      <c r="G38" s="625">
        <f>Lambayeque!F19</f>
        <v>8912.9097838576927</v>
      </c>
    </row>
    <row r="39" spans="1:7" x14ac:dyDescent="0.3">
      <c r="A39" s="497" t="s">
        <v>14</v>
      </c>
      <c r="B39" s="419">
        <v>2015</v>
      </c>
      <c r="C39" s="624">
        <f>La_Libertad!B20</f>
        <v>11132</v>
      </c>
      <c r="D39" s="506">
        <f>La_Libertad!C20</f>
        <v>25.860357188646585</v>
      </c>
      <c r="E39" s="506">
        <f>La_Libertad!D20</f>
        <v>6.3056648540833855</v>
      </c>
      <c r="F39" s="624">
        <f>La_Libertad!E20</f>
        <v>1253331659.2292576</v>
      </c>
      <c r="G39" s="624">
        <f>La_Libertad!F20</f>
        <v>10814.204331200528</v>
      </c>
    </row>
    <row r="40" spans="1:7" x14ac:dyDescent="0.3">
      <c r="A40" s="497" t="s">
        <v>21</v>
      </c>
      <c r="B40" s="419">
        <v>2015</v>
      </c>
      <c r="C40" s="624">
        <f>Piura!B20</f>
        <v>10124</v>
      </c>
      <c r="D40" s="506">
        <f>Piura!C20</f>
        <v>29.43173485812461</v>
      </c>
      <c r="E40" s="506">
        <f>Piura!D20</f>
        <v>5.3445901263763647</v>
      </c>
      <c r="F40" s="624">
        <f>Piura!E20</f>
        <v>1338771233.7363653</v>
      </c>
      <c r="G40" s="624">
        <f>Piura!F20</f>
        <v>8957.1291690412145</v>
      </c>
    </row>
    <row r="41" spans="1:7" x14ac:dyDescent="0.3">
      <c r="A41" s="498" t="s">
        <v>15</v>
      </c>
      <c r="B41" s="499">
        <v>2015</v>
      </c>
      <c r="C41" s="625">
        <f>Lambayeque!B20</f>
        <v>8943</v>
      </c>
      <c r="D41" s="507">
        <f>Lambayeque!C20</f>
        <v>16.717694866741745</v>
      </c>
      <c r="E41" s="507">
        <f>Lambayeque!D20</f>
        <v>2.1656496937333229</v>
      </c>
      <c r="F41" s="625">
        <f>Lambayeque!E20</f>
        <v>727662108.84944999</v>
      </c>
      <c r="G41" s="625">
        <f>Lambayeque!F20</f>
        <v>9579.5692597317138</v>
      </c>
    </row>
    <row r="42" spans="1:7" x14ac:dyDescent="0.3">
      <c r="A42" s="497" t="s">
        <v>14</v>
      </c>
      <c r="B42" s="419">
        <v>2016</v>
      </c>
      <c r="C42" s="624">
        <f>La_Libertad!B21</f>
        <v>11019</v>
      </c>
      <c r="D42" s="506">
        <f>La_Libertad!C21</f>
        <v>24.468292255118257</v>
      </c>
      <c r="E42" s="506">
        <f>La_Libertad!D21</f>
        <v>4.4435021042281022</v>
      </c>
      <c r="F42" s="624">
        <f>La_Libertad!E21</f>
        <v>1362163550.5952706</v>
      </c>
      <c r="G42" s="624">
        <f>La_Libertad!F21</f>
        <v>11187.082973456458</v>
      </c>
    </row>
    <row r="43" spans="1:7" x14ac:dyDescent="0.3">
      <c r="A43" s="497" t="s">
        <v>21</v>
      </c>
      <c r="B43" s="419">
        <v>2016</v>
      </c>
      <c r="C43" s="624">
        <f>Piura!B21</f>
        <v>9982</v>
      </c>
      <c r="D43" s="506">
        <f>Piura!C21</f>
        <v>30.704464009655094</v>
      </c>
      <c r="E43" s="506">
        <f>Piura!D21</f>
        <v>5.3545217954677726</v>
      </c>
      <c r="F43" s="624">
        <f>Piura!E21</f>
        <v>1258218231.625145</v>
      </c>
      <c r="G43" s="624">
        <f>Piura!F21</f>
        <v>8850.1801453009666</v>
      </c>
    </row>
    <row r="44" spans="1:7" x14ac:dyDescent="0.3">
      <c r="A44" s="498" t="s">
        <v>15</v>
      </c>
      <c r="B44" s="499">
        <v>2016</v>
      </c>
      <c r="C44" s="625">
        <f>Lambayeque!B21</f>
        <v>9035</v>
      </c>
      <c r="D44" s="507">
        <f>Lambayeque!C21</f>
        <v>12.70730385794784</v>
      </c>
      <c r="E44" s="507">
        <f>Lambayeque!D21</f>
        <v>1.0043696123836761</v>
      </c>
      <c r="F44" s="625">
        <f>Lambayeque!E21</f>
        <v>753771264.84176075</v>
      </c>
      <c r="G44" s="625">
        <f>Lambayeque!F21</f>
        <v>10381.751285384104</v>
      </c>
    </row>
    <row r="45" spans="1:7" x14ac:dyDescent="0.3">
      <c r="A45" s="497" t="s">
        <v>14</v>
      </c>
      <c r="B45" s="419">
        <v>2017</v>
      </c>
      <c r="C45" s="624">
        <f>La_Libertad!B22</f>
        <v>10969</v>
      </c>
      <c r="D45" s="506">
        <f>La_Libertad!C22</f>
        <v>23.483814761833003</v>
      </c>
      <c r="E45" s="506">
        <f>La_Libertad!D22</f>
        <v>4.3425362593290755</v>
      </c>
      <c r="F45" s="624">
        <f>La_Libertad!E22</f>
        <v>1489335661.4907095</v>
      </c>
      <c r="G45" s="624">
        <f>La_Libertad!F22</f>
        <v>11269.348798611765</v>
      </c>
    </row>
    <row r="46" spans="1:7" x14ac:dyDescent="0.3">
      <c r="A46" s="497" t="s">
        <v>21</v>
      </c>
      <c r="B46" s="419">
        <v>2017</v>
      </c>
      <c r="C46" s="624">
        <f>Piura!B22</f>
        <v>9552</v>
      </c>
      <c r="D46" s="506">
        <f>Piura!C22</f>
        <v>28.655372376940083</v>
      </c>
      <c r="E46" s="506">
        <f>Piura!D22</f>
        <v>5.10703317368118</v>
      </c>
      <c r="F46" s="624">
        <f>Piura!E22</f>
        <v>1478290763.4092014</v>
      </c>
      <c r="G46" s="624">
        <f>Piura!F22</f>
        <v>9394.9873131595687</v>
      </c>
    </row>
    <row r="47" spans="1:7" x14ac:dyDescent="0.3">
      <c r="A47" s="498" t="s">
        <v>15</v>
      </c>
      <c r="B47" s="499">
        <v>2017</v>
      </c>
      <c r="C47" s="625">
        <f>Lambayeque!B22</f>
        <v>9115</v>
      </c>
      <c r="D47" s="507">
        <f>Lambayeque!C22</f>
        <v>14.952314736109962</v>
      </c>
      <c r="E47" s="507">
        <f>Lambayeque!D22</f>
        <v>1.3243569937038013</v>
      </c>
      <c r="F47" s="625">
        <f>Lambayeque!E22</f>
        <v>899469200.39302957</v>
      </c>
      <c r="G47" s="625">
        <f>Lambayeque!F22</f>
        <v>9984.1562224292829</v>
      </c>
    </row>
    <row r="48" spans="1:7" x14ac:dyDescent="0.3">
      <c r="A48" s="497" t="s">
        <v>14</v>
      </c>
      <c r="B48" s="419">
        <v>2018</v>
      </c>
      <c r="C48" s="624">
        <f>La_Libertad!B23</f>
        <v>11267</v>
      </c>
      <c r="D48" s="506">
        <f>La_Libertad!C23</f>
        <v>20.830604464164715</v>
      </c>
      <c r="E48" s="506">
        <f>La_Libertad!D23</f>
        <v>3.2352450745834633</v>
      </c>
      <c r="F48" s="624">
        <f>La_Libertad!E23</f>
        <v>1466000237.0406699</v>
      </c>
      <c r="G48" s="624">
        <f>La_Libertad!F23</f>
        <v>11122.946380783698</v>
      </c>
    </row>
    <row r="49" spans="1:7" x14ac:dyDescent="0.3">
      <c r="A49" s="497" t="s">
        <v>21</v>
      </c>
      <c r="B49" s="419">
        <v>2018</v>
      </c>
      <c r="C49" s="624">
        <f>Piura!B23</f>
        <v>10007</v>
      </c>
      <c r="D49" s="506">
        <f>Piura!C23</f>
        <v>27.533428882837445</v>
      </c>
      <c r="E49" s="506">
        <f>Piura!D23</f>
        <v>3.0527670545137346</v>
      </c>
      <c r="F49" s="624">
        <f>Piura!E23</f>
        <v>1561618451.6215024</v>
      </c>
      <c r="G49" s="624">
        <f>Piura!F23</f>
        <v>9683.9516609551429</v>
      </c>
    </row>
    <row r="50" spans="1:7" x14ac:dyDescent="0.3">
      <c r="A50" s="498" t="s">
        <v>15</v>
      </c>
      <c r="B50" s="499">
        <v>2018</v>
      </c>
      <c r="C50" s="625">
        <f>Lambayeque!B23</f>
        <v>9319</v>
      </c>
      <c r="D50" s="507">
        <f>Lambayeque!C23</f>
        <v>10.189557057363029</v>
      </c>
      <c r="E50" s="507">
        <f>Lambayeque!D23</f>
        <v>0.57872889511045023</v>
      </c>
      <c r="F50" s="625">
        <f>Lambayeque!E23</f>
        <v>836429557.29428363</v>
      </c>
      <c r="G50" s="625">
        <f>Lambayeque!F23</f>
        <v>10432.600167641962</v>
      </c>
    </row>
    <row r="51" spans="1:7" x14ac:dyDescent="0.3">
      <c r="A51" s="497" t="s">
        <v>14</v>
      </c>
      <c r="B51" s="419">
        <v>2019</v>
      </c>
      <c r="C51" s="624">
        <f>La_Libertad!B24</f>
        <v>11434</v>
      </c>
      <c r="D51" s="506">
        <f>La_Libertad!C24</f>
        <v>24.729512094054709</v>
      </c>
      <c r="E51" s="506">
        <f>La_Libertad!D24</f>
        <v>6.2632455575121702</v>
      </c>
      <c r="F51" s="624">
        <f>La_Libertad!E24</f>
        <v>1489009623.6924295</v>
      </c>
      <c r="G51" s="624">
        <f>La_Libertad!F24</f>
        <v>11255.126720280321</v>
      </c>
    </row>
    <row r="52" spans="1:7" x14ac:dyDescent="0.3">
      <c r="A52" s="497" t="s">
        <v>21</v>
      </c>
      <c r="B52" s="419">
        <v>2019</v>
      </c>
      <c r="C52" s="624">
        <f>Piura!B24</f>
        <v>10244</v>
      </c>
      <c r="D52" s="506">
        <f>Piura!C24</f>
        <v>24.182232786724079</v>
      </c>
      <c r="E52" s="506">
        <f>Piura!D24</f>
        <v>2.5136187746255514</v>
      </c>
      <c r="F52" s="624">
        <f>Piura!E24</f>
        <v>1666478464.0760999</v>
      </c>
      <c r="G52" s="624">
        <f>Piura!F24</f>
        <v>9864.5823986221039</v>
      </c>
    </row>
    <row r="53" spans="1:7" x14ac:dyDescent="0.3">
      <c r="A53" s="498" t="s">
        <v>15</v>
      </c>
      <c r="B53" s="499">
        <v>2019</v>
      </c>
      <c r="C53" s="625">
        <f>Lambayeque!B24</f>
        <v>9375</v>
      </c>
      <c r="D53" s="507">
        <f>Lambayeque!C24</f>
        <v>8.4617009262576524</v>
      </c>
      <c r="E53" s="507">
        <f>Lambayeque!D24</f>
        <v>0.23623128040626265</v>
      </c>
      <c r="F53" s="625">
        <f>Lambayeque!E24</f>
        <v>812515575.45144665</v>
      </c>
      <c r="G53" s="625">
        <f>Lambayeque!F24</f>
        <v>10360.742981315292</v>
      </c>
    </row>
    <row r="54" spans="1:7" x14ac:dyDescent="0.3">
      <c r="A54" s="497" t="s">
        <v>14</v>
      </c>
      <c r="B54" s="419">
        <v>2020</v>
      </c>
      <c r="C54" s="624">
        <f>La_Libertad!B25</f>
        <v>10524</v>
      </c>
      <c r="D54" s="506">
        <f>La_Libertad!C25</f>
        <v>31.929651502259276</v>
      </c>
      <c r="E54" s="506">
        <f>La_Libertad!D25</f>
        <v>6.1790078340642554</v>
      </c>
      <c r="F54" s="624">
        <f>La_Libertad!E25</f>
        <v>1809289771.9500299</v>
      </c>
      <c r="G54" s="624">
        <f>La_Libertad!F25</f>
        <v>9686.8956987761121</v>
      </c>
    </row>
    <row r="55" spans="1:7" x14ac:dyDescent="0.3">
      <c r="A55" s="497" t="s">
        <v>21</v>
      </c>
      <c r="B55" s="419">
        <v>2020</v>
      </c>
      <c r="C55" s="624">
        <f>Piura!B25</f>
        <v>9219</v>
      </c>
      <c r="D55" s="506">
        <f>Piura!C25</f>
        <v>34.97893624595433</v>
      </c>
      <c r="E55" s="506">
        <f>Piura!D25</f>
        <v>4.5523103139367906</v>
      </c>
      <c r="F55" s="624">
        <f>Piura!E25</f>
        <v>2204947272.2509656</v>
      </c>
      <c r="G55" s="624">
        <f>Piura!F25</f>
        <v>8237.6350281190662</v>
      </c>
    </row>
    <row r="56" spans="1:7" x14ac:dyDescent="0.3">
      <c r="A56" s="498" t="s">
        <v>15</v>
      </c>
      <c r="B56" s="499">
        <v>2020</v>
      </c>
      <c r="C56" s="625">
        <f>Lambayeque!B25</f>
        <v>8656</v>
      </c>
      <c r="D56" s="507">
        <f>Lambayeque!C25</f>
        <v>14.218495460021177</v>
      </c>
      <c r="E56" s="507">
        <f>Lambayeque!D25</f>
        <v>0.7696328383401897</v>
      </c>
      <c r="F56" s="625">
        <f>Lambayeque!E25</f>
        <v>1043488193.7376826</v>
      </c>
      <c r="G56" s="625">
        <f>Lambayeque!F25</f>
        <v>9624.0417000066464</v>
      </c>
    </row>
    <row r="57" spans="1:7" x14ac:dyDescent="0.3">
      <c r="A57" s="497" t="s">
        <v>14</v>
      </c>
      <c r="B57" s="419">
        <v>2021</v>
      </c>
      <c r="C57" s="624">
        <f>La_Libertad!B26</f>
        <v>11487</v>
      </c>
      <c r="D57" s="506">
        <f>La_Libertad!C26</f>
        <v>26.763162920657628</v>
      </c>
      <c r="E57" s="506">
        <f>La_Libertad!D26</f>
        <v>5.8192720266070284</v>
      </c>
      <c r="F57" s="624">
        <f>La_Libertad!E26</f>
        <v>2122001737.0032959</v>
      </c>
      <c r="G57" s="624">
        <f>La_Libertad!F26</f>
        <v>10602.566648801389</v>
      </c>
    </row>
    <row r="58" spans="1:7" x14ac:dyDescent="0.3">
      <c r="A58" s="497" t="s">
        <v>21</v>
      </c>
      <c r="B58" s="419">
        <v>2021</v>
      </c>
      <c r="C58" s="624">
        <f>Piura!B26</f>
        <v>10181</v>
      </c>
      <c r="D58" s="506">
        <f>Piura!C26</f>
        <v>25.305733084310976</v>
      </c>
      <c r="E58" s="506">
        <f>Piura!D26</f>
        <v>2.3855415530357424</v>
      </c>
      <c r="F58" s="624">
        <f>Piura!E26</f>
        <v>2653667676.4137893</v>
      </c>
      <c r="G58" s="624">
        <f>Piura!F26</f>
        <v>8619.0159962184953</v>
      </c>
    </row>
    <row r="59" spans="1:7" x14ac:dyDescent="0.3">
      <c r="A59" s="498" t="s">
        <v>15</v>
      </c>
      <c r="B59" s="499">
        <v>2021</v>
      </c>
      <c r="C59" s="625">
        <f>Lambayeque!B26</f>
        <v>9863</v>
      </c>
      <c r="D59" s="507">
        <f>Lambayeque!C26</f>
        <v>11.256676703374488</v>
      </c>
      <c r="E59" s="507">
        <f>Lambayeque!D26</f>
        <v>0.14232586220612772</v>
      </c>
      <c r="F59" s="625">
        <f>Lambayeque!E26</f>
        <v>1215154477.5604081</v>
      </c>
      <c r="G59" s="625">
        <f>Lambayeque!F26</f>
        <v>9299.3059056316579</v>
      </c>
    </row>
    <row r="60" spans="1:7" x14ac:dyDescent="0.3">
      <c r="A60" s="497" t="s">
        <v>14</v>
      </c>
      <c r="B60" s="419">
        <v>2022</v>
      </c>
      <c r="C60" s="624">
        <f>La_Libertad!B27</f>
        <v>11501</v>
      </c>
      <c r="D60" s="506">
        <f>La_Libertad!C27</f>
        <v>28.414148782991894</v>
      </c>
      <c r="E60" s="506">
        <f>La_Libertad!D27</f>
        <v>4.3763711307984767</v>
      </c>
      <c r="F60" s="624">
        <f>La_Libertad!E27</f>
        <v>1958661629.6645412</v>
      </c>
      <c r="G60" s="624">
        <f>La_Libertad!F27</f>
        <v>10598.793297912698</v>
      </c>
    </row>
    <row r="61" spans="1:7" x14ac:dyDescent="0.3">
      <c r="A61" s="497" t="s">
        <v>21</v>
      </c>
      <c r="B61" s="419">
        <v>2022</v>
      </c>
      <c r="C61" s="624">
        <f>Piura!B27</f>
        <v>10009</v>
      </c>
      <c r="D61" s="506">
        <f>Piura!C27</f>
        <v>30.425512239673012</v>
      </c>
      <c r="E61" s="506">
        <f>Piura!D27</f>
        <v>3.3629549705790804</v>
      </c>
      <c r="F61" s="624">
        <f>Piura!E27</f>
        <v>2941510815.3807402</v>
      </c>
      <c r="G61" s="624">
        <f>Piura!F27</f>
        <v>9611.063684240642</v>
      </c>
    </row>
    <row r="62" spans="1:7" x14ac:dyDescent="0.3">
      <c r="A62" s="498" t="s">
        <v>15</v>
      </c>
      <c r="B62" s="499">
        <v>2022</v>
      </c>
      <c r="C62" s="625">
        <f>Lambayeque!B27</f>
        <v>9979</v>
      </c>
      <c r="D62" s="507">
        <f>Lambayeque!C27</f>
        <v>12.132042000839807</v>
      </c>
      <c r="E62" s="507">
        <f>Lambayeque!D27</f>
        <v>0.82878021611712938</v>
      </c>
      <c r="F62" s="625">
        <f>Lambayeque!E27</f>
        <v>1146648387.096354</v>
      </c>
      <c r="G62" s="625">
        <f>Lambayeque!F27</f>
        <v>10225.057768415165</v>
      </c>
    </row>
  </sheetData>
  <pageMargins left="0.7" right="0.7" top="0.75" bottom="0.75" header="0.3" footer="0.3"/>
  <ignoredErrors>
    <ignoredError sqref="F6 F39 F42 F45 F48:F51 F54 F57 F60 F9 F12 F15 F18 F21 F24 F27 F30 F33 F36 F61:F62 F58:F59 F55:F56 F52:F53 F46:F47 F43:F44 F40:F41 F37:F38 F34:F35 F31:F32 F28:F29 F25:F26 F22:F23 F19:F20 F16:F17 F13:F14 F10:F11 F7:F8" calculatedColumn="1"/>
  </ignoredErrors>
  <tableParts count="1">
    <tablePart r:id="rId1"/>
  </tableParts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B2BCF-B6A9-480A-8AA3-1E9CD0C087EF}">
  <dimension ref="A1:Y174"/>
  <sheetViews>
    <sheetView topLeftCell="A8" workbookViewId="0">
      <selection activeCell="A90" sqref="A90"/>
    </sheetView>
  </sheetViews>
  <sheetFormatPr baseColWidth="10" defaultRowHeight="14.4" x14ac:dyDescent="0.3"/>
  <cols>
    <col min="1" max="1" width="25.88671875" customWidth="1"/>
    <col min="2" max="2" width="21.6640625" customWidth="1"/>
    <col min="3" max="3" width="31.77734375" customWidth="1"/>
    <col min="4" max="4" width="32.5546875" customWidth="1"/>
    <col min="5" max="5" width="25.44140625" customWidth="1"/>
    <col min="6" max="6" width="26.109375" customWidth="1"/>
    <col min="7" max="7" width="20.77734375" customWidth="1"/>
    <col min="8" max="8" width="14.77734375" customWidth="1"/>
    <col min="9" max="9" width="15.109375" customWidth="1"/>
    <col min="10" max="10" width="15.5546875" customWidth="1"/>
    <col min="11" max="11" width="16.33203125" customWidth="1"/>
    <col min="12" max="12" width="16.21875" customWidth="1"/>
    <col min="13" max="13" width="15.33203125" customWidth="1"/>
    <col min="14" max="14" width="14.88671875" customWidth="1"/>
    <col min="15" max="15" width="16.77734375" customWidth="1"/>
    <col min="16" max="16" width="14.77734375" customWidth="1"/>
    <col min="17" max="17" width="18.109375" customWidth="1"/>
    <col min="18" max="23" width="19" bestFit="1" customWidth="1"/>
    <col min="24" max="24" width="16.33203125" customWidth="1"/>
  </cols>
  <sheetData>
    <row r="1" spans="1:6" ht="15.6" x14ac:dyDescent="0.3">
      <c r="A1" s="480" t="s">
        <v>1049</v>
      </c>
    </row>
    <row r="2" spans="1:6" ht="18" x14ac:dyDescent="0.35">
      <c r="A2" s="501" t="s">
        <v>1048</v>
      </c>
    </row>
    <row r="3" spans="1:6" x14ac:dyDescent="0.3">
      <c r="A3" t="s">
        <v>1047</v>
      </c>
    </row>
    <row r="5" spans="1:6" ht="18.600000000000001" thickBot="1" x14ac:dyDescent="0.4">
      <c r="A5" s="488" t="s">
        <v>1035</v>
      </c>
      <c r="B5" s="489" t="s">
        <v>1009</v>
      </c>
      <c r="C5" s="490" t="s">
        <v>928</v>
      </c>
      <c r="D5" s="490" t="s">
        <v>929</v>
      </c>
      <c r="E5" s="491" t="s">
        <v>876</v>
      </c>
      <c r="F5" s="491" t="s">
        <v>862</v>
      </c>
    </row>
    <row r="6" spans="1:6" ht="18" x14ac:dyDescent="0.35">
      <c r="A6" s="352">
        <v>2001</v>
      </c>
      <c r="B6" s="525">
        <f>C37</f>
        <v>5936.5217696629215</v>
      </c>
      <c r="C6" s="527"/>
      <c r="D6" s="527"/>
      <c r="E6" s="525">
        <f>B122</f>
        <v>316286033.57553655</v>
      </c>
      <c r="F6" s="525">
        <f>G152</f>
        <v>6646.8769661474744</v>
      </c>
    </row>
    <row r="7" spans="1:6" ht="18" x14ac:dyDescent="0.35">
      <c r="A7" s="352">
        <v>2002</v>
      </c>
      <c r="B7" s="525">
        <f t="shared" ref="B7:B27" si="0">C38</f>
        <v>6225.6502808988771</v>
      </c>
      <c r="C7" s="527"/>
      <c r="D7" s="527"/>
      <c r="E7" s="525">
        <f t="shared" ref="E7:E28" si="1">B123</f>
        <v>221678622.60667473</v>
      </c>
      <c r="F7" s="525">
        <f t="shared" ref="F7:F28" si="2">G153</f>
        <v>7488.3142440487627</v>
      </c>
    </row>
    <row r="8" spans="1:6" ht="18" x14ac:dyDescent="0.35">
      <c r="A8" s="352">
        <v>2003</v>
      </c>
      <c r="B8" s="525">
        <f t="shared" si="0"/>
        <v>6539.1857443820227</v>
      </c>
      <c r="C8" s="527"/>
      <c r="D8" s="527"/>
      <c r="E8" s="525">
        <f t="shared" si="1"/>
        <v>445227317.27849764</v>
      </c>
      <c r="F8" s="525">
        <f t="shared" si="2"/>
        <v>7106.123967759142</v>
      </c>
    </row>
    <row r="9" spans="1:6" ht="18" x14ac:dyDescent="0.35">
      <c r="A9" s="352">
        <v>2004</v>
      </c>
      <c r="B9" s="525">
        <f t="shared" si="0"/>
        <v>6402.1313202247193</v>
      </c>
      <c r="C9" s="527">
        <f>+H65</f>
        <v>58.888671392946989</v>
      </c>
      <c r="D9" s="527">
        <f>+G65</f>
        <v>19.66580622747907</v>
      </c>
      <c r="E9" s="525">
        <f t="shared" si="1"/>
        <v>400825599.08987802</v>
      </c>
      <c r="F9" s="525">
        <f t="shared" si="2"/>
        <v>7784.1597999429669</v>
      </c>
    </row>
    <row r="10" spans="1:6" ht="18" x14ac:dyDescent="0.35">
      <c r="A10" s="352">
        <v>2005</v>
      </c>
      <c r="B10" s="525">
        <f t="shared" si="0"/>
        <v>6940.9617275280898</v>
      </c>
      <c r="C10" s="527">
        <f t="shared" ref="C10:C28" si="3">+H66</f>
        <v>49.152723729699424</v>
      </c>
      <c r="D10" s="527">
        <f t="shared" ref="D10:D28" si="4">+G66</f>
        <v>14.550285903572814</v>
      </c>
      <c r="E10" s="525">
        <f t="shared" si="1"/>
        <v>424940157.57925916</v>
      </c>
      <c r="F10" s="525">
        <f t="shared" si="2"/>
        <v>7793.3724513357975</v>
      </c>
    </row>
    <row r="11" spans="1:6" ht="18" x14ac:dyDescent="0.35">
      <c r="A11" s="352">
        <v>2006</v>
      </c>
      <c r="B11" s="525">
        <f t="shared" si="0"/>
        <v>7915.3623595505624</v>
      </c>
      <c r="C11" s="527">
        <f t="shared" si="3"/>
        <v>49.684836536338835</v>
      </c>
      <c r="D11" s="527">
        <f t="shared" si="4"/>
        <v>13.930988064672537</v>
      </c>
      <c r="E11" s="525">
        <f t="shared" si="1"/>
        <v>467488236.27474123</v>
      </c>
      <c r="F11" s="525">
        <f t="shared" si="2"/>
        <v>7207.4618435875436</v>
      </c>
    </row>
    <row r="12" spans="1:6" ht="18" x14ac:dyDescent="0.35">
      <c r="A12" s="352">
        <v>2007</v>
      </c>
      <c r="B12" s="525">
        <f t="shared" si="0"/>
        <v>8610.0217696629225</v>
      </c>
      <c r="C12" s="527">
        <f t="shared" si="3"/>
        <v>39.052222923290429</v>
      </c>
      <c r="D12" s="527">
        <f t="shared" si="4"/>
        <v>9.9556581114099725</v>
      </c>
      <c r="E12" s="525">
        <f t="shared" si="1"/>
        <v>586844046</v>
      </c>
      <c r="F12" s="525">
        <f t="shared" si="2"/>
        <v>9830.5251984520455</v>
      </c>
    </row>
    <row r="13" spans="1:6" ht="18" x14ac:dyDescent="0.35">
      <c r="A13" s="352">
        <v>2008</v>
      </c>
      <c r="B13" s="525">
        <f t="shared" si="0"/>
        <v>9150.7296348314612</v>
      </c>
      <c r="C13" s="527">
        <f t="shared" si="3"/>
        <v>38.586058393561004</v>
      </c>
      <c r="D13" s="527">
        <f t="shared" si="4"/>
        <v>13.492516865508932</v>
      </c>
      <c r="E13" s="525">
        <f t="shared" si="1"/>
        <v>722791437.38209403</v>
      </c>
      <c r="F13" s="525">
        <f t="shared" si="2"/>
        <v>9054.4470926969479</v>
      </c>
    </row>
    <row r="14" spans="1:6" ht="18" x14ac:dyDescent="0.35">
      <c r="A14" s="352">
        <v>2009</v>
      </c>
      <c r="B14" s="525">
        <f t="shared" si="0"/>
        <v>9233.3377808988771</v>
      </c>
      <c r="C14" s="527">
        <f t="shared" si="3"/>
        <v>35.158676013994906</v>
      </c>
      <c r="D14" s="527">
        <f t="shared" si="4"/>
        <v>10.919167417955892</v>
      </c>
      <c r="E14" s="525">
        <f t="shared" si="1"/>
        <v>840470062.45199013</v>
      </c>
      <c r="F14" s="525">
        <f t="shared" si="2"/>
        <v>10763.050510397752</v>
      </c>
    </row>
    <row r="15" spans="1:6" ht="18" x14ac:dyDescent="0.35">
      <c r="A15" s="352">
        <v>2010</v>
      </c>
      <c r="B15" s="525">
        <f t="shared" si="0"/>
        <v>9711</v>
      </c>
      <c r="C15" s="527">
        <f t="shared" si="3"/>
        <v>31.421462204705712</v>
      </c>
      <c r="D15" s="527">
        <f t="shared" si="4"/>
        <v>9.7145203174804617</v>
      </c>
      <c r="E15" s="525">
        <f t="shared" si="1"/>
        <v>996513063.17282891</v>
      </c>
      <c r="F15" s="525">
        <f t="shared" si="2"/>
        <v>9789.061354746751</v>
      </c>
    </row>
    <row r="16" spans="1:6" ht="18" x14ac:dyDescent="0.35">
      <c r="A16" s="352">
        <v>2011</v>
      </c>
      <c r="B16" s="525">
        <f t="shared" si="0"/>
        <v>10040</v>
      </c>
      <c r="C16" s="527">
        <f t="shared" si="3"/>
        <v>29.369508103888737</v>
      </c>
      <c r="D16" s="527">
        <f t="shared" si="4"/>
        <v>8.2098441776883853</v>
      </c>
      <c r="E16" s="525">
        <f t="shared" si="1"/>
        <v>993040556.997756</v>
      </c>
      <c r="F16" s="525">
        <f t="shared" si="2"/>
        <v>9228.2654703116932</v>
      </c>
    </row>
    <row r="17" spans="1:6" ht="18" x14ac:dyDescent="0.35">
      <c r="A17" s="352">
        <v>2012</v>
      </c>
      <c r="B17" s="525">
        <f t="shared" si="0"/>
        <v>10694</v>
      </c>
      <c r="C17" s="527">
        <f t="shared" si="3"/>
        <v>30.632667445922465</v>
      </c>
      <c r="D17" s="527">
        <f t="shared" si="4"/>
        <v>8.4145805327891612</v>
      </c>
      <c r="E17" s="525">
        <f t="shared" si="1"/>
        <v>1183683603.517777</v>
      </c>
      <c r="F17" s="525">
        <f t="shared" si="2"/>
        <v>10192.641909601372</v>
      </c>
    </row>
    <row r="18" spans="1:6" ht="18" x14ac:dyDescent="0.35">
      <c r="A18" s="352">
        <v>2013</v>
      </c>
      <c r="B18" s="525">
        <f t="shared" si="0"/>
        <v>11034</v>
      </c>
      <c r="C18" s="527">
        <f t="shared" si="3"/>
        <v>29.456005664685286</v>
      </c>
      <c r="D18" s="527">
        <f t="shared" si="4"/>
        <v>7.4957035110124703</v>
      </c>
      <c r="E18" s="525">
        <f t="shared" si="1"/>
        <v>1246905039.0128293</v>
      </c>
      <c r="F18" s="525">
        <f t="shared" si="2"/>
        <v>10483.604309343778</v>
      </c>
    </row>
    <row r="19" spans="1:6" ht="18" x14ac:dyDescent="0.35">
      <c r="A19" s="352">
        <v>2014</v>
      </c>
      <c r="B19" s="525">
        <f t="shared" si="0"/>
        <v>11052</v>
      </c>
      <c r="C19" s="527">
        <f t="shared" si="3"/>
        <v>27.422392365577302</v>
      </c>
      <c r="D19" s="527">
        <f t="shared" si="4"/>
        <v>5.4644378214137079</v>
      </c>
      <c r="E19" s="525">
        <f t="shared" si="1"/>
        <v>1306583209.7478817</v>
      </c>
      <c r="F19" s="525">
        <f t="shared" si="2"/>
        <v>10746.007464182216</v>
      </c>
    </row>
    <row r="20" spans="1:6" ht="18" x14ac:dyDescent="0.35">
      <c r="A20" s="352">
        <v>2015</v>
      </c>
      <c r="B20" s="525">
        <f t="shared" si="0"/>
        <v>11132</v>
      </c>
      <c r="C20" s="527">
        <f t="shared" si="3"/>
        <v>25.860357188646585</v>
      </c>
      <c r="D20" s="527">
        <f t="shared" si="4"/>
        <v>6.3056648540833855</v>
      </c>
      <c r="E20" s="525">
        <f t="shared" si="1"/>
        <v>1253331659.2292576</v>
      </c>
      <c r="F20" s="525">
        <f t="shared" si="2"/>
        <v>10814.204331200528</v>
      </c>
    </row>
    <row r="21" spans="1:6" ht="18" x14ac:dyDescent="0.35">
      <c r="A21" s="352">
        <v>2016</v>
      </c>
      <c r="B21" s="525">
        <f t="shared" si="0"/>
        <v>11019</v>
      </c>
      <c r="C21" s="527">
        <f t="shared" si="3"/>
        <v>24.468292255118257</v>
      </c>
      <c r="D21" s="527">
        <f t="shared" si="4"/>
        <v>4.4435021042281022</v>
      </c>
      <c r="E21" s="525">
        <f t="shared" si="1"/>
        <v>1362163550.5952706</v>
      </c>
      <c r="F21" s="525">
        <f t="shared" si="2"/>
        <v>11187.082973456458</v>
      </c>
    </row>
    <row r="22" spans="1:6" ht="18" x14ac:dyDescent="0.35">
      <c r="A22" s="352">
        <v>2017</v>
      </c>
      <c r="B22" s="525">
        <f t="shared" si="0"/>
        <v>10969</v>
      </c>
      <c r="C22" s="527">
        <f t="shared" si="3"/>
        <v>23.483814761833003</v>
      </c>
      <c r="D22" s="527">
        <f t="shared" si="4"/>
        <v>4.3425362593290755</v>
      </c>
      <c r="E22" s="525">
        <f t="shared" si="1"/>
        <v>1489335661.4907095</v>
      </c>
      <c r="F22" s="525">
        <f t="shared" si="2"/>
        <v>11269.348798611765</v>
      </c>
    </row>
    <row r="23" spans="1:6" ht="18" x14ac:dyDescent="0.35">
      <c r="A23" s="352">
        <v>2018</v>
      </c>
      <c r="B23" s="525">
        <f t="shared" si="0"/>
        <v>11267</v>
      </c>
      <c r="C23" s="527">
        <f t="shared" si="3"/>
        <v>20.830604464164715</v>
      </c>
      <c r="D23" s="527">
        <f t="shared" si="4"/>
        <v>3.2352450745834633</v>
      </c>
      <c r="E23" s="525">
        <f t="shared" si="1"/>
        <v>1466000237.0406699</v>
      </c>
      <c r="F23" s="525">
        <f t="shared" si="2"/>
        <v>11122.946380783698</v>
      </c>
    </row>
    <row r="24" spans="1:6" ht="18" x14ac:dyDescent="0.35">
      <c r="A24" s="352">
        <v>2019</v>
      </c>
      <c r="B24" s="525">
        <f t="shared" si="0"/>
        <v>11434</v>
      </c>
      <c r="C24" s="527">
        <f t="shared" si="3"/>
        <v>24.729512094054709</v>
      </c>
      <c r="D24" s="527">
        <f t="shared" si="4"/>
        <v>6.2632455575121702</v>
      </c>
      <c r="E24" s="525">
        <f t="shared" si="1"/>
        <v>1489009623.6924295</v>
      </c>
      <c r="F24" s="525">
        <f t="shared" si="2"/>
        <v>11255.126720280321</v>
      </c>
    </row>
    <row r="25" spans="1:6" ht="18" x14ac:dyDescent="0.35">
      <c r="A25" s="352">
        <v>2020</v>
      </c>
      <c r="B25" s="525">
        <f t="shared" si="0"/>
        <v>10524</v>
      </c>
      <c r="C25" s="527">
        <f t="shared" si="3"/>
        <v>31.929651502259276</v>
      </c>
      <c r="D25" s="527">
        <f t="shared" si="4"/>
        <v>6.1790078340642554</v>
      </c>
      <c r="E25" s="525">
        <f t="shared" si="1"/>
        <v>1809289771.9500299</v>
      </c>
      <c r="F25" s="525">
        <f t="shared" si="2"/>
        <v>9686.8956987761121</v>
      </c>
    </row>
    <row r="26" spans="1:6" ht="18" x14ac:dyDescent="0.35">
      <c r="A26" s="352">
        <v>2021</v>
      </c>
      <c r="B26" s="525">
        <f t="shared" si="0"/>
        <v>11487</v>
      </c>
      <c r="C26" s="527">
        <f t="shared" si="3"/>
        <v>26.763162920657628</v>
      </c>
      <c r="D26" s="527">
        <f t="shared" si="4"/>
        <v>5.8192720266070284</v>
      </c>
      <c r="E26" s="525">
        <f t="shared" si="1"/>
        <v>2122001737.0032959</v>
      </c>
      <c r="F26" s="525">
        <f t="shared" si="2"/>
        <v>10602.566648801389</v>
      </c>
    </row>
    <row r="27" spans="1:6" ht="18" x14ac:dyDescent="0.35">
      <c r="A27" s="352">
        <v>2022</v>
      </c>
      <c r="B27" s="525">
        <f t="shared" si="0"/>
        <v>11501</v>
      </c>
      <c r="C27" s="527">
        <f t="shared" si="3"/>
        <v>28.414148782991894</v>
      </c>
      <c r="D27" s="527">
        <f t="shared" si="4"/>
        <v>4.3763711307984767</v>
      </c>
      <c r="E27" s="525">
        <f t="shared" si="1"/>
        <v>1958661629.6645412</v>
      </c>
      <c r="F27" s="525">
        <f t="shared" si="2"/>
        <v>10598.793297912698</v>
      </c>
    </row>
    <row r="28" spans="1:6" ht="18" x14ac:dyDescent="0.35">
      <c r="A28" s="352">
        <v>2023</v>
      </c>
      <c r="B28" s="525"/>
      <c r="C28" s="527">
        <f t="shared" si="3"/>
        <v>31.606651446256862</v>
      </c>
      <c r="D28" s="527">
        <f t="shared" si="4"/>
        <v>6.9678318423750785</v>
      </c>
      <c r="E28" s="525">
        <f t="shared" si="1"/>
        <v>1912460399.4722166</v>
      </c>
      <c r="F28" s="525">
        <f t="shared" si="2"/>
        <v>10614.62321303681</v>
      </c>
    </row>
    <row r="31" spans="1:6" ht="14.4" customHeight="1" x14ac:dyDescent="0.3">
      <c r="A31" s="611" t="s">
        <v>1078</v>
      </c>
      <c r="B31" s="611"/>
      <c r="C31" s="611"/>
      <c r="D31" s="611"/>
      <c r="E31" s="611"/>
      <c r="F31" s="611"/>
    </row>
    <row r="32" spans="1:6" ht="13.8" customHeight="1" x14ac:dyDescent="0.3">
      <c r="A32" s="611"/>
      <c r="B32" s="611"/>
      <c r="C32" s="611"/>
      <c r="D32" s="611"/>
      <c r="E32" s="611"/>
      <c r="F32" s="611"/>
    </row>
    <row r="33" spans="1:7" ht="13.8" customHeight="1" x14ac:dyDescent="0.3">
      <c r="A33" s="347" t="s">
        <v>1051</v>
      </c>
      <c r="B33" s="347"/>
      <c r="C33" s="347"/>
      <c r="D33" s="347"/>
      <c r="E33" s="347"/>
      <c r="F33" s="347"/>
    </row>
    <row r="34" spans="1:7" ht="13.8" customHeight="1" x14ac:dyDescent="0.3">
      <c r="A34" s="347"/>
      <c r="B34" s="347"/>
      <c r="C34" s="347"/>
      <c r="D34" s="347"/>
      <c r="E34" s="347"/>
      <c r="F34" s="347"/>
    </row>
    <row r="35" spans="1:7" x14ac:dyDescent="0.3">
      <c r="A35" s="537" t="s">
        <v>1054</v>
      </c>
      <c r="B35" s="537"/>
      <c r="C35" s="537"/>
      <c r="D35" s="537"/>
      <c r="F35" s="504"/>
    </row>
    <row r="36" spans="1:7" x14ac:dyDescent="0.3">
      <c r="B36" t="s">
        <v>1055</v>
      </c>
      <c r="C36" t="s">
        <v>1056</v>
      </c>
      <c r="D36" t="s">
        <v>875</v>
      </c>
      <c r="F36" s="504"/>
    </row>
    <row r="37" spans="1:7" x14ac:dyDescent="0.3">
      <c r="A37">
        <v>2001</v>
      </c>
      <c r="B37">
        <v>3162</v>
      </c>
      <c r="C37" s="331">
        <f>B37*$D$48</f>
        <v>5936.5217696629215</v>
      </c>
      <c r="F37" s="504"/>
    </row>
    <row r="38" spans="1:7" x14ac:dyDescent="0.3">
      <c r="A38">
        <v>2002</v>
      </c>
      <c r="B38">
        <v>3316</v>
      </c>
      <c r="C38" s="331">
        <f t="shared" ref="C38:C45" si="5">B38*$D$48</f>
        <v>6225.6502808988771</v>
      </c>
      <c r="F38" s="504"/>
    </row>
    <row r="39" spans="1:7" x14ac:dyDescent="0.3">
      <c r="A39">
        <v>2003</v>
      </c>
      <c r="B39">
        <v>3483</v>
      </c>
      <c r="C39" s="331">
        <f t="shared" si="5"/>
        <v>6539.1857443820227</v>
      </c>
      <c r="F39" s="504"/>
    </row>
    <row r="40" spans="1:7" x14ac:dyDescent="0.3">
      <c r="A40">
        <v>2004</v>
      </c>
      <c r="B40">
        <v>3410</v>
      </c>
      <c r="C40" s="331">
        <f t="shared" si="5"/>
        <v>6402.1313202247193</v>
      </c>
      <c r="F40" s="504"/>
    </row>
    <row r="41" spans="1:7" x14ac:dyDescent="0.3">
      <c r="A41">
        <v>2005</v>
      </c>
      <c r="B41">
        <v>3697</v>
      </c>
      <c r="C41" s="331">
        <f t="shared" si="5"/>
        <v>6940.9617275280898</v>
      </c>
      <c r="F41" s="504"/>
    </row>
    <row r="42" spans="1:7" x14ac:dyDescent="0.3">
      <c r="A42">
        <v>2006</v>
      </c>
      <c r="B42">
        <v>4216</v>
      </c>
      <c r="C42" s="331">
        <f t="shared" si="5"/>
        <v>7915.3623595505624</v>
      </c>
      <c r="F42" s="504"/>
    </row>
    <row r="43" spans="1:7" x14ac:dyDescent="0.3">
      <c r="A43">
        <v>2007</v>
      </c>
      <c r="B43">
        <v>4586</v>
      </c>
      <c r="C43" s="331">
        <f t="shared" si="5"/>
        <v>8610.0217696629225</v>
      </c>
      <c r="F43" s="504"/>
    </row>
    <row r="44" spans="1:7" x14ac:dyDescent="0.3">
      <c r="A44">
        <v>2008</v>
      </c>
      <c r="B44">
        <v>4874</v>
      </c>
      <c r="C44" s="331">
        <f t="shared" si="5"/>
        <v>9150.7296348314612</v>
      </c>
      <c r="F44" s="504"/>
      <c r="G44" s="504"/>
    </row>
    <row r="45" spans="1:7" x14ac:dyDescent="0.3">
      <c r="A45">
        <v>2009</v>
      </c>
      <c r="B45">
        <v>4918</v>
      </c>
      <c r="C45" s="331">
        <f t="shared" si="5"/>
        <v>9233.3377808988771</v>
      </c>
      <c r="F45" s="504"/>
      <c r="G45" s="504"/>
    </row>
    <row r="46" spans="1:7" x14ac:dyDescent="0.3">
      <c r="A46">
        <v>2010</v>
      </c>
      <c r="B46">
        <v>5262</v>
      </c>
      <c r="C46" s="331">
        <v>9711</v>
      </c>
      <c r="F46" s="504"/>
      <c r="G46" s="504"/>
    </row>
    <row r="47" spans="1:7" x14ac:dyDescent="0.3">
      <c r="A47">
        <v>2011</v>
      </c>
      <c r="B47">
        <v>5435</v>
      </c>
      <c r="C47" s="331">
        <v>10040</v>
      </c>
      <c r="F47" s="504"/>
      <c r="G47" s="504"/>
    </row>
    <row r="48" spans="1:7" ht="15.6" x14ac:dyDescent="0.3">
      <c r="A48">
        <v>2012</v>
      </c>
      <c r="B48">
        <v>5696</v>
      </c>
      <c r="C48" s="331">
        <v>10694</v>
      </c>
      <c r="D48" s="508">
        <f>+C48/B48</f>
        <v>1.8774578651685394</v>
      </c>
      <c r="F48" s="504"/>
      <c r="G48" s="504"/>
    </row>
    <row r="49" spans="1:8" x14ac:dyDescent="0.3">
      <c r="A49">
        <v>2013</v>
      </c>
      <c r="B49" s="331"/>
      <c r="C49" s="331">
        <v>11034</v>
      </c>
      <c r="F49" s="504"/>
      <c r="G49" s="504"/>
    </row>
    <row r="50" spans="1:8" x14ac:dyDescent="0.3">
      <c r="A50">
        <v>2014</v>
      </c>
      <c r="B50" s="331"/>
      <c r="C50" s="331">
        <v>11052</v>
      </c>
      <c r="F50" s="504"/>
      <c r="G50" s="504"/>
    </row>
    <row r="51" spans="1:8" x14ac:dyDescent="0.3">
      <c r="A51">
        <v>2015</v>
      </c>
      <c r="B51" s="331"/>
      <c r="C51" s="331">
        <v>11132</v>
      </c>
      <c r="F51" s="504"/>
      <c r="G51" s="504"/>
    </row>
    <row r="52" spans="1:8" x14ac:dyDescent="0.3">
      <c r="A52">
        <v>2016</v>
      </c>
      <c r="C52" s="331">
        <v>11019</v>
      </c>
      <c r="F52" s="504"/>
      <c r="G52" s="504"/>
    </row>
    <row r="53" spans="1:8" x14ac:dyDescent="0.3">
      <c r="A53">
        <v>2017</v>
      </c>
      <c r="C53" s="331">
        <v>10969</v>
      </c>
      <c r="F53" s="504"/>
      <c r="G53" s="504"/>
    </row>
    <row r="54" spans="1:8" x14ac:dyDescent="0.3">
      <c r="A54">
        <v>2018</v>
      </c>
      <c r="C54" s="331">
        <v>11267</v>
      </c>
      <c r="F54" s="504"/>
      <c r="G54" s="504"/>
    </row>
    <row r="55" spans="1:8" x14ac:dyDescent="0.3">
      <c r="A55">
        <v>2019</v>
      </c>
      <c r="C55" s="331">
        <v>11434</v>
      </c>
      <c r="F55" s="504"/>
      <c r="G55" s="504"/>
    </row>
    <row r="56" spans="1:8" x14ac:dyDescent="0.3">
      <c r="A56">
        <v>2020</v>
      </c>
      <c r="C56" s="331">
        <v>10524</v>
      </c>
      <c r="F56" s="504"/>
      <c r="G56" s="504"/>
    </row>
    <row r="57" spans="1:8" x14ac:dyDescent="0.3">
      <c r="A57">
        <v>2021</v>
      </c>
      <c r="C57" s="331">
        <v>11487</v>
      </c>
      <c r="F57" s="504"/>
      <c r="G57" s="504"/>
    </row>
    <row r="58" spans="1:8" ht="13.2" customHeight="1" x14ac:dyDescent="0.3">
      <c r="A58">
        <v>2022</v>
      </c>
      <c r="C58" s="331">
        <v>11501</v>
      </c>
      <c r="F58" s="504"/>
      <c r="G58" s="504"/>
    </row>
    <row r="59" spans="1:8" ht="13.2" customHeight="1" x14ac:dyDescent="0.3">
      <c r="B59" s="347"/>
      <c r="C59" s="347"/>
      <c r="D59" s="347"/>
      <c r="E59" s="504"/>
      <c r="F59" s="504"/>
      <c r="G59" s="504"/>
    </row>
    <row r="61" spans="1:8" x14ac:dyDescent="0.3">
      <c r="A61" s="564" t="s">
        <v>1079</v>
      </c>
      <c r="B61" s="564"/>
      <c r="C61" s="564"/>
      <c r="D61" s="564"/>
      <c r="E61" s="564"/>
      <c r="F61" s="564"/>
      <c r="G61" s="564"/>
    </row>
    <row r="62" spans="1:8" x14ac:dyDescent="0.3">
      <c r="A62" s="564"/>
      <c r="B62" s="564"/>
      <c r="C62" s="564"/>
      <c r="D62" s="564"/>
      <c r="E62" s="564"/>
      <c r="F62" s="564"/>
      <c r="G62" s="564"/>
    </row>
    <row r="64" spans="1:8" ht="15" thickBot="1" x14ac:dyDescent="0.35">
      <c r="A64" s="339" t="s">
        <v>1035</v>
      </c>
      <c r="B64" s="339" t="s">
        <v>1041</v>
      </c>
      <c r="C64" s="339" t="s">
        <v>1042</v>
      </c>
      <c r="D64" s="339" t="s">
        <v>1043</v>
      </c>
      <c r="E64" s="339" t="s">
        <v>123</v>
      </c>
      <c r="F64" s="340" t="s">
        <v>1044</v>
      </c>
      <c r="G64" s="613" t="s">
        <v>1045</v>
      </c>
      <c r="H64" s="614" t="s">
        <v>1046</v>
      </c>
    </row>
    <row r="65" spans="1:8" x14ac:dyDescent="0.3">
      <c r="A65">
        <v>2004</v>
      </c>
      <c r="B65" s="416">
        <v>320646.53000000003</v>
      </c>
      <c r="C65" s="416">
        <v>639519.96</v>
      </c>
      <c r="D65" s="416">
        <v>670310.93000000005</v>
      </c>
      <c r="E65" s="416">
        <f t="shared" ref="E65:E67" si="6">+SUM(B65:D65)</f>
        <v>1630477.42</v>
      </c>
      <c r="F65" s="500">
        <f t="shared" ref="F65:F67" si="7">+C65/E65 *100</f>
        <v>39.222865165467915</v>
      </c>
      <c r="G65" s="362">
        <f t="shared" ref="G65:G67" si="8">+B65/E65 *100</f>
        <v>19.66580622747907</v>
      </c>
      <c r="H65" s="415">
        <f>+SUM(F65:G65)</f>
        <v>58.888671392946989</v>
      </c>
    </row>
    <row r="66" spans="1:8" x14ac:dyDescent="0.3">
      <c r="A66">
        <v>2005</v>
      </c>
      <c r="B66" s="416">
        <v>237753.23</v>
      </c>
      <c r="C66" s="416">
        <v>565407.54</v>
      </c>
      <c r="D66" s="416">
        <v>830849.94</v>
      </c>
      <c r="E66" s="416">
        <f t="shared" si="6"/>
        <v>1634010.71</v>
      </c>
      <c r="F66" s="500">
        <f t="shared" si="7"/>
        <v>34.602437826126611</v>
      </c>
      <c r="G66" s="362">
        <f t="shared" si="8"/>
        <v>14.550285903572814</v>
      </c>
      <c r="H66" s="415">
        <f t="shared" ref="H66:H85" si="9">+SUM(F66:G66)</f>
        <v>49.152723729699424</v>
      </c>
    </row>
    <row r="67" spans="1:8" x14ac:dyDescent="0.3">
      <c r="A67">
        <v>2006</v>
      </c>
      <c r="B67" s="416">
        <v>230280.91</v>
      </c>
      <c r="C67" s="416">
        <v>591015.42000000004</v>
      </c>
      <c r="D67" s="416">
        <v>831715.71</v>
      </c>
      <c r="E67" s="416">
        <f t="shared" si="6"/>
        <v>1653012.04</v>
      </c>
      <c r="F67" s="500">
        <f t="shared" si="7"/>
        <v>35.753848471666302</v>
      </c>
      <c r="G67" s="362">
        <f t="shared" si="8"/>
        <v>13.930988064672537</v>
      </c>
      <c r="H67" s="415">
        <f t="shared" si="9"/>
        <v>49.684836536338835</v>
      </c>
    </row>
    <row r="68" spans="1:8" x14ac:dyDescent="0.3">
      <c r="A68">
        <v>2007</v>
      </c>
      <c r="B68" s="416">
        <v>167075.95000000001</v>
      </c>
      <c r="C68" s="416">
        <v>488298.83</v>
      </c>
      <c r="D68" s="416">
        <v>1022826.18</v>
      </c>
      <c r="E68" s="416">
        <f>+SUM(B68:D68)</f>
        <v>1678200.96</v>
      </c>
      <c r="F68" s="500">
        <f>+C68/E68 *100</f>
        <v>29.096564811880459</v>
      </c>
      <c r="G68" s="362">
        <f>+B68/E68 *100</f>
        <v>9.9556581114099725</v>
      </c>
      <c r="H68" s="415">
        <f t="shared" si="9"/>
        <v>39.052222923290429</v>
      </c>
    </row>
    <row r="69" spans="1:8" x14ac:dyDescent="0.3">
      <c r="A69">
        <v>2008</v>
      </c>
      <c r="B69" s="416">
        <v>229961.87</v>
      </c>
      <c r="C69" s="416">
        <v>427685.79</v>
      </c>
      <c r="D69" s="416">
        <v>1046718.34</v>
      </c>
      <c r="E69" s="416">
        <f t="shared" ref="E69:E85" si="10">+SUM(B69:D69)</f>
        <v>1704366</v>
      </c>
      <c r="F69" s="500">
        <f t="shared" ref="F69:F85" si="11">+C69/E69 *100</f>
        <v>25.093541528052071</v>
      </c>
      <c r="G69" s="362">
        <f t="shared" ref="G69:G85" si="12">+B69/E69 *100</f>
        <v>13.492516865508932</v>
      </c>
      <c r="H69" s="415">
        <f t="shared" si="9"/>
        <v>38.586058393561004</v>
      </c>
    </row>
    <row r="70" spans="1:8" x14ac:dyDescent="0.3">
      <c r="A70">
        <v>2009</v>
      </c>
      <c r="B70" s="416">
        <v>188548.37</v>
      </c>
      <c r="C70" s="416">
        <v>418559.37</v>
      </c>
      <c r="D70" s="416">
        <v>1119657.3400000001</v>
      </c>
      <c r="E70" s="416">
        <f t="shared" si="10"/>
        <v>1726765.08</v>
      </c>
      <c r="F70" s="500">
        <f t="shared" si="11"/>
        <v>24.239508596039013</v>
      </c>
      <c r="G70" s="362">
        <f t="shared" si="12"/>
        <v>10.919167417955892</v>
      </c>
      <c r="H70" s="415">
        <f t="shared" si="9"/>
        <v>35.158676013994906</v>
      </c>
    </row>
    <row r="71" spans="1:8" x14ac:dyDescent="0.3">
      <c r="A71">
        <v>2010</v>
      </c>
      <c r="B71" s="416">
        <v>169863.96</v>
      </c>
      <c r="C71" s="416">
        <v>379558.33</v>
      </c>
      <c r="D71" s="416">
        <v>1199135.07</v>
      </c>
      <c r="E71" s="416">
        <f t="shared" si="10"/>
        <v>1748557.36</v>
      </c>
      <c r="F71" s="500">
        <f t="shared" si="11"/>
        <v>21.706941887225248</v>
      </c>
      <c r="G71" s="362">
        <f t="shared" si="12"/>
        <v>9.7145203174804617</v>
      </c>
      <c r="H71" s="415">
        <f t="shared" si="9"/>
        <v>31.421462204705712</v>
      </c>
    </row>
    <row r="72" spans="1:8" x14ac:dyDescent="0.3">
      <c r="A72">
        <v>2011</v>
      </c>
      <c r="B72" s="416">
        <v>145364.51</v>
      </c>
      <c r="C72" s="416">
        <v>374655.61</v>
      </c>
      <c r="D72" s="416">
        <v>1250592.17</v>
      </c>
      <c r="E72" s="416">
        <f t="shared" si="10"/>
        <v>1770612.29</v>
      </c>
      <c r="F72" s="500">
        <f t="shared" si="11"/>
        <v>21.159663926200352</v>
      </c>
      <c r="G72" s="362">
        <f t="shared" si="12"/>
        <v>8.2098441776883853</v>
      </c>
      <c r="H72" s="415">
        <f t="shared" si="9"/>
        <v>29.369508103888737</v>
      </c>
    </row>
    <row r="73" spans="1:8" x14ac:dyDescent="0.3">
      <c r="A73">
        <v>2012</v>
      </c>
      <c r="B73" s="416">
        <v>151654.60999999999</v>
      </c>
      <c r="C73" s="416">
        <v>400432.95</v>
      </c>
      <c r="D73" s="416">
        <v>1250196.1000000001</v>
      </c>
      <c r="E73" s="416">
        <f t="shared" si="10"/>
        <v>1802283.6600000001</v>
      </c>
      <c r="F73" s="500">
        <f t="shared" si="11"/>
        <v>22.218086913133305</v>
      </c>
      <c r="G73" s="362">
        <f t="shared" si="12"/>
        <v>8.4145805327891612</v>
      </c>
      <c r="H73" s="415">
        <f t="shared" si="9"/>
        <v>30.632667445922465</v>
      </c>
    </row>
    <row r="74" spans="1:8" x14ac:dyDescent="0.3">
      <c r="A74">
        <v>2013</v>
      </c>
      <c r="B74" s="416">
        <v>137836.51</v>
      </c>
      <c r="C74" s="416">
        <v>403822.19</v>
      </c>
      <c r="D74" s="416">
        <v>1297214.8600000001</v>
      </c>
      <c r="E74" s="416">
        <f t="shared" si="10"/>
        <v>1838873.56</v>
      </c>
      <c r="F74" s="500">
        <f t="shared" si="11"/>
        <v>21.960302153672817</v>
      </c>
      <c r="G74" s="362">
        <f t="shared" si="12"/>
        <v>7.4957035110124703</v>
      </c>
      <c r="H74" s="415">
        <f t="shared" si="9"/>
        <v>29.456005664685286</v>
      </c>
    </row>
    <row r="75" spans="1:8" x14ac:dyDescent="0.3">
      <c r="A75">
        <v>2014</v>
      </c>
      <c r="B75" s="416">
        <v>101011.92</v>
      </c>
      <c r="C75" s="416">
        <v>405899.97</v>
      </c>
      <c r="D75" s="416">
        <v>1341620.81</v>
      </c>
      <c r="E75" s="416">
        <f t="shared" si="10"/>
        <v>1848532.7</v>
      </c>
      <c r="F75" s="500">
        <f t="shared" si="11"/>
        <v>21.957954544163595</v>
      </c>
      <c r="G75" s="362">
        <f t="shared" si="12"/>
        <v>5.4644378214137079</v>
      </c>
      <c r="H75" s="415">
        <f t="shared" si="9"/>
        <v>27.422392365577302</v>
      </c>
    </row>
    <row r="76" spans="1:8" x14ac:dyDescent="0.3">
      <c r="A76">
        <v>2015</v>
      </c>
      <c r="B76" s="416">
        <v>118578.16</v>
      </c>
      <c r="C76" s="416">
        <v>367726.4</v>
      </c>
      <c r="D76" s="416">
        <v>1394197.54</v>
      </c>
      <c r="E76" s="416">
        <f t="shared" si="10"/>
        <v>1880502.1</v>
      </c>
      <c r="F76" s="500">
        <f t="shared" si="11"/>
        <v>19.5546923345632</v>
      </c>
      <c r="G76" s="362">
        <f t="shared" si="12"/>
        <v>6.3056648540833855</v>
      </c>
      <c r="H76" s="415">
        <f t="shared" si="9"/>
        <v>25.860357188646585</v>
      </c>
    </row>
    <row r="77" spans="1:8" x14ac:dyDescent="0.3">
      <c r="A77">
        <v>2016</v>
      </c>
      <c r="B77" s="416">
        <v>84714.61</v>
      </c>
      <c r="C77" s="416">
        <v>381769.21</v>
      </c>
      <c r="D77" s="416">
        <v>1439999.13</v>
      </c>
      <c r="E77" s="416">
        <f t="shared" si="10"/>
        <v>1906482.95</v>
      </c>
      <c r="F77" s="500">
        <f t="shared" si="11"/>
        <v>20.024790150890155</v>
      </c>
      <c r="G77" s="362">
        <f t="shared" si="12"/>
        <v>4.4435021042281022</v>
      </c>
      <c r="H77" s="415">
        <f t="shared" si="9"/>
        <v>24.468292255118257</v>
      </c>
    </row>
    <row r="78" spans="1:8" x14ac:dyDescent="0.3">
      <c r="A78">
        <v>2017</v>
      </c>
      <c r="B78" s="416">
        <v>83620.55</v>
      </c>
      <c r="C78" s="416">
        <v>368587.42</v>
      </c>
      <c r="D78" s="416">
        <v>1473407.5</v>
      </c>
      <c r="E78" s="416">
        <f t="shared" si="10"/>
        <v>1925615.47</v>
      </c>
      <c r="F78" s="500">
        <f t="shared" si="11"/>
        <v>19.141278502503926</v>
      </c>
      <c r="G78" s="362">
        <f t="shared" si="12"/>
        <v>4.3425362593290755</v>
      </c>
      <c r="H78" s="415">
        <f t="shared" si="9"/>
        <v>23.483814761833003</v>
      </c>
    </row>
    <row r="79" spans="1:8" x14ac:dyDescent="0.3">
      <c r="A79">
        <v>2018</v>
      </c>
      <c r="B79" s="416">
        <v>62735.03</v>
      </c>
      <c r="C79" s="416">
        <v>341193.75</v>
      </c>
      <c r="D79" s="416">
        <v>1535183.36</v>
      </c>
      <c r="E79" s="416">
        <f t="shared" si="10"/>
        <v>1939112.1400000001</v>
      </c>
      <c r="F79" s="500">
        <f t="shared" si="11"/>
        <v>17.595359389581251</v>
      </c>
      <c r="G79" s="362">
        <f t="shared" si="12"/>
        <v>3.2352450745834633</v>
      </c>
      <c r="H79" s="415">
        <f t="shared" si="9"/>
        <v>20.830604464164715</v>
      </c>
    </row>
    <row r="80" spans="1:8" x14ac:dyDescent="0.3">
      <c r="A80">
        <v>2019</v>
      </c>
      <c r="B80" s="416">
        <v>123175.82</v>
      </c>
      <c r="C80" s="416">
        <v>363165.95</v>
      </c>
      <c r="D80" s="416">
        <v>1480303.46</v>
      </c>
      <c r="E80" s="416">
        <f t="shared" si="10"/>
        <v>1966645.23</v>
      </c>
      <c r="F80" s="500">
        <f t="shared" si="11"/>
        <v>18.466266536542538</v>
      </c>
      <c r="G80" s="362">
        <f t="shared" si="12"/>
        <v>6.2632455575121702</v>
      </c>
      <c r="H80" s="415">
        <f t="shared" si="9"/>
        <v>24.729512094054709</v>
      </c>
    </row>
    <row r="81" spans="1:25" x14ac:dyDescent="0.3">
      <c r="A81">
        <v>2020</v>
      </c>
      <c r="B81" s="416">
        <v>123079.4</v>
      </c>
      <c r="C81" s="416">
        <v>512926</v>
      </c>
      <c r="D81" s="416">
        <v>1355890.44</v>
      </c>
      <c r="E81" s="416">
        <f t="shared" si="10"/>
        <v>1991895.8399999999</v>
      </c>
      <c r="F81" s="500">
        <f t="shared" si="11"/>
        <v>25.750643668195021</v>
      </c>
      <c r="G81" s="362">
        <f t="shared" si="12"/>
        <v>6.1790078340642554</v>
      </c>
      <c r="H81" s="415">
        <f t="shared" si="9"/>
        <v>31.929651502259276</v>
      </c>
    </row>
    <row r="82" spans="1:25" x14ac:dyDescent="0.3">
      <c r="A82">
        <v>2021</v>
      </c>
      <c r="B82" s="416">
        <v>116482.95</v>
      </c>
      <c r="C82" s="416">
        <v>419228.76</v>
      </c>
      <c r="D82" s="416">
        <v>1465963.92</v>
      </c>
      <c r="E82" s="416">
        <f t="shared" si="10"/>
        <v>2001675.63</v>
      </c>
      <c r="F82" s="500">
        <f t="shared" si="11"/>
        <v>20.9438908940506</v>
      </c>
      <c r="G82" s="362">
        <f t="shared" si="12"/>
        <v>5.8192720266070284</v>
      </c>
      <c r="H82" s="415">
        <f t="shared" si="9"/>
        <v>26.763162920657628</v>
      </c>
    </row>
    <row r="83" spans="1:25" x14ac:dyDescent="0.3">
      <c r="A83">
        <v>2022</v>
      </c>
      <c r="B83" s="416">
        <v>88847.06</v>
      </c>
      <c r="C83" s="416">
        <v>488003.83</v>
      </c>
      <c r="D83" s="416">
        <v>1453302.8</v>
      </c>
      <c r="E83" s="416">
        <f t="shared" si="10"/>
        <v>2030153.69</v>
      </c>
      <c r="F83" s="500">
        <f t="shared" si="11"/>
        <v>24.037777652193419</v>
      </c>
      <c r="G83" s="362">
        <f t="shared" si="12"/>
        <v>4.3763711307984767</v>
      </c>
      <c r="H83" s="415">
        <f t="shared" si="9"/>
        <v>28.414148782991894</v>
      </c>
    </row>
    <row r="84" spans="1:25" x14ac:dyDescent="0.3">
      <c r="A84">
        <v>2023</v>
      </c>
      <c r="B84" s="416">
        <v>144391.99</v>
      </c>
      <c r="C84" s="416">
        <v>510581.81</v>
      </c>
      <c r="D84" s="416">
        <v>1417291.91</v>
      </c>
      <c r="E84" s="416">
        <f t="shared" si="10"/>
        <v>2072265.71</v>
      </c>
      <c r="F84" s="500">
        <f t="shared" si="11"/>
        <v>24.638819603881782</v>
      </c>
      <c r="G84" s="362">
        <f t="shared" si="12"/>
        <v>6.9678318423750785</v>
      </c>
      <c r="H84" s="415">
        <f t="shared" si="9"/>
        <v>31.606651446256862</v>
      </c>
    </row>
    <row r="85" spans="1:25" x14ac:dyDescent="0.3">
      <c r="A85">
        <v>2024</v>
      </c>
      <c r="B85" s="416">
        <v>136577.88</v>
      </c>
      <c r="C85" s="416">
        <v>491618.7</v>
      </c>
      <c r="D85" s="416">
        <v>1452592.08</v>
      </c>
      <c r="E85" s="416">
        <f t="shared" si="10"/>
        <v>2080788.6600000001</v>
      </c>
      <c r="F85" s="500">
        <f t="shared" si="11"/>
        <v>23.62655609628322</v>
      </c>
      <c r="G85" s="362">
        <f t="shared" si="12"/>
        <v>6.5637554945152372</v>
      </c>
      <c r="H85" s="415">
        <f t="shared" si="9"/>
        <v>30.190311590798458</v>
      </c>
    </row>
    <row r="88" spans="1:25" x14ac:dyDescent="0.3">
      <c r="A88" s="610" t="s">
        <v>1095</v>
      </c>
      <c r="B88" s="610"/>
      <c r="C88" s="610"/>
      <c r="D88" s="610"/>
      <c r="E88" s="610"/>
      <c r="F88" s="610"/>
      <c r="G88" s="610"/>
    </row>
    <row r="89" spans="1:25" x14ac:dyDescent="0.3">
      <c r="A89" s="610"/>
      <c r="B89" s="610"/>
      <c r="C89" s="610"/>
      <c r="D89" s="610"/>
      <c r="E89" s="610"/>
      <c r="F89" s="610"/>
      <c r="G89" s="610"/>
    </row>
    <row r="90" spans="1:25" x14ac:dyDescent="0.3">
      <c r="A90" s="231" t="s">
        <v>1012</v>
      </c>
    </row>
    <row r="91" spans="1:25" s="339" customFormat="1" ht="15" thickBot="1" x14ac:dyDescent="0.35">
      <c r="X91"/>
      <c r="Y91"/>
    </row>
    <row r="92" spans="1:25" ht="15" thickBot="1" x14ac:dyDescent="0.35">
      <c r="A92" s="351" t="s">
        <v>878</v>
      </c>
      <c r="B92" s="351">
        <v>2001</v>
      </c>
      <c r="C92" s="351">
        <v>2002</v>
      </c>
      <c r="D92" s="351">
        <v>2003</v>
      </c>
      <c r="E92" s="351">
        <v>2004</v>
      </c>
      <c r="F92" s="351">
        <v>2005</v>
      </c>
      <c r="G92" s="351">
        <v>2006</v>
      </c>
      <c r="H92" s="351">
        <v>2007</v>
      </c>
      <c r="I92" s="351">
        <v>2008</v>
      </c>
      <c r="J92" s="351">
        <v>2009</v>
      </c>
      <c r="K92" s="351">
        <v>2010</v>
      </c>
      <c r="L92" s="351">
        <v>2011</v>
      </c>
      <c r="M92" s="351">
        <v>2012</v>
      </c>
      <c r="N92" s="351">
        <v>2013</v>
      </c>
      <c r="O92" s="351">
        <v>2014</v>
      </c>
      <c r="P92" s="351">
        <v>2015</v>
      </c>
      <c r="Q92" s="351">
        <v>2016</v>
      </c>
      <c r="R92" s="351">
        <v>2017</v>
      </c>
      <c r="S92" s="351">
        <v>2018</v>
      </c>
      <c r="T92" s="351">
        <v>2019</v>
      </c>
      <c r="U92" s="351">
        <v>2020</v>
      </c>
      <c r="V92" s="351">
        <v>2021</v>
      </c>
      <c r="W92" s="351">
        <v>2022</v>
      </c>
      <c r="X92" s="351">
        <v>2023</v>
      </c>
    </row>
    <row r="93" spans="1:25" ht="15.6" x14ac:dyDescent="0.3">
      <c r="A93" s="515" t="s">
        <v>864</v>
      </c>
      <c r="B93" s="517">
        <f t="shared" ref="B93:G93" si="13">+SUM(B94)</f>
        <v>1661642</v>
      </c>
      <c r="C93" s="517">
        <f t="shared" si="13"/>
        <v>708347</v>
      </c>
      <c r="D93" s="517">
        <f t="shared" si="13"/>
        <v>4446230</v>
      </c>
      <c r="E93" s="517">
        <f t="shared" si="13"/>
        <v>6237090</v>
      </c>
      <c r="F93" s="517">
        <f t="shared" si="13"/>
        <v>6198722</v>
      </c>
      <c r="G93" s="517">
        <f t="shared" si="13"/>
        <v>27037162</v>
      </c>
      <c r="H93" s="517">
        <f>+SUM(H94)</f>
        <v>61641639</v>
      </c>
      <c r="I93" s="517">
        <f t="shared" ref="I93:X93" si="14">+SUM(I94)</f>
        <v>136924342</v>
      </c>
      <c r="J93" s="517">
        <f t="shared" si="14"/>
        <v>136386645</v>
      </c>
      <c r="K93" s="517">
        <f t="shared" si="14"/>
        <v>228419654</v>
      </c>
      <c r="L93" s="517">
        <f t="shared" si="14"/>
        <v>184378446</v>
      </c>
      <c r="M93" s="517">
        <f t="shared" si="14"/>
        <v>253589065</v>
      </c>
      <c r="N93" s="517">
        <f t="shared" si="14"/>
        <v>232793159</v>
      </c>
      <c r="O93" s="517">
        <f t="shared" si="14"/>
        <v>209431569</v>
      </c>
      <c r="P93" s="517">
        <f t="shared" si="14"/>
        <v>152328903</v>
      </c>
      <c r="Q93" s="517">
        <f t="shared" si="14"/>
        <v>218537826</v>
      </c>
      <c r="R93" s="517">
        <f t="shared" si="14"/>
        <v>330299688</v>
      </c>
      <c r="S93" s="517">
        <f t="shared" si="14"/>
        <v>212743631</v>
      </c>
      <c r="T93" s="517">
        <f t="shared" si="14"/>
        <v>300308602</v>
      </c>
      <c r="U93" s="517">
        <f t="shared" si="14"/>
        <v>171609359</v>
      </c>
      <c r="V93" s="517">
        <f t="shared" si="14"/>
        <v>246008854</v>
      </c>
      <c r="W93" s="517">
        <f t="shared" si="14"/>
        <v>256773155</v>
      </c>
      <c r="X93" s="517">
        <f t="shared" si="14"/>
        <v>233245023</v>
      </c>
    </row>
    <row r="94" spans="1:25" x14ac:dyDescent="0.3">
      <c r="A94" s="513" t="s">
        <v>864</v>
      </c>
      <c r="B94" s="347">
        <v>1661642</v>
      </c>
      <c r="C94" s="347">
        <v>708347</v>
      </c>
      <c r="D94" s="347">
        <v>4446230</v>
      </c>
      <c r="E94" s="347">
        <v>6237090</v>
      </c>
      <c r="F94" s="347">
        <v>6198722</v>
      </c>
      <c r="G94" s="347">
        <v>27037162</v>
      </c>
      <c r="H94" s="347">
        <v>61641639</v>
      </c>
      <c r="I94" s="347">
        <v>136924342</v>
      </c>
      <c r="J94" s="347">
        <v>136386645</v>
      </c>
      <c r="K94" s="347">
        <v>228419654</v>
      </c>
      <c r="L94" s="347">
        <v>184378446</v>
      </c>
      <c r="M94" s="347">
        <v>253589065</v>
      </c>
      <c r="N94" s="347">
        <v>232793159</v>
      </c>
      <c r="O94" s="347">
        <v>209431569</v>
      </c>
      <c r="P94" s="347">
        <v>152328903</v>
      </c>
      <c r="Q94" s="347">
        <v>218537826</v>
      </c>
      <c r="R94" s="347">
        <v>330299688</v>
      </c>
      <c r="S94" s="347">
        <v>212743631</v>
      </c>
      <c r="T94" s="347">
        <v>300308602</v>
      </c>
      <c r="U94" s="347">
        <v>171609359</v>
      </c>
      <c r="V94" s="347">
        <v>246008854</v>
      </c>
      <c r="W94" s="347">
        <v>256773155</v>
      </c>
      <c r="X94" s="347">
        <v>233245023</v>
      </c>
    </row>
    <row r="95" spans="1:25" ht="15.6" x14ac:dyDescent="0.3">
      <c r="A95" s="516" t="s">
        <v>866</v>
      </c>
      <c r="B95" s="517">
        <f t="shared" ref="B95:G95" si="15">+SUM(B96:B98)</f>
        <v>64009232</v>
      </c>
      <c r="C95" s="517">
        <f t="shared" si="15"/>
        <v>70675436</v>
      </c>
      <c r="D95" s="517">
        <f t="shared" si="15"/>
        <v>76980782</v>
      </c>
      <c r="E95" s="517">
        <f t="shared" si="15"/>
        <v>102654956</v>
      </c>
      <c r="F95" s="517">
        <f t="shared" si="15"/>
        <v>111509703</v>
      </c>
      <c r="G95" s="517">
        <f t="shared" si="15"/>
        <v>126106164</v>
      </c>
      <c r="H95" s="517">
        <f>+SUM(H96:H98)</f>
        <v>145576956</v>
      </c>
      <c r="I95" s="517">
        <f t="shared" ref="I95:X95" si="16">+SUM(I96:I98)</f>
        <v>155295543</v>
      </c>
      <c r="J95" s="517">
        <f t="shared" si="16"/>
        <v>198191565</v>
      </c>
      <c r="K95" s="517">
        <f t="shared" si="16"/>
        <v>221157304</v>
      </c>
      <c r="L95" s="517">
        <f t="shared" si="16"/>
        <v>260340586</v>
      </c>
      <c r="M95" s="517">
        <f t="shared" si="16"/>
        <v>300812439</v>
      </c>
      <c r="N95" s="517">
        <f t="shared" si="16"/>
        <v>368686238</v>
      </c>
      <c r="O95" s="517">
        <f t="shared" si="16"/>
        <v>385798724</v>
      </c>
      <c r="P95" s="517">
        <f t="shared" si="16"/>
        <v>408775695</v>
      </c>
      <c r="Q95" s="517">
        <f t="shared" si="16"/>
        <v>443019796</v>
      </c>
      <c r="R95" s="517">
        <f t="shared" si="16"/>
        <v>470740007</v>
      </c>
      <c r="S95" s="517">
        <f t="shared" si="16"/>
        <v>577094714</v>
      </c>
      <c r="T95" s="517">
        <f t="shared" si="16"/>
        <v>551655186</v>
      </c>
      <c r="U95" s="517">
        <f t="shared" si="16"/>
        <v>661023071</v>
      </c>
      <c r="V95" s="517">
        <f t="shared" si="16"/>
        <v>879546228</v>
      </c>
      <c r="W95" s="517">
        <f t="shared" si="16"/>
        <v>915428244</v>
      </c>
      <c r="X95" s="517">
        <f t="shared" si="16"/>
        <v>959648380</v>
      </c>
    </row>
    <row r="96" spans="1:25" x14ac:dyDescent="0.3">
      <c r="A96" s="514" t="s">
        <v>1057</v>
      </c>
      <c r="B96" s="347">
        <v>11410747</v>
      </c>
      <c r="C96" s="347">
        <v>10297975</v>
      </c>
      <c r="D96" s="347">
        <v>5819326</v>
      </c>
      <c r="E96" s="347">
        <v>6356659</v>
      </c>
      <c r="F96" s="347">
        <v>6905937</v>
      </c>
      <c r="G96" s="347">
        <v>9634176</v>
      </c>
      <c r="H96" s="347">
        <v>10412366</v>
      </c>
      <c r="I96" s="347">
        <v>17230005</v>
      </c>
      <c r="J96" s="347">
        <v>18955200</v>
      </c>
      <c r="K96" s="347">
        <v>17496068</v>
      </c>
      <c r="L96" s="347">
        <v>19429865</v>
      </c>
      <c r="M96" s="347">
        <v>36196983</v>
      </c>
      <c r="N96" s="347">
        <v>25696294</v>
      </c>
      <c r="O96" s="347">
        <v>33649346</v>
      </c>
      <c r="P96" s="347">
        <v>29249303</v>
      </c>
      <c r="Q96" s="347">
        <v>34610344</v>
      </c>
      <c r="R96" s="347">
        <v>30906903</v>
      </c>
      <c r="S96" s="347">
        <v>28048362</v>
      </c>
      <c r="T96" s="347">
        <v>36332675</v>
      </c>
      <c r="U96" s="347">
        <v>163161758</v>
      </c>
      <c r="V96" s="347">
        <v>102378650</v>
      </c>
      <c r="W96" s="347">
        <v>88585370</v>
      </c>
      <c r="X96" s="347">
        <v>60066034</v>
      </c>
    </row>
    <row r="97" spans="1:24" x14ac:dyDescent="0.3">
      <c r="A97" s="514" t="s">
        <v>1058</v>
      </c>
      <c r="B97" s="347">
        <v>52598485</v>
      </c>
      <c r="C97" s="347">
        <v>60377461</v>
      </c>
      <c r="D97" s="347">
        <v>71161456</v>
      </c>
      <c r="E97" s="347">
        <v>96298297</v>
      </c>
      <c r="F97" s="347">
        <v>104603766</v>
      </c>
      <c r="G97" s="347">
        <v>116471988</v>
      </c>
      <c r="H97" s="347">
        <v>135164590</v>
      </c>
      <c r="I97" s="347">
        <v>138065538</v>
      </c>
      <c r="J97" s="347">
        <v>179218721</v>
      </c>
      <c r="K97" s="347">
        <v>203326809</v>
      </c>
      <c r="L97" s="347">
        <v>240719138</v>
      </c>
      <c r="M97" s="347">
        <v>264011038</v>
      </c>
      <c r="N97" s="347">
        <v>342101309</v>
      </c>
      <c r="O97" s="347">
        <v>351586197</v>
      </c>
      <c r="P97" s="347">
        <v>379237702</v>
      </c>
      <c r="Q97" s="347">
        <v>408169686</v>
      </c>
      <c r="R97" s="347">
        <v>439614074</v>
      </c>
      <c r="S97" s="347">
        <v>548722903</v>
      </c>
      <c r="T97" s="347">
        <v>514984343</v>
      </c>
      <c r="U97" s="347">
        <v>495943195</v>
      </c>
      <c r="V97" s="347">
        <v>773030263</v>
      </c>
      <c r="W97" s="347">
        <v>825718700</v>
      </c>
      <c r="X97" s="347">
        <v>899001356</v>
      </c>
    </row>
    <row r="98" spans="1:24" x14ac:dyDescent="0.3">
      <c r="A98" s="514" t="s">
        <v>1068</v>
      </c>
      <c r="B98" s="347"/>
      <c r="C98" s="347"/>
      <c r="D98" s="347"/>
      <c r="E98" s="347"/>
      <c r="F98" s="347"/>
      <c r="G98" s="347"/>
      <c r="H98" s="347"/>
      <c r="I98" s="347"/>
      <c r="J98" s="347">
        <v>17644</v>
      </c>
      <c r="K98" s="347">
        <v>334427</v>
      </c>
      <c r="L98" s="347">
        <v>191583</v>
      </c>
      <c r="M98" s="347">
        <v>604418</v>
      </c>
      <c r="N98" s="347">
        <v>888635</v>
      </c>
      <c r="O98" s="347">
        <v>563181</v>
      </c>
      <c r="P98" s="347">
        <v>288690</v>
      </c>
      <c r="Q98" s="347">
        <v>239766</v>
      </c>
      <c r="R98" s="347">
        <v>219030</v>
      </c>
      <c r="S98" s="347">
        <v>323449</v>
      </c>
      <c r="T98" s="347">
        <v>338168</v>
      </c>
      <c r="U98" s="347">
        <v>1918118</v>
      </c>
      <c r="V98" s="347">
        <v>4137315</v>
      </c>
      <c r="W98" s="347">
        <v>1124174</v>
      </c>
      <c r="X98" s="347">
        <v>580990</v>
      </c>
    </row>
    <row r="99" spans="1:24" ht="15.6" x14ac:dyDescent="0.3">
      <c r="A99" s="515" t="s">
        <v>867</v>
      </c>
      <c r="B99" s="517">
        <f t="shared" ref="B99:G99" si="17">SUM(B100:B105)</f>
        <v>176733631</v>
      </c>
      <c r="C99" s="517">
        <f t="shared" si="17"/>
        <v>97546624</v>
      </c>
      <c r="D99" s="517">
        <f t="shared" si="17"/>
        <v>211045922</v>
      </c>
      <c r="E99" s="517">
        <f t="shared" si="17"/>
        <v>235548903</v>
      </c>
      <c r="F99" s="517">
        <f t="shared" si="17"/>
        <v>258918225</v>
      </c>
      <c r="G99" s="517">
        <f t="shared" si="17"/>
        <v>279057011</v>
      </c>
      <c r="H99" s="517">
        <f>SUM(H100:H105)</f>
        <v>324824767</v>
      </c>
      <c r="I99" s="517">
        <f t="shared" ref="I99:X99" si="18">SUM(I100:I105)</f>
        <v>404225354</v>
      </c>
      <c r="J99" s="517">
        <f t="shared" si="18"/>
        <v>433283741</v>
      </c>
      <c r="K99" s="517">
        <f t="shared" si="18"/>
        <v>456295059</v>
      </c>
      <c r="L99" s="517">
        <f t="shared" si="18"/>
        <v>512286744</v>
      </c>
      <c r="M99" s="517">
        <f t="shared" si="18"/>
        <v>600732420</v>
      </c>
      <c r="N99" s="517">
        <f t="shared" si="18"/>
        <v>706683077</v>
      </c>
      <c r="O99" s="517">
        <f t="shared" si="18"/>
        <v>811022477</v>
      </c>
      <c r="P99" s="517">
        <f t="shared" si="18"/>
        <v>823360394</v>
      </c>
      <c r="Q99" s="517">
        <f t="shared" si="18"/>
        <v>941268130</v>
      </c>
      <c r="R99" s="517">
        <f t="shared" si="18"/>
        <v>1018023471</v>
      </c>
      <c r="S99" s="517">
        <f t="shared" si="18"/>
        <v>1056089455</v>
      </c>
      <c r="T99" s="517">
        <f t="shared" si="18"/>
        <v>1077611135</v>
      </c>
      <c r="U99" s="517">
        <f t="shared" si="18"/>
        <v>1210628494</v>
      </c>
      <c r="V99" s="517">
        <f t="shared" si="18"/>
        <v>1530235641</v>
      </c>
      <c r="W99" s="517">
        <f t="shared" si="18"/>
        <v>1572932418</v>
      </c>
      <c r="X99" s="517">
        <f t="shared" si="18"/>
        <v>1614547995</v>
      </c>
    </row>
    <row r="100" spans="1:24" x14ac:dyDescent="0.3">
      <c r="A100" s="513" t="s">
        <v>1059</v>
      </c>
      <c r="B100" s="347">
        <v>16369177</v>
      </c>
      <c r="C100" s="347">
        <v>18297660</v>
      </c>
      <c r="D100" s="347">
        <v>19536605</v>
      </c>
      <c r="E100" s="347">
        <v>21772266</v>
      </c>
      <c r="F100" s="347">
        <v>23895334</v>
      </c>
      <c r="G100" s="347">
        <v>26246398</v>
      </c>
      <c r="H100" s="347">
        <v>30398063</v>
      </c>
      <c r="I100" s="347">
        <v>33689386</v>
      </c>
      <c r="J100" s="347">
        <v>37061126</v>
      </c>
      <c r="K100" s="347">
        <v>43872112</v>
      </c>
      <c r="L100" s="347">
        <v>51187730</v>
      </c>
      <c r="M100" s="347">
        <v>63539621</v>
      </c>
      <c r="N100" s="347">
        <v>83010740</v>
      </c>
      <c r="O100" s="347">
        <v>110345325</v>
      </c>
      <c r="P100" s="347">
        <v>119789713</v>
      </c>
      <c r="Q100" s="347">
        <v>125871830</v>
      </c>
      <c r="R100" s="347">
        <v>165161627</v>
      </c>
      <c r="S100" s="347">
        <v>177434400</v>
      </c>
      <c r="T100" s="347">
        <v>207401108</v>
      </c>
      <c r="U100" s="347">
        <v>220972678</v>
      </c>
      <c r="V100" s="347">
        <v>262091252</v>
      </c>
      <c r="W100" s="347">
        <v>269721183</v>
      </c>
      <c r="X100" s="347">
        <v>297114834</v>
      </c>
    </row>
    <row r="101" spans="1:24" x14ac:dyDescent="0.3">
      <c r="A101" s="513" t="s">
        <v>1060</v>
      </c>
      <c r="B101" s="347">
        <v>88181410</v>
      </c>
      <c r="C101" s="347" t="s">
        <v>1066</v>
      </c>
      <c r="D101" s="347">
        <v>104785938</v>
      </c>
      <c r="E101" s="347">
        <v>116144136</v>
      </c>
      <c r="F101" s="347">
        <v>128145703</v>
      </c>
      <c r="G101" s="347">
        <v>138266379</v>
      </c>
      <c r="H101" s="347">
        <v>155938644</v>
      </c>
      <c r="I101" s="347">
        <v>171701967</v>
      </c>
      <c r="J101" s="347">
        <v>173499123</v>
      </c>
      <c r="K101" s="347">
        <v>192131391</v>
      </c>
      <c r="L101" s="347">
        <v>207588840</v>
      </c>
      <c r="M101" s="347">
        <v>248725084</v>
      </c>
      <c r="N101" s="347">
        <v>301754121</v>
      </c>
      <c r="O101" s="347">
        <v>312995899</v>
      </c>
      <c r="P101" s="347">
        <v>331482291</v>
      </c>
      <c r="Q101" s="347">
        <v>346867027</v>
      </c>
      <c r="R101" s="347">
        <v>404962115</v>
      </c>
      <c r="S101" s="347">
        <v>419015381</v>
      </c>
      <c r="T101" s="347">
        <v>428630774</v>
      </c>
      <c r="U101" s="347">
        <v>496041395</v>
      </c>
      <c r="V101" s="347">
        <v>646726480</v>
      </c>
      <c r="W101" s="347">
        <v>601803789</v>
      </c>
      <c r="X101" s="347">
        <v>638159990</v>
      </c>
    </row>
    <row r="102" spans="1:24" x14ac:dyDescent="0.3">
      <c r="A102" s="513" t="s">
        <v>1061</v>
      </c>
      <c r="B102" s="347">
        <v>69684171</v>
      </c>
      <c r="C102" s="347">
        <v>77532818</v>
      </c>
      <c r="D102" s="347">
        <v>83114067</v>
      </c>
      <c r="E102" s="347">
        <v>94253494</v>
      </c>
      <c r="F102" s="347">
        <v>103615223</v>
      </c>
      <c r="G102" s="347">
        <v>110893911</v>
      </c>
      <c r="H102" s="347">
        <v>122037115</v>
      </c>
      <c r="I102" s="347">
        <v>129791478</v>
      </c>
      <c r="J102" s="347">
        <v>133900020</v>
      </c>
      <c r="K102" s="347">
        <v>136521638</v>
      </c>
      <c r="L102" s="347">
        <v>150517977</v>
      </c>
      <c r="M102" s="347">
        <v>176408250</v>
      </c>
      <c r="N102" s="347">
        <v>193282224</v>
      </c>
      <c r="O102" s="347">
        <v>205719671</v>
      </c>
      <c r="P102" s="347">
        <v>246289516</v>
      </c>
      <c r="Q102" s="347">
        <v>374206841</v>
      </c>
      <c r="R102" s="347">
        <v>360081755</v>
      </c>
      <c r="S102" s="347">
        <v>391970551</v>
      </c>
      <c r="T102" s="347">
        <v>393338242</v>
      </c>
      <c r="U102" s="347">
        <v>436362357</v>
      </c>
      <c r="V102" s="347">
        <v>507491552</v>
      </c>
      <c r="W102" s="347">
        <v>572508953</v>
      </c>
      <c r="X102" s="347">
        <v>595802926</v>
      </c>
    </row>
    <row r="103" spans="1:24" x14ac:dyDescent="0.3">
      <c r="A103" s="513" t="s">
        <v>1069</v>
      </c>
      <c r="B103" s="347">
        <v>0</v>
      </c>
      <c r="C103" s="347">
        <v>0</v>
      </c>
      <c r="D103" s="347">
        <v>0</v>
      </c>
      <c r="E103" s="347">
        <v>0</v>
      </c>
      <c r="F103" s="347">
        <v>0</v>
      </c>
      <c r="G103" s="347">
        <v>0</v>
      </c>
      <c r="H103" s="347">
        <v>0</v>
      </c>
      <c r="I103" s="347">
        <v>0</v>
      </c>
      <c r="J103" s="347">
        <v>8652024</v>
      </c>
      <c r="K103" s="347">
        <v>10033557</v>
      </c>
      <c r="L103" s="347">
        <v>18402910</v>
      </c>
      <c r="M103" s="347">
        <v>11435268</v>
      </c>
      <c r="N103" s="347">
        <v>7037705</v>
      </c>
      <c r="O103" s="347">
        <v>6101472</v>
      </c>
      <c r="P103" s="347">
        <v>6538317</v>
      </c>
      <c r="Q103" s="347">
        <v>6349885</v>
      </c>
      <c r="R103" s="347">
        <v>7137693</v>
      </c>
      <c r="S103" s="347">
        <v>8106898</v>
      </c>
      <c r="T103" s="347">
        <v>9270431</v>
      </c>
      <c r="U103" s="347">
        <v>10698264</v>
      </c>
      <c r="V103" s="347">
        <v>17828215</v>
      </c>
      <c r="W103" s="347">
        <v>32161209</v>
      </c>
      <c r="X103" s="347">
        <v>15678734</v>
      </c>
    </row>
    <row r="104" spans="1:24" x14ac:dyDescent="0.3">
      <c r="A104" s="513" t="s">
        <v>1062</v>
      </c>
      <c r="B104" s="347">
        <v>1479605</v>
      </c>
      <c r="C104" s="347">
        <v>1716146</v>
      </c>
      <c r="D104" s="347">
        <v>1821341</v>
      </c>
      <c r="E104" s="347">
        <v>1992697</v>
      </c>
      <c r="F104" s="347">
        <v>2212616</v>
      </c>
      <c r="G104" s="347">
        <v>2400342</v>
      </c>
      <c r="H104" s="347">
        <v>2727402</v>
      </c>
      <c r="I104" s="347">
        <v>3039981</v>
      </c>
      <c r="J104" s="347">
        <v>3440326</v>
      </c>
      <c r="K104" s="347">
        <v>3380959</v>
      </c>
      <c r="L104" s="347">
        <v>3536397</v>
      </c>
      <c r="M104" s="347">
        <v>3686191</v>
      </c>
      <c r="N104" s="347">
        <v>4825938</v>
      </c>
      <c r="O104" s="347">
        <v>5323133</v>
      </c>
      <c r="P104" s="347">
        <v>9082311</v>
      </c>
      <c r="Q104" s="347">
        <v>9103466</v>
      </c>
      <c r="R104" s="347">
        <v>11088973</v>
      </c>
      <c r="S104" s="347">
        <v>7430625</v>
      </c>
      <c r="T104" s="347" t="s">
        <v>1070</v>
      </c>
      <c r="U104" s="347">
        <v>8536084</v>
      </c>
      <c r="V104" s="347">
        <v>9418398</v>
      </c>
      <c r="W104" s="347">
        <v>10188530</v>
      </c>
      <c r="X104" s="347">
        <v>11685405</v>
      </c>
    </row>
    <row r="105" spans="1:24" x14ac:dyDescent="0.3">
      <c r="A105" s="513" t="s">
        <v>1063</v>
      </c>
      <c r="B105" s="347">
        <v>1019268</v>
      </c>
      <c r="C105" s="347" t="s">
        <v>1067</v>
      </c>
      <c r="D105" s="347">
        <v>1787971</v>
      </c>
      <c r="E105" s="347">
        <v>1386310</v>
      </c>
      <c r="F105" s="347">
        <v>1049349</v>
      </c>
      <c r="G105" s="347">
        <v>1249981</v>
      </c>
      <c r="H105" s="347">
        <v>13723543</v>
      </c>
      <c r="I105" s="347">
        <v>66002542</v>
      </c>
      <c r="J105" s="347">
        <v>76731122</v>
      </c>
      <c r="K105" s="347">
        <v>70355402</v>
      </c>
      <c r="L105" s="347">
        <v>81052890</v>
      </c>
      <c r="M105" s="347">
        <v>96938006</v>
      </c>
      <c r="N105" s="347">
        <v>116772349</v>
      </c>
      <c r="O105" s="347">
        <v>170536977</v>
      </c>
      <c r="P105" s="347">
        <v>110178246</v>
      </c>
      <c r="Q105" s="347">
        <v>78869081</v>
      </c>
      <c r="R105" s="347">
        <v>69591308</v>
      </c>
      <c r="S105" s="347">
        <v>52131600</v>
      </c>
      <c r="T105" s="347">
        <v>38970580</v>
      </c>
      <c r="U105" s="347">
        <v>38017716</v>
      </c>
      <c r="V105" s="347">
        <v>86679744</v>
      </c>
      <c r="W105" s="347">
        <v>86548754</v>
      </c>
      <c r="X105" s="347">
        <v>56106106</v>
      </c>
    </row>
    <row r="106" spans="1:24" ht="15.6" x14ac:dyDescent="0.3">
      <c r="A106" s="515" t="s">
        <v>868</v>
      </c>
      <c r="B106" s="517">
        <f t="shared" ref="B106:G106" si="19">+SUM(B107:B108)</f>
        <v>25599037</v>
      </c>
      <c r="C106" s="517">
        <f t="shared" si="19"/>
        <v>20023392</v>
      </c>
      <c r="D106" s="517">
        <f t="shared" si="19"/>
        <v>107134882</v>
      </c>
      <c r="E106" s="517">
        <f t="shared" si="19"/>
        <v>32275502</v>
      </c>
      <c r="F106" s="517">
        <f t="shared" si="19"/>
        <v>32818594</v>
      </c>
      <c r="G106" s="517">
        <f t="shared" si="19"/>
        <v>30065382</v>
      </c>
      <c r="H106" s="517">
        <f>+SUM(H107:H108)</f>
        <v>54800684</v>
      </c>
      <c r="I106" s="517">
        <f t="shared" ref="I106:X106" si="20">+SUM(I107:I108)</f>
        <v>58048120</v>
      </c>
      <c r="J106" s="517">
        <f t="shared" si="20"/>
        <v>125233796</v>
      </c>
      <c r="K106" s="517">
        <f t="shared" si="20"/>
        <v>165518731</v>
      </c>
      <c r="L106" s="517">
        <f t="shared" si="20"/>
        <v>153929593</v>
      </c>
      <c r="M106" s="517">
        <f t="shared" si="20"/>
        <v>223110717</v>
      </c>
      <c r="N106" s="517">
        <f t="shared" si="20"/>
        <v>219680518</v>
      </c>
      <c r="O106" s="517">
        <f t="shared" si="20"/>
        <v>293565293</v>
      </c>
      <c r="P106" s="517">
        <f t="shared" si="20"/>
        <v>288422813</v>
      </c>
      <c r="Q106" s="517">
        <f t="shared" si="20"/>
        <v>277916897</v>
      </c>
      <c r="R106" s="517">
        <f t="shared" si="20"/>
        <v>304231150</v>
      </c>
      <c r="S106" s="517">
        <f t="shared" si="20"/>
        <v>295656526</v>
      </c>
      <c r="T106" s="517">
        <f t="shared" si="20"/>
        <v>285502483</v>
      </c>
      <c r="U106" s="517">
        <f t="shared" si="20"/>
        <v>692590819</v>
      </c>
      <c r="V106" s="517">
        <f t="shared" si="20"/>
        <v>657037141</v>
      </c>
      <c r="W106" s="517">
        <f t="shared" si="20"/>
        <v>462063918</v>
      </c>
      <c r="X106" s="517">
        <f t="shared" si="20"/>
        <v>437364977</v>
      </c>
    </row>
    <row r="107" spans="1:24" x14ac:dyDescent="0.3">
      <c r="A107" s="513" t="s">
        <v>1064</v>
      </c>
      <c r="B107" s="347">
        <v>4567493</v>
      </c>
      <c r="C107" s="347">
        <v>4215628</v>
      </c>
      <c r="D107" s="347">
        <v>10893867</v>
      </c>
      <c r="E107" s="347">
        <v>323736</v>
      </c>
      <c r="F107" s="347">
        <v>280993</v>
      </c>
      <c r="G107" s="347">
        <v>244753</v>
      </c>
      <c r="H107" s="347">
        <v>292929</v>
      </c>
      <c r="I107" s="347">
        <v>348100</v>
      </c>
      <c r="J107" s="347">
        <v>0</v>
      </c>
      <c r="K107" s="347">
        <v>0</v>
      </c>
      <c r="L107" s="347">
        <v>0</v>
      </c>
      <c r="M107" s="347">
        <v>0</v>
      </c>
      <c r="N107" s="360">
        <v>0</v>
      </c>
      <c r="O107" s="347">
        <v>0</v>
      </c>
      <c r="P107" s="347">
        <v>0</v>
      </c>
      <c r="Q107" s="347">
        <v>0</v>
      </c>
      <c r="R107" s="347">
        <v>0</v>
      </c>
      <c r="S107" s="347">
        <v>0</v>
      </c>
      <c r="T107" s="347">
        <v>0</v>
      </c>
      <c r="U107" s="347">
        <v>0</v>
      </c>
      <c r="V107" s="347">
        <v>0</v>
      </c>
      <c r="W107" s="347">
        <v>0</v>
      </c>
      <c r="X107" s="347">
        <v>0</v>
      </c>
    </row>
    <row r="108" spans="1:24" ht="15" thickBot="1" x14ac:dyDescent="0.35">
      <c r="A108" s="518" t="s">
        <v>1065</v>
      </c>
      <c r="B108" s="503">
        <v>21031544</v>
      </c>
      <c r="C108" s="503">
        <v>15807764</v>
      </c>
      <c r="D108" s="503">
        <v>96241015</v>
      </c>
      <c r="E108" s="503">
        <v>31951766</v>
      </c>
      <c r="F108" s="503">
        <v>32537601</v>
      </c>
      <c r="G108" s="503">
        <v>29820629</v>
      </c>
      <c r="H108" s="503">
        <v>54507755</v>
      </c>
      <c r="I108" s="503">
        <v>57700020</v>
      </c>
      <c r="J108" s="503">
        <v>125233796</v>
      </c>
      <c r="K108" s="503">
        <v>165518731</v>
      </c>
      <c r="L108" s="503">
        <v>153929593</v>
      </c>
      <c r="M108" s="503">
        <v>223110717</v>
      </c>
      <c r="N108" s="519">
        <v>219680518</v>
      </c>
      <c r="O108" s="503">
        <v>293565293</v>
      </c>
      <c r="P108" s="503">
        <v>288422813</v>
      </c>
      <c r="Q108" s="503">
        <v>277916897</v>
      </c>
      <c r="R108" s="503">
        <v>304231150</v>
      </c>
      <c r="S108" s="503">
        <v>295656526</v>
      </c>
      <c r="T108" s="503">
        <v>285502483</v>
      </c>
      <c r="U108" s="503">
        <v>692590819</v>
      </c>
      <c r="V108" s="503">
        <v>657037141</v>
      </c>
      <c r="W108" s="503">
        <v>462063918</v>
      </c>
      <c r="X108" s="503">
        <v>437364977</v>
      </c>
    </row>
    <row r="109" spans="1:24" ht="15.6" x14ac:dyDescent="0.3">
      <c r="A109" s="359" t="s">
        <v>865</v>
      </c>
      <c r="B109" s="517">
        <f t="shared" ref="B109:G109" si="21">+B93+B95+B99+B106</f>
        <v>268003542</v>
      </c>
      <c r="C109" s="517">
        <f t="shared" si="21"/>
        <v>188953799</v>
      </c>
      <c r="D109" s="517">
        <f t="shared" si="21"/>
        <v>399607816</v>
      </c>
      <c r="E109" s="517">
        <f t="shared" si="21"/>
        <v>376716451</v>
      </c>
      <c r="F109" s="517">
        <f t="shared" si="21"/>
        <v>409445244</v>
      </c>
      <c r="G109" s="517">
        <f t="shared" si="21"/>
        <v>462265719</v>
      </c>
      <c r="H109" s="517">
        <f>+H93+H95+H99+H106</f>
        <v>586844046</v>
      </c>
      <c r="I109" s="517">
        <f t="shared" ref="I109:X109" si="22">+I93+I95+I99+I106</f>
        <v>754493359</v>
      </c>
      <c r="J109" s="517">
        <f t="shared" si="22"/>
        <v>893095747</v>
      </c>
      <c r="K109" s="517">
        <f t="shared" si="22"/>
        <v>1071390748</v>
      </c>
      <c r="L109" s="517">
        <f t="shared" si="22"/>
        <v>1110935369</v>
      </c>
      <c r="M109" s="517">
        <f t="shared" si="22"/>
        <v>1378244641</v>
      </c>
      <c r="N109" s="517">
        <f t="shared" si="22"/>
        <v>1527842992</v>
      </c>
      <c r="O109" s="517">
        <f t="shared" si="22"/>
        <v>1699818063</v>
      </c>
      <c r="P109" s="517">
        <f t="shared" si="22"/>
        <v>1672887805</v>
      </c>
      <c r="Q109" s="517">
        <f t="shared" si="22"/>
        <v>1880742649</v>
      </c>
      <c r="R109" s="517">
        <f t="shared" si="22"/>
        <v>2123294316</v>
      </c>
      <c r="S109" s="517">
        <f t="shared" si="22"/>
        <v>2141584326</v>
      </c>
      <c r="T109" s="517">
        <f t="shared" si="22"/>
        <v>2215077406</v>
      </c>
      <c r="U109" s="517">
        <f t="shared" si="22"/>
        <v>2735851743</v>
      </c>
      <c r="V109" s="517">
        <f t="shared" si="22"/>
        <v>3312827864</v>
      </c>
      <c r="W109" s="517">
        <f t="shared" si="22"/>
        <v>3207197735</v>
      </c>
      <c r="X109" s="517">
        <f t="shared" si="22"/>
        <v>3244806375</v>
      </c>
    </row>
    <row r="110" spans="1:24" ht="15" thickBot="1" x14ac:dyDescent="0.35"/>
    <row r="111" spans="1:24" ht="15" thickBot="1" x14ac:dyDescent="0.35">
      <c r="A111" s="615" t="s">
        <v>880</v>
      </c>
      <c r="B111" s="616">
        <f>+'c-499'!B24</f>
        <v>0.84734548335974647</v>
      </c>
      <c r="C111" s="616">
        <f>+'c-499'!C24</f>
        <v>0.85237717908082411</v>
      </c>
      <c r="D111" s="616">
        <f>+'c-499'!D24</f>
        <v>0.89753660768761445</v>
      </c>
      <c r="E111" s="616">
        <f>+'c-499'!E24</f>
        <v>0.93985127660353862</v>
      </c>
      <c r="F111" s="616">
        <f>+'c-499'!F24</f>
        <v>0.96353624550918304</v>
      </c>
      <c r="G111" s="616">
        <f>+'c-499'!G24</f>
        <v>0.98882855894651434</v>
      </c>
      <c r="H111" s="616">
        <f>+'c-499'!H24</f>
        <v>1</v>
      </c>
      <c r="I111" s="616">
        <f>+'c-499'!I24</f>
        <v>1.0438604000799019</v>
      </c>
      <c r="J111" s="616">
        <f>+'c-499'!J24</f>
        <v>1.0626145854552862</v>
      </c>
      <c r="K111" s="616">
        <f>+'c-499'!K24</f>
        <v>1.0751396921870404</v>
      </c>
      <c r="L111" s="616">
        <f>+'c-499'!L24</f>
        <v>1.1187210443435196</v>
      </c>
      <c r="M111" s="616">
        <f>+'c-499'!M24</f>
        <v>1.164369124404536</v>
      </c>
      <c r="N111" s="616">
        <f>+'c-499'!N24</f>
        <v>1.2253082185068307</v>
      </c>
      <c r="O111" s="616">
        <f>+'c-499'!O24</f>
        <v>1.3009642633690333</v>
      </c>
      <c r="P111" s="616">
        <f>+'c-499'!P24</f>
        <v>1.33475269110233</v>
      </c>
      <c r="Q111" s="616">
        <f>+'c-499'!Q24</f>
        <v>1.380702521498324</v>
      </c>
      <c r="R111" s="616">
        <f>+'c-499'!R24</f>
        <v>1.4256653962577832</v>
      </c>
      <c r="S111" s="616">
        <f>+'c-499'!S24</f>
        <v>1.4608349111341843</v>
      </c>
      <c r="T111" s="616">
        <f>+'c-499'!T24</f>
        <v>1.4876179245283019</v>
      </c>
      <c r="U111" s="616">
        <f>+'c-499'!U24</f>
        <v>1.5121136400673583</v>
      </c>
      <c r="V111" s="616">
        <f>+'c-499'!V24</f>
        <v>1.5611805618398769</v>
      </c>
      <c r="W111" s="616">
        <f>+'c-499'!W24</f>
        <v>1.6374434902006503</v>
      </c>
      <c r="X111" s="616">
        <f>+'c-499'!X24</f>
        <v>1.6966659157467898</v>
      </c>
    </row>
    <row r="113" spans="1:24" ht="16.2" thickBot="1" x14ac:dyDescent="0.35">
      <c r="A113" s="619" t="s">
        <v>879</v>
      </c>
      <c r="B113" s="351">
        <v>2001</v>
      </c>
      <c r="C113" s="351">
        <v>2002</v>
      </c>
      <c r="D113" s="351">
        <v>2003</v>
      </c>
      <c r="E113" s="351">
        <v>2004</v>
      </c>
      <c r="F113" s="351">
        <v>2005</v>
      </c>
      <c r="G113" s="351">
        <v>2006</v>
      </c>
      <c r="H113" s="351">
        <v>2007</v>
      </c>
      <c r="I113" s="351">
        <v>2008</v>
      </c>
      <c r="J113" s="351">
        <v>2009</v>
      </c>
      <c r="K113" s="351">
        <v>2010</v>
      </c>
      <c r="L113" s="351">
        <v>2011</v>
      </c>
      <c r="M113" s="351">
        <v>2012</v>
      </c>
      <c r="N113" s="351">
        <v>2013</v>
      </c>
      <c r="O113" s="351">
        <v>2014</v>
      </c>
      <c r="P113" s="351">
        <v>2015</v>
      </c>
      <c r="Q113" s="351">
        <v>2016</v>
      </c>
      <c r="R113" s="351">
        <v>2017</v>
      </c>
      <c r="S113" s="351">
        <v>2018</v>
      </c>
      <c r="T113" s="351">
        <v>2019</v>
      </c>
      <c r="U113" s="351">
        <v>2020</v>
      </c>
      <c r="V113" s="351">
        <v>2021</v>
      </c>
      <c r="W113" s="351">
        <v>2022</v>
      </c>
      <c r="X113" s="351">
        <v>2023</v>
      </c>
    </row>
    <row r="114" spans="1:24" x14ac:dyDescent="0.3">
      <c r="A114" s="357" t="s">
        <v>864</v>
      </c>
      <c r="B114" s="347">
        <f>B93/B111</f>
        <v>1960997.0580259035</v>
      </c>
      <c r="C114" s="347">
        <f t="shared" ref="C114:X114" si="23">C93/C111</f>
        <v>831025.29887515109</v>
      </c>
      <c r="D114" s="347">
        <f t="shared" si="23"/>
        <v>4953814.6543739643</v>
      </c>
      <c r="E114" s="347">
        <f t="shared" si="23"/>
        <v>6636252.0914370343</v>
      </c>
      <c r="F114" s="347">
        <f t="shared" si="23"/>
        <v>6433304.4334250968</v>
      </c>
      <c r="G114" s="347">
        <f t="shared" si="23"/>
        <v>27342618.450265087</v>
      </c>
      <c r="H114" s="347">
        <f t="shared" si="23"/>
        <v>61641639</v>
      </c>
      <c r="I114" s="347">
        <f t="shared" si="23"/>
        <v>131171124.02148715</v>
      </c>
      <c r="J114" s="347">
        <f t="shared" si="23"/>
        <v>128350059.2470825</v>
      </c>
      <c r="K114" s="347">
        <f t="shared" si="23"/>
        <v>212455791.24267155</v>
      </c>
      <c r="L114" s="347">
        <f t="shared" si="23"/>
        <v>164811815.18150106</v>
      </c>
      <c r="M114" s="347">
        <f t="shared" si="23"/>
        <v>217790956.22248372</v>
      </c>
      <c r="N114" s="347">
        <f t="shared" si="23"/>
        <v>189987429.68008769</v>
      </c>
      <c r="O114" s="347">
        <f t="shared" si="23"/>
        <v>160981800.11313066</v>
      </c>
      <c r="P114" s="347">
        <f t="shared" si="23"/>
        <v>114125188.89487788</v>
      </c>
      <c r="Q114" s="347">
        <f t="shared" si="23"/>
        <v>158280167.23171118</v>
      </c>
      <c r="R114" s="347">
        <f t="shared" si="23"/>
        <v>231681072.47815707</v>
      </c>
      <c r="S114" s="347">
        <f t="shared" si="23"/>
        <v>145631535.34907445</v>
      </c>
      <c r="T114" s="347">
        <f t="shared" si="23"/>
        <v>201872131.98256046</v>
      </c>
      <c r="U114" s="347">
        <f t="shared" si="23"/>
        <v>113489723.55831373</v>
      </c>
      <c r="V114" s="347">
        <f t="shared" si="23"/>
        <v>157578732.41137114</v>
      </c>
      <c r="W114" s="347">
        <f t="shared" si="23"/>
        <v>156813445.18859416</v>
      </c>
      <c r="X114" s="347">
        <f t="shared" si="23"/>
        <v>137472569.48775145</v>
      </c>
    </row>
    <row r="115" spans="1:24" x14ac:dyDescent="0.3">
      <c r="A115" s="358" t="s">
        <v>866</v>
      </c>
      <c r="B115" s="347">
        <f>B95/B111</f>
        <v>75540890.05844672</v>
      </c>
      <c r="C115" s="347">
        <f t="shared" ref="C115:X115" si="24">C95/C111</f>
        <v>82915683.026866227</v>
      </c>
      <c r="D115" s="347">
        <f t="shared" si="24"/>
        <v>85768960.664825588</v>
      </c>
      <c r="E115" s="347">
        <f t="shared" si="24"/>
        <v>109224681.13356978</v>
      </c>
      <c r="F115" s="347">
        <f t="shared" si="24"/>
        <v>115729640.18709274</v>
      </c>
      <c r="G115" s="347">
        <f t="shared" si="24"/>
        <v>127530867.56955315</v>
      </c>
      <c r="H115" s="347">
        <f t="shared" si="24"/>
        <v>145576956</v>
      </c>
      <c r="I115" s="347">
        <f t="shared" si="24"/>
        <v>148770413.15880263</v>
      </c>
      <c r="J115" s="347">
        <f t="shared" si="24"/>
        <v>186513123.11423162</v>
      </c>
      <c r="K115" s="347">
        <f t="shared" si="24"/>
        <v>205700994.58436289</v>
      </c>
      <c r="L115" s="347">
        <f t="shared" si="24"/>
        <v>232712692.15532753</v>
      </c>
      <c r="M115" s="347">
        <f t="shared" si="24"/>
        <v>258348003.82038379</v>
      </c>
      <c r="N115" s="347">
        <f t="shared" si="24"/>
        <v>300892650.87055701</v>
      </c>
      <c r="O115" s="347">
        <f t="shared" si="24"/>
        <v>296548287.19193172</v>
      </c>
      <c r="P115" s="347">
        <f t="shared" si="24"/>
        <v>306255756.38465661</v>
      </c>
      <c r="Q115" s="347">
        <f t="shared" si="24"/>
        <v>320865493.54544491</v>
      </c>
      <c r="R115" s="347">
        <f t="shared" si="24"/>
        <v>330189684.22439194</v>
      </c>
      <c r="S115" s="347">
        <f t="shared" si="24"/>
        <v>395044443.1478892</v>
      </c>
      <c r="T115" s="347">
        <f t="shared" si="24"/>
        <v>370831230.85850179</v>
      </c>
      <c r="U115" s="347">
        <f t="shared" si="24"/>
        <v>437151714.97993642</v>
      </c>
      <c r="V115" s="347">
        <f t="shared" si="24"/>
        <v>563385331.26715362</v>
      </c>
      <c r="W115" s="347">
        <f t="shared" si="24"/>
        <v>559059442.03779793</v>
      </c>
      <c r="X115" s="347">
        <f t="shared" si="24"/>
        <v>565608332.84471881</v>
      </c>
    </row>
    <row r="116" spans="1:24" x14ac:dyDescent="0.3">
      <c r="A116" s="357" t="s">
        <v>867</v>
      </c>
      <c r="B116" s="347">
        <f>B99/B111</f>
        <v>208573285.00677982</v>
      </c>
      <c r="C116" s="347">
        <f t="shared" ref="C116:X116" si="25">C99/C111</f>
        <v>114440680.01115553</v>
      </c>
      <c r="D116" s="347">
        <f t="shared" si="25"/>
        <v>235139068.6378043</v>
      </c>
      <c r="E116" s="347">
        <f t="shared" si="25"/>
        <v>250623592.11899287</v>
      </c>
      <c r="F116" s="347">
        <f t="shared" si="25"/>
        <v>268716642.68651778</v>
      </c>
      <c r="G116" s="347">
        <f t="shared" si="25"/>
        <v>282209700.02859128</v>
      </c>
      <c r="H116" s="347">
        <f t="shared" si="25"/>
        <v>324824767</v>
      </c>
      <c r="I116" s="347">
        <f t="shared" si="25"/>
        <v>387240816.84587204</v>
      </c>
      <c r="J116" s="347">
        <f t="shared" si="25"/>
        <v>407752487.99578249</v>
      </c>
      <c r="K116" s="347">
        <f t="shared" si="25"/>
        <v>424405370.12619102</v>
      </c>
      <c r="L116" s="347">
        <f t="shared" si="25"/>
        <v>457921790.77190477</v>
      </c>
      <c r="M116" s="347">
        <f t="shared" si="25"/>
        <v>515929534.20782048</v>
      </c>
      <c r="N116" s="347">
        <f t="shared" si="25"/>
        <v>576739032.94402862</v>
      </c>
      <c r="O116" s="347">
        <f t="shared" si="25"/>
        <v>623401041.70097733</v>
      </c>
      <c r="P116" s="347">
        <f t="shared" si="25"/>
        <v>616863632.85771894</v>
      </c>
      <c r="Q116" s="347">
        <f t="shared" si="25"/>
        <v>681731303.69787812</v>
      </c>
      <c r="R116" s="347">
        <f t="shared" si="25"/>
        <v>714069005.02193642</v>
      </c>
      <c r="S116" s="347">
        <f t="shared" si="25"/>
        <v>722935526.08217573</v>
      </c>
      <c r="T116" s="347">
        <f t="shared" si="25"/>
        <v>724387033.27784383</v>
      </c>
      <c r="U116" s="347">
        <f t="shared" si="25"/>
        <v>800620047.27771091</v>
      </c>
      <c r="V116" s="347">
        <f t="shared" si="25"/>
        <v>980178512.59728229</v>
      </c>
      <c r="W116" s="347">
        <f t="shared" si="25"/>
        <v>960602565.77602863</v>
      </c>
      <c r="X116" s="347">
        <f t="shared" si="25"/>
        <v>951600418.2174865</v>
      </c>
    </row>
    <row r="117" spans="1:24" ht="15" thickBot="1" x14ac:dyDescent="0.35">
      <c r="A117" s="502" t="s">
        <v>868</v>
      </c>
      <c r="B117" s="503">
        <f>B106/B111</f>
        <v>30210861.452284098</v>
      </c>
      <c r="C117" s="503">
        <f t="shared" ref="C117:X117" si="26">C106/C111</f>
        <v>23491234.26977782</v>
      </c>
      <c r="D117" s="503">
        <f t="shared" si="26"/>
        <v>119365473.3214938</v>
      </c>
      <c r="E117" s="503">
        <f t="shared" si="26"/>
        <v>34341073.745878316</v>
      </c>
      <c r="F117" s="503">
        <f t="shared" si="26"/>
        <v>34060570.272223577</v>
      </c>
      <c r="G117" s="503">
        <f t="shared" si="26"/>
        <v>30405050.226331737</v>
      </c>
      <c r="H117" s="503">
        <f t="shared" si="26"/>
        <v>54800684</v>
      </c>
      <c r="I117" s="503">
        <f t="shared" si="26"/>
        <v>55609083.355932198</v>
      </c>
      <c r="J117" s="503">
        <f t="shared" si="26"/>
        <v>117854392.09489349</v>
      </c>
      <c r="K117" s="503">
        <f t="shared" si="26"/>
        <v>153950907.21960339</v>
      </c>
      <c r="L117" s="503">
        <f t="shared" si="26"/>
        <v>137594258.88902262</v>
      </c>
      <c r="M117" s="503">
        <f t="shared" si="26"/>
        <v>191615109.26708907</v>
      </c>
      <c r="N117" s="503">
        <f t="shared" si="26"/>
        <v>179285925.51815593</v>
      </c>
      <c r="O117" s="503">
        <f t="shared" si="26"/>
        <v>225652080.74184194</v>
      </c>
      <c r="P117" s="503">
        <f t="shared" si="26"/>
        <v>216087081.09200418</v>
      </c>
      <c r="Q117" s="503">
        <f t="shared" si="26"/>
        <v>201286586.12023646</v>
      </c>
      <c r="R117" s="503">
        <f t="shared" si="26"/>
        <v>213395899.76622406</v>
      </c>
      <c r="S117" s="503">
        <f t="shared" si="26"/>
        <v>202388732.46153042</v>
      </c>
      <c r="T117" s="503">
        <f t="shared" si="26"/>
        <v>191919227.57352358</v>
      </c>
      <c r="U117" s="503">
        <f t="shared" si="26"/>
        <v>458028286.13406861</v>
      </c>
      <c r="V117" s="503">
        <f t="shared" si="26"/>
        <v>420859160.72748882</v>
      </c>
      <c r="W117" s="503">
        <f t="shared" si="26"/>
        <v>282186176.66212058</v>
      </c>
      <c r="X117" s="503">
        <f t="shared" si="26"/>
        <v>257779078.92225984</v>
      </c>
    </row>
    <row r="118" spans="1:24" ht="15.6" x14ac:dyDescent="0.3">
      <c r="A118" s="617" t="s">
        <v>865</v>
      </c>
      <c r="B118" s="618">
        <f>B109/B111</f>
        <v>316286033.57553655</v>
      </c>
      <c r="C118" s="618">
        <f t="shared" ref="C118:X118" si="27">C109/C111</f>
        <v>221678622.60667473</v>
      </c>
      <c r="D118" s="618">
        <f t="shared" si="27"/>
        <v>445227317.27849764</v>
      </c>
      <c r="E118" s="618">
        <f t="shared" si="27"/>
        <v>400825599.08987802</v>
      </c>
      <c r="F118" s="618">
        <f t="shared" si="27"/>
        <v>424940157.57925916</v>
      </c>
      <c r="G118" s="618">
        <f t="shared" si="27"/>
        <v>467488236.27474123</v>
      </c>
      <c r="H118" s="618">
        <f t="shared" si="27"/>
        <v>586844046</v>
      </c>
      <c r="I118" s="618">
        <f t="shared" si="27"/>
        <v>722791437.38209403</v>
      </c>
      <c r="J118" s="618">
        <f t="shared" si="27"/>
        <v>840470062.45199013</v>
      </c>
      <c r="K118" s="618">
        <f t="shared" si="27"/>
        <v>996513063.17282891</v>
      </c>
      <c r="L118" s="618">
        <f t="shared" si="27"/>
        <v>993040556.997756</v>
      </c>
      <c r="M118" s="618">
        <f t="shared" si="27"/>
        <v>1183683603.517777</v>
      </c>
      <c r="N118" s="618">
        <f t="shared" si="27"/>
        <v>1246905039.0128293</v>
      </c>
      <c r="O118" s="618">
        <f t="shared" si="27"/>
        <v>1306583209.7478817</v>
      </c>
      <c r="P118" s="618">
        <f t="shared" si="27"/>
        <v>1253331659.2292576</v>
      </c>
      <c r="Q118" s="618">
        <f t="shared" si="27"/>
        <v>1362163550.5952706</v>
      </c>
      <c r="R118" s="618">
        <f t="shared" si="27"/>
        <v>1489335661.4907095</v>
      </c>
      <c r="S118" s="618">
        <f t="shared" si="27"/>
        <v>1466000237.0406699</v>
      </c>
      <c r="T118" s="618">
        <f t="shared" si="27"/>
        <v>1489009623.6924295</v>
      </c>
      <c r="U118" s="618">
        <f t="shared" si="27"/>
        <v>1809289771.9500299</v>
      </c>
      <c r="V118" s="618">
        <f t="shared" si="27"/>
        <v>2122001737.0032959</v>
      </c>
      <c r="W118" s="618">
        <f t="shared" si="27"/>
        <v>1958661629.6645412</v>
      </c>
      <c r="X118" s="618">
        <f t="shared" si="27"/>
        <v>1912460399.4722166</v>
      </c>
    </row>
    <row r="121" spans="1:24" x14ac:dyDescent="0.3">
      <c r="A121" s="620" t="s">
        <v>1035</v>
      </c>
      <c r="B121" s="620" t="s">
        <v>865</v>
      </c>
    </row>
    <row r="122" spans="1:24" x14ac:dyDescent="0.3">
      <c r="A122" s="345">
        <v>2001</v>
      </c>
      <c r="B122" s="347">
        <f>+B118</f>
        <v>316286033.57553655</v>
      </c>
    </row>
    <row r="123" spans="1:24" x14ac:dyDescent="0.3">
      <c r="A123" s="345">
        <v>2002</v>
      </c>
      <c r="B123" s="347">
        <f>+C118</f>
        <v>221678622.60667473</v>
      </c>
    </row>
    <row r="124" spans="1:24" x14ac:dyDescent="0.3">
      <c r="A124" s="345">
        <v>2003</v>
      </c>
      <c r="B124" s="347">
        <f>+D118</f>
        <v>445227317.27849764</v>
      </c>
    </row>
    <row r="125" spans="1:24" x14ac:dyDescent="0.3">
      <c r="A125" s="345">
        <v>2004</v>
      </c>
      <c r="B125" s="347">
        <f>+E118</f>
        <v>400825599.08987802</v>
      </c>
    </row>
    <row r="126" spans="1:24" x14ac:dyDescent="0.3">
      <c r="A126" s="345">
        <v>2005</v>
      </c>
      <c r="B126" s="347">
        <f>+F118</f>
        <v>424940157.57925916</v>
      </c>
    </row>
    <row r="127" spans="1:24" x14ac:dyDescent="0.3">
      <c r="A127" s="345">
        <v>2006</v>
      </c>
      <c r="B127" s="347">
        <f>+G118</f>
        <v>467488236.27474123</v>
      </c>
    </row>
    <row r="128" spans="1:24" x14ac:dyDescent="0.3">
      <c r="A128" s="345">
        <v>2007</v>
      </c>
      <c r="B128" s="347">
        <f>+H118</f>
        <v>586844046</v>
      </c>
    </row>
    <row r="129" spans="1:2" x14ac:dyDescent="0.3">
      <c r="A129" s="345">
        <v>2008</v>
      </c>
      <c r="B129" s="347">
        <f>+I118</f>
        <v>722791437.38209403</v>
      </c>
    </row>
    <row r="130" spans="1:2" x14ac:dyDescent="0.3">
      <c r="A130" s="345">
        <v>2009</v>
      </c>
      <c r="B130" s="347">
        <f>+J118</f>
        <v>840470062.45199013</v>
      </c>
    </row>
    <row r="131" spans="1:2" x14ac:dyDescent="0.3">
      <c r="A131" s="345">
        <v>2010</v>
      </c>
      <c r="B131" s="347">
        <f>+K118</f>
        <v>996513063.17282891</v>
      </c>
    </row>
    <row r="132" spans="1:2" x14ac:dyDescent="0.3">
      <c r="A132" s="345">
        <v>2011</v>
      </c>
      <c r="B132" s="347">
        <f>+L118</f>
        <v>993040556.997756</v>
      </c>
    </row>
    <row r="133" spans="1:2" x14ac:dyDescent="0.3">
      <c r="A133" s="345">
        <v>2012</v>
      </c>
      <c r="B133" s="347">
        <f>+M118</f>
        <v>1183683603.517777</v>
      </c>
    </row>
    <row r="134" spans="1:2" x14ac:dyDescent="0.3">
      <c r="A134" s="345">
        <v>2013</v>
      </c>
      <c r="B134" s="347">
        <f>+N118</f>
        <v>1246905039.0128293</v>
      </c>
    </row>
    <row r="135" spans="1:2" x14ac:dyDescent="0.3">
      <c r="A135" s="345">
        <v>2014</v>
      </c>
      <c r="B135" s="347">
        <f>+O118</f>
        <v>1306583209.7478817</v>
      </c>
    </row>
    <row r="136" spans="1:2" x14ac:dyDescent="0.3">
      <c r="A136" s="345">
        <v>2015</v>
      </c>
      <c r="B136" s="347">
        <f>+P118</f>
        <v>1253331659.2292576</v>
      </c>
    </row>
    <row r="137" spans="1:2" x14ac:dyDescent="0.3">
      <c r="A137" s="345">
        <v>2016</v>
      </c>
      <c r="B137" s="347">
        <f>+Q118</f>
        <v>1362163550.5952706</v>
      </c>
    </row>
    <row r="138" spans="1:2" x14ac:dyDescent="0.3">
      <c r="A138" s="345">
        <v>2017</v>
      </c>
      <c r="B138" s="347">
        <f>+R118</f>
        <v>1489335661.4907095</v>
      </c>
    </row>
    <row r="139" spans="1:2" x14ac:dyDescent="0.3">
      <c r="A139" s="345">
        <v>2018</v>
      </c>
      <c r="B139" s="347">
        <f>+S118</f>
        <v>1466000237.0406699</v>
      </c>
    </row>
    <row r="140" spans="1:2" x14ac:dyDescent="0.3">
      <c r="A140" s="345">
        <v>2019</v>
      </c>
      <c r="B140" s="347">
        <f>+T118</f>
        <v>1489009623.6924295</v>
      </c>
    </row>
    <row r="141" spans="1:2" x14ac:dyDescent="0.3">
      <c r="A141" s="345">
        <v>2020</v>
      </c>
      <c r="B141" s="347">
        <f>+U118</f>
        <v>1809289771.9500299</v>
      </c>
    </row>
    <row r="142" spans="1:2" x14ac:dyDescent="0.3">
      <c r="A142" s="345">
        <v>2021</v>
      </c>
      <c r="B142" s="347">
        <f>+V118</f>
        <v>2122001737.0032959</v>
      </c>
    </row>
    <row r="143" spans="1:2" x14ac:dyDescent="0.3">
      <c r="A143" s="345">
        <v>2022</v>
      </c>
      <c r="B143" s="347">
        <f>+W118</f>
        <v>1958661629.6645412</v>
      </c>
    </row>
    <row r="144" spans="1:2" x14ac:dyDescent="0.3">
      <c r="A144" s="345">
        <v>2023</v>
      </c>
      <c r="B144" s="347">
        <f>+X118</f>
        <v>1912460399.4722166</v>
      </c>
    </row>
    <row r="147" spans="1:7" ht="14.4" customHeight="1" x14ac:dyDescent="0.3">
      <c r="A147" s="564" t="s">
        <v>1050</v>
      </c>
      <c r="B147" s="564"/>
      <c r="C147" s="564"/>
      <c r="D147" s="564"/>
      <c r="E147" s="564"/>
      <c r="F147" s="564"/>
    </row>
    <row r="148" spans="1:7" ht="14.4" customHeight="1" x14ac:dyDescent="0.3">
      <c r="A148" s="564"/>
      <c r="B148" s="564"/>
      <c r="C148" s="564"/>
      <c r="D148" s="564"/>
      <c r="E148" s="564"/>
      <c r="F148" s="564"/>
    </row>
    <row r="149" spans="1:7" ht="14.4" customHeight="1" x14ac:dyDescent="0.3">
      <c r="A149" t="s">
        <v>1080</v>
      </c>
    </row>
    <row r="150" spans="1:7" ht="14.4" customHeight="1" x14ac:dyDescent="0.3"/>
    <row r="151" spans="1:7" ht="15" thickBot="1" x14ac:dyDescent="0.35">
      <c r="A151" s="351" t="s">
        <v>849</v>
      </c>
      <c r="B151" s="475" t="s">
        <v>1076</v>
      </c>
      <c r="C151" s="363" t="s">
        <v>1077</v>
      </c>
      <c r="D151" s="363" t="s">
        <v>875</v>
      </c>
      <c r="E151" s="363" t="s">
        <v>1015</v>
      </c>
      <c r="F151" s="350" t="s">
        <v>860</v>
      </c>
      <c r="G151" s="350" t="s">
        <v>862</v>
      </c>
    </row>
    <row r="152" spans="1:7" x14ac:dyDescent="0.3">
      <c r="A152" s="352">
        <v>2001</v>
      </c>
      <c r="B152" s="529">
        <v>182527</v>
      </c>
      <c r="C152" s="529">
        <v>223580</v>
      </c>
      <c r="D152" s="528">
        <f>B152/C152</f>
        <v>0.81638339744163158</v>
      </c>
      <c r="E152" s="511">
        <v>452.2</v>
      </c>
      <c r="F152" s="509">
        <f>E152/D152</f>
        <v>553.90641384562286</v>
      </c>
      <c r="G152" s="509">
        <f>F152*12</f>
        <v>6646.8769661474744</v>
      </c>
    </row>
    <row r="153" spans="1:7" x14ac:dyDescent="0.3">
      <c r="A153" s="352">
        <v>2002</v>
      </c>
      <c r="B153" s="529">
        <v>192691</v>
      </c>
      <c r="C153" s="529">
        <v>235773</v>
      </c>
      <c r="D153" s="528">
        <f t="shared" ref="D153:D174" si="28">B153/C153</f>
        <v>0.81727339432420165</v>
      </c>
      <c r="E153" s="511">
        <v>510</v>
      </c>
      <c r="F153" s="509">
        <f t="shared" ref="F153:F174" si="29">E153/D153</f>
        <v>624.02618700406356</v>
      </c>
      <c r="G153" s="509">
        <f t="shared" ref="G153:G174" si="30">F153*12</f>
        <v>7488.3142440487627</v>
      </c>
    </row>
    <row r="154" spans="1:7" x14ac:dyDescent="0.3">
      <c r="A154" s="352">
        <v>2003</v>
      </c>
      <c r="B154" s="529">
        <v>204337</v>
      </c>
      <c r="C154" s="529">
        <v>245593</v>
      </c>
      <c r="D154" s="528">
        <f t="shared" si="28"/>
        <v>0.83201475612089926</v>
      </c>
      <c r="E154" s="511">
        <v>492.7</v>
      </c>
      <c r="F154" s="509">
        <f t="shared" si="29"/>
        <v>592.17699731326184</v>
      </c>
      <c r="G154" s="509">
        <f t="shared" si="30"/>
        <v>7106.123967759142</v>
      </c>
    </row>
    <row r="155" spans="1:7" x14ac:dyDescent="0.3">
      <c r="A155" s="352">
        <v>2004</v>
      </c>
      <c r="B155" s="529">
        <v>227935</v>
      </c>
      <c r="C155" s="529">
        <v>257770</v>
      </c>
      <c r="D155" s="528">
        <f t="shared" si="28"/>
        <v>0.88425728362493694</v>
      </c>
      <c r="E155" s="511">
        <v>573.6</v>
      </c>
      <c r="F155" s="509">
        <f t="shared" si="29"/>
        <v>648.67998332858053</v>
      </c>
      <c r="G155" s="509">
        <f t="shared" si="30"/>
        <v>7784.1597999429669</v>
      </c>
    </row>
    <row r="156" spans="1:7" x14ac:dyDescent="0.3">
      <c r="A156" s="352">
        <v>2005</v>
      </c>
      <c r="B156" s="529">
        <v>250749</v>
      </c>
      <c r="C156" s="529">
        <v>273971</v>
      </c>
      <c r="D156" s="528">
        <f t="shared" si="28"/>
        <v>0.91523920414934423</v>
      </c>
      <c r="E156" s="511">
        <v>594.4</v>
      </c>
      <c r="F156" s="509">
        <f t="shared" si="29"/>
        <v>649.44770427798312</v>
      </c>
      <c r="G156" s="509">
        <f t="shared" si="30"/>
        <v>7793.3724513357975</v>
      </c>
    </row>
    <row r="157" spans="1:7" x14ac:dyDescent="0.3">
      <c r="A157" s="352">
        <v>2006</v>
      </c>
      <c r="B157" s="529">
        <v>290271</v>
      </c>
      <c r="C157" s="529">
        <v>294598</v>
      </c>
      <c r="D157" s="528">
        <f t="shared" si="28"/>
        <v>0.98531218813433896</v>
      </c>
      <c r="E157" s="511">
        <v>591.79999999999995</v>
      </c>
      <c r="F157" s="509">
        <f t="shared" si="29"/>
        <v>600.62182029896201</v>
      </c>
      <c r="G157" s="509">
        <f t="shared" si="30"/>
        <v>7207.4618435875436</v>
      </c>
    </row>
    <row r="158" spans="1:7" x14ac:dyDescent="0.3">
      <c r="A158" s="352">
        <v>2007</v>
      </c>
      <c r="B158" s="505">
        <v>319693</v>
      </c>
      <c r="C158" s="505">
        <v>319693</v>
      </c>
      <c r="D158" s="528">
        <f t="shared" si="28"/>
        <v>1</v>
      </c>
      <c r="E158" s="612">
        <v>819.21043320433716</v>
      </c>
      <c r="F158" s="509">
        <f t="shared" si="29"/>
        <v>819.21043320433716</v>
      </c>
      <c r="G158" s="509">
        <f t="shared" si="30"/>
        <v>9830.5251984520455</v>
      </c>
    </row>
    <row r="159" spans="1:7" x14ac:dyDescent="0.3">
      <c r="A159" s="352">
        <v>2008</v>
      </c>
      <c r="B159" s="505">
        <v>352719</v>
      </c>
      <c r="C159" s="505">
        <v>348870</v>
      </c>
      <c r="D159" s="528">
        <f t="shared" si="28"/>
        <v>1.0110327629202855</v>
      </c>
      <c r="E159" s="612">
        <v>762.86188840374518</v>
      </c>
      <c r="F159" s="509">
        <f t="shared" si="29"/>
        <v>754.5372577247457</v>
      </c>
      <c r="G159" s="509">
        <f t="shared" si="30"/>
        <v>9054.4470926969479</v>
      </c>
    </row>
    <row r="160" spans="1:7" x14ac:dyDescent="0.3">
      <c r="A160" s="352">
        <v>2009</v>
      </c>
      <c r="B160" s="505">
        <v>363943</v>
      </c>
      <c r="C160" s="505">
        <v>352693</v>
      </c>
      <c r="D160" s="528">
        <f t="shared" si="28"/>
        <v>1.0318974292089722</v>
      </c>
      <c r="E160" s="612">
        <v>925.53034601047966</v>
      </c>
      <c r="F160" s="509">
        <f t="shared" si="29"/>
        <v>896.92087586647926</v>
      </c>
      <c r="G160" s="509">
        <f t="shared" si="30"/>
        <v>10763.050510397752</v>
      </c>
    </row>
    <row r="161" spans="1:7" x14ac:dyDescent="0.3">
      <c r="A161" s="352">
        <v>2010</v>
      </c>
      <c r="B161" s="505">
        <v>416784</v>
      </c>
      <c r="C161" s="505">
        <v>382081</v>
      </c>
      <c r="D161" s="528">
        <f t="shared" si="28"/>
        <v>1.0908262907603361</v>
      </c>
      <c r="E161" s="612">
        <v>889.84712396864586</v>
      </c>
      <c r="F161" s="509">
        <f t="shared" si="29"/>
        <v>815.75511289556266</v>
      </c>
      <c r="G161" s="509">
        <f t="shared" si="30"/>
        <v>9789.061354746751</v>
      </c>
    </row>
    <row r="162" spans="1:7" x14ac:dyDescent="0.3">
      <c r="A162" s="352">
        <v>2011</v>
      </c>
      <c r="B162" s="505">
        <v>473049</v>
      </c>
      <c r="C162" s="505">
        <v>406256</v>
      </c>
      <c r="D162" s="528">
        <f t="shared" si="28"/>
        <v>1.1644111102359103</v>
      </c>
      <c r="E162" s="612">
        <v>895.45790348644618</v>
      </c>
      <c r="F162" s="509">
        <f t="shared" si="29"/>
        <v>769.02212252597451</v>
      </c>
      <c r="G162" s="509">
        <f t="shared" si="30"/>
        <v>9228.2654703116932</v>
      </c>
    </row>
    <row r="163" spans="1:7" x14ac:dyDescent="0.3">
      <c r="A163" s="352">
        <v>2012</v>
      </c>
      <c r="B163" s="505">
        <v>508131</v>
      </c>
      <c r="C163" s="505">
        <v>431199</v>
      </c>
      <c r="D163" s="528">
        <f t="shared" si="28"/>
        <v>1.1784141428899417</v>
      </c>
      <c r="E163" s="612">
        <v>1000.92944830725</v>
      </c>
      <c r="F163" s="509">
        <f t="shared" si="29"/>
        <v>849.38682580011437</v>
      </c>
      <c r="G163" s="509">
        <f t="shared" si="30"/>
        <v>10192.641909601372</v>
      </c>
    </row>
    <row r="164" spans="1:7" x14ac:dyDescent="0.3">
      <c r="A164" s="352">
        <v>2013</v>
      </c>
      <c r="B164" s="505">
        <v>543556</v>
      </c>
      <c r="C164" s="505">
        <v>456435</v>
      </c>
      <c r="D164" s="528">
        <f t="shared" si="28"/>
        <v>1.1908727420114584</v>
      </c>
      <c r="E164" s="612">
        <v>1040.3865508359472</v>
      </c>
      <c r="F164" s="509">
        <f t="shared" si="29"/>
        <v>873.63369244531486</v>
      </c>
      <c r="G164" s="509">
        <f t="shared" si="30"/>
        <v>10483.604309343778</v>
      </c>
    </row>
    <row r="165" spans="1:7" x14ac:dyDescent="0.3">
      <c r="A165" s="352">
        <v>2014</v>
      </c>
      <c r="B165" s="505">
        <v>570041</v>
      </c>
      <c r="C165" s="505">
        <v>467308</v>
      </c>
      <c r="D165" s="528">
        <f t="shared" si="28"/>
        <v>1.2198400198584232</v>
      </c>
      <c r="E165" s="612">
        <v>1092.3674965422331</v>
      </c>
      <c r="F165" s="509">
        <f t="shared" si="29"/>
        <v>895.5006220151846</v>
      </c>
      <c r="G165" s="509">
        <f t="shared" si="30"/>
        <v>10746.007464182216</v>
      </c>
    </row>
    <row r="166" spans="1:7" x14ac:dyDescent="0.3">
      <c r="A166" s="352">
        <v>2015</v>
      </c>
      <c r="B166" s="505">
        <v>604416</v>
      </c>
      <c r="C166" s="505">
        <v>482506</v>
      </c>
      <c r="D166" s="528">
        <f t="shared" si="28"/>
        <v>1.2526600705483455</v>
      </c>
      <c r="E166" s="612">
        <v>1128.8768300371564</v>
      </c>
      <c r="F166" s="509">
        <f t="shared" si="29"/>
        <v>901.18369426671063</v>
      </c>
      <c r="G166" s="509">
        <f t="shared" si="30"/>
        <v>10814.204331200528</v>
      </c>
    </row>
    <row r="167" spans="1:7" x14ac:dyDescent="0.3">
      <c r="A167" s="352">
        <v>2016</v>
      </c>
      <c r="B167" s="505">
        <v>647668</v>
      </c>
      <c r="C167" s="505">
        <v>501581</v>
      </c>
      <c r="D167" s="528">
        <f t="shared" si="28"/>
        <v>1.2912530578311379</v>
      </c>
      <c r="E167" s="612">
        <v>1203.7795914738592</v>
      </c>
      <c r="F167" s="509">
        <f t="shared" si="29"/>
        <v>932.25691445470488</v>
      </c>
      <c r="G167" s="509">
        <f t="shared" si="30"/>
        <v>11187.082973456458</v>
      </c>
    </row>
    <row r="168" spans="1:7" x14ac:dyDescent="0.3">
      <c r="A168" s="352">
        <v>2017</v>
      </c>
      <c r="B168" s="505">
        <v>687989</v>
      </c>
      <c r="C168" s="505">
        <v>514215</v>
      </c>
      <c r="D168" s="528">
        <f t="shared" si="28"/>
        <v>1.337940355687796</v>
      </c>
      <c r="E168" s="612">
        <v>1256.4763783320384</v>
      </c>
      <c r="F168" s="509">
        <f t="shared" si="29"/>
        <v>939.11239988431373</v>
      </c>
      <c r="G168" s="509">
        <f t="shared" si="30"/>
        <v>11269.348798611765</v>
      </c>
    </row>
    <row r="169" spans="1:7" x14ac:dyDescent="0.3">
      <c r="A169" s="352">
        <v>2018</v>
      </c>
      <c r="B169" s="505">
        <v>731588</v>
      </c>
      <c r="C169" s="505">
        <v>534626</v>
      </c>
      <c r="D169" s="528">
        <f t="shared" si="28"/>
        <v>1.3684108142888673</v>
      </c>
      <c r="E169" s="612">
        <v>1268.3966761849692</v>
      </c>
      <c r="F169" s="509">
        <f t="shared" si="29"/>
        <v>926.91219839864152</v>
      </c>
      <c r="G169" s="509">
        <f t="shared" si="30"/>
        <v>11122.946380783698</v>
      </c>
    </row>
    <row r="170" spans="1:7" x14ac:dyDescent="0.3">
      <c r="A170" s="352">
        <v>2019</v>
      </c>
      <c r="B170" s="505">
        <v>761984</v>
      </c>
      <c r="C170" s="505">
        <v>546605</v>
      </c>
      <c r="D170" s="528">
        <f t="shared" si="28"/>
        <v>1.3940304241637014</v>
      </c>
      <c r="E170" s="612">
        <v>1307.499089657382</v>
      </c>
      <c r="F170" s="509">
        <f t="shared" si="29"/>
        <v>937.92722669002671</v>
      </c>
      <c r="G170" s="509">
        <f t="shared" si="30"/>
        <v>11255.126720280321</v>
      </c>
    </row>
    <row r="171" spans="1:7" x14ac:dyDescent="0.3">
      <c r="A171" s="352">
        <v>2020</v>
      </c>
      <c r="B171" s="505">
        <v>703915</v>
      </c>
      <c r="C171" s="505">
        <v>486843</v>
      </c>
      <c r="D171" s="528">
        <f t="shared" si="28"/>
        <v>1.4458768021723636</v>
      </c>
      <c r="E171" s="612">
        <v>1167.1714813269691</v>
      </c>
      <c r="F171" s="509">
        <f t="shared" si="29"/>
        <v>807.24130823134271</v>
      </c>
      <c r="G171" s="509">
        <f t="shared" si="30"/>
        <v>9686.8956987761121</v>
      </c>
    </row>
    <row r="172" spans="1:7" x14ac:dyDescent="0.3">
      <c r="A172" s="352">
        <v>2021</v>
      </c>
      <c r="B172" s="505">
        <v>878281</v>
      </c>
      <c r="C172" s="505">
        <v>551898</v>
      </c>
      <c r="D172" s="528">
        <f t="shared" si="28"/>
        <v>1.5913828279863309</v>
      </c>
      <c r="E172" s="612">
        <v>1406.061874790259</v>
      </c>
      <c r="F172" s="509">
        <f t="shared" si="29"/>
        <v>883.54722073344897</v>
      </c>
      <c r="G172" s="509">
        <f t="shared" si="30"/>
        <v>10602.566648801389</v>
      </c>
    </row>
    <row r="173" spans="1:7" x14ac:dyDescent="0.3">
      <c r="A173" s="352">
        <v>2022</v>
      </c>
      <c r="B173" s="505">
        <v>943706</v>
      </c>
      <c r="C173" s="505">
        <v>567401</v>
      </c>
      <c r="D173" s="528">
        <f t="shared" si="28"/>
        <v>1.6632082072467267</v>
      </c>
      <c r="E173" s="347">
        <v>1469</v>
      </c>
      <c r="F173" s="509">
        <f t="shared" si="29"/>
        <v>883.23277482605818</v>
      </c>
      <c r="G173" s="509">
        <f t="shared" si="30"/>
        <v>10598.793297912698</v>
      </c>
    </row>
    <row r="174" spans="1:7" x14ac:dyDescent="0.3">
      <c r="A174" s="352">
        <v>2023</v>
      </c>
      <c r="B174" s="505">
        <v>999447</v>
      </c>
      <c r="C174" s="505">
        <v>565113</v>
      </c>
      <c r="D174" s="528">
        <f t="shared" si="28"/>
        <v>1.7685790275573203</v>
      </c>
      <c r="E174" s="347">
        <v>1564.4</v>
      </c>
      <c r="F174" s="509">
        <f t="shared" si="29"/>
        <v>884.55193441973415</v>
      </c>
      <c r="G174" s="509">
        <f t="shared" si="30"/>
        <v>10614.62321303681</v>
      </c>
    </row>
  </sheetData>
  <mergeCells count="5">
    <mergeCell ref="A147:F148"/>
    <mergeCell ref="A61:G62"/>
    <mergeCell ref="A88:G89"/>
    <mergeCell ref="A31:F32"/>
    <mergeCell ref="A35:D35"/>
  </mergeCells>
  <pageMargins left="0.7" right="0.7" top="0.75" bottom="0.75" header="0.3" footer="0.3"/>
  <ignoredErrors>
    <ignoredError sqref="E65:E85" formulaRange="1"/>
    <ignoredError sqref="B6:B27" calculatedColumn="1"/>
  </ignoredErrors>
  <drawing r:id="rId1"/>
  <tableParts count="1">
    <tablePart r:id="rId2"/>
  </tableParts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520FD-2D5E-4B31-8F0C-86C99400F496}">
  <dimension ref="A1:Z174"/>
  <sheetViews>
    <sheetView topLeftCell="A8" workbookViewId="0">
      <selection activeCell="D6" sqref="D6"/>
    </sheetView>
  </sheetViews>
  <sheetFormatPr baseColWidth="10" defaultRowHeight="14.4" x14ac:dyDescent="0.3"/>
  <cols>
    <col min="1" max="1" width="25.88671875" customWidth="1"/>
    <col min="2" max="2" width="21.6640625" customWidth="1"/>
    <col min="3" max="3" width="31.77734375" customWidth="1"/>
    <col min="4" max="4" width="32.5546875" customWidth="1"/>
    <col min="5" max="5" width="25.44140625" customWidth="1"/>
    <col min="6" max="6" width="26.109375" customWidth="1"/>
    <col min="7" max="7" width="20.77734375" customWidth="1"/>
    <col min="8" max="8" width="14.77734375" customWidth="1"/>
    <col min="9" max="9" width="15.109375" customWidth="1"/>
    <col min="10" max="10" width="15.5546875" customWidth="1"/>
    <col min="11" max="11" width="16.33203125" customWidth="1"/>
    <col min="12" max="12" width="16.21875" customWidth="1"/>
    <col min="13" max="13" width="15.33203125" customWidth="1"/>
    <col min="14" max="14" width="14.88671875" customWidth="1"/>
    <col min="15" max="15" width="16.77734375" customWidth="1"/>
    <col min="16" max="16" width="14.77734375" customWidth="1"/>
    <col min="17" max="17" width="18.109375" customWidth="1"/>
    <col min="18" max="23" width="19" bestFit="1" customWidth="1"/>
    <col min="24" max="24" width="16.33203125" customWidth="1"/>
  </cols>
  <sheetData>
    <row r="1" spans="1:6" ht="15.6" x14ac:dyDescent="0.3">
      <c r="A1" s="480" t="s">
        <v>1049</v>
      </c>
    </row>
    <row r="2" spans="1:6" ht="18" x14ac:dyDescent="0.35">
      <c r="A2" s="501" t="s">
        <v>1081</v>
      </c>
    </row>
    <row r="3" spans="1:6" x14ac:dyDescent="0.3">
      <c r="A3" t="s">
        <v>1047</v>
      </c>
    </row>
    <row r="5" spans="1:6" ht="18.600000000000001" thickBot="1" x14ac:dyDescent="0.4">
      <c r="A5" s="488" t="s">
        <v>1035</v>
      </c>
      <c r="B5" s="489" t="s">
        <v>1009</v>
      </c>
      <c r="C5" s="490" t="s">
        <v>1106</v>
      </c>
      <c r="D5" s="490" t="s">
        <v>1107</v>
      </c>
      <c r="E5" s="491" t="s">
        <v>876</v>
      </c>
      <c r="F5" s="491" t="s">
        <v>862</v>
      </c>
    </row>
    <row r="6" spans="1:6" ht="18" x14ac:dyDescent="0.35">
      <c r="A6" s="352">
        <v>2001</v>
      </c>
      <c r="B6" s="525">
        <f>C37</f>
        <v>5369.8273649347966</v>
      </c>
      <c r="C6" s="527"/>
      <c r="D6" s="527"/>
      <c r="E6" s="525">
        <f>B122</f>
        <v>402030359.15088606</v>
      </c>
      <c r="F6" s="525">
        <f>G152</f>
        <v>7027.5804456327023</v>
      </c>
    </row>
    <row r="7" spans="1:6" ht="18" x14ac:dyDescent="0.35">
      <c r="A7" s="352">
        <v>2002</v>
      </c>
      <c r="B7" s="525">
        <f t="shared" ref="B7:B27" si="0">C38</f>
        <v>5462.1734630511282</v>
      </c>
      <c r="C7" s="527"/>
      <c r="D7" s="527"/>
      <c r="E7" s="525">
        <f t="shared" ref="E7:E28" si="1">B123</f>
        <v>394048789.95258898</v>
      </c>
      <c r="F7" s="525">
        <f t="shared" ref="F7:F28" si="2">G153</f>
        <v>6878.9710261506771</v>
      </c>
    </row>
    <row r="8" spans="1:6" ht="18" x14ac:dyDescent="0.35">
      <c r="A8" s="352">
        <v>2003</v>
      </c>
      <c r="B8" s="525">
        <f t="shared" si="0"/>
        <v>5593.815773131857</v>
      </c>
      <c r="C8" s="527"/>
      <c r="D8" s="527"/>
      <c r="E8" s="525">
        <f t="shared" si="1"/>
        <v>594116888.86298168</v>
      </c>
      <c r="F8" s="525">
        <f t="shared" si="2"/>
        <v>5927.7794819342553</v>
      </c>
    </row>
    <row r="9" spans="1:6" ht="18" x14ac:dyDescent="0.35">
      <c r="A9" s="352">
        <v>2004</v>
      </c>
      <c r="B9" s="525">
        <f t="shared" si="0"/>
        <v>5990.7075139722629</v>
      </c>
      <c r="C9" s="527">
        <f>+H65</f>
        <v>73.375087309413104</v>
      </c>
      <c r="D9" s="527">
        <f>+G65</f>
        <v>22.031252900846962</v>
      </c>
      <c r="E9" s="525">
        <f t="shared" si="1"/>
        <v>427601521.64960825</v>
      </c>
      <c r="F9" s="525">
        <f t="shared" si="2"/>
        <v>6405.3755675960247</v>
      </c>
    </row>
    <row r="10" spans="1:6" ht="18" x14ac:dyDescent="0.35">
      <c r="A10" s="352">
        <v>2005</v>
      </c>
      <c r="B10" s="525">
        <f t="shared" si="0"/>
        <v>6271.6754295176979</v>
      </c>
      <c r="C10" s="527">
        <f t="shared" ref="C10:C28" si="3">+H66</f>
        <v>70.136692695634721</v>
      </c>
      <c r="D10" s="527">
        <f t="shared" ref="D10:D28" si="4">+G66</f>
        <v>19.588498299016425</v>
      </c>
      <c r="E10" s="525">
        <f t="shared" si="1"/>
        <v>482033397.46140712</v>
      </c>
      <c r="F10" s="525">
        <f t="shared" si="2"/>
        <v>5961.7201440484314</v>
      </c>
    </row>
    <row r="11" spans="1:6" ht="18" x14ac:dyDescent="0.35">
      <c r="A11" s="352">
        <v>2006</v>
      </c>
      <c r="B11" s="525">
        <f t="shared" si="0"/>
        <v>6821.8223970192512</v>
      </c>
      <c r="C11" s="527">
        <f t="shared" si="3"/>
        <v>65.026138821631235</v>
      </c>
      <c r="D11" s="527">
        <f t="shared" si="4"/>
        <v>14.382050622535713</v>
      </c>
      <c r="E11" s="525">
        <f t="shared" si="1"/>
        <v>537093042.26186574</v>
      </c>
      <c r="F11" s="525">
        <f t="shared" si="2"/>
        <v>6488.9078578294066</v>
      </c>
    </row>
    <row r="12" spans="1:6" ht="18" x14ac:dyDescent="0.35">
      <c r="A12" s="352">
        <v>2007</v>
      </c>
      <c r="B12" s="525">
        <f t="shared" si="0"/>
        <v>7426.9840612709586</v>
      </c>
      <c r="C12" s="527">
        <f t="shared" si="3"/>
        <v>54.15970977023963</v>
      </c>
      <c r="D12" s="527">
        <f t="shared" si="4"/>
        <v>13.340175486393127</v>
      </c>
      <c r="E12" s="525">
        <f t="shared" si="1"/>
        <v>709872743</v>
      </c>
      <c r="F12" s="525">
        <f t="shared" si="2"/>
        <v>6602.2130487220202</v>
      </c>
    </row>
    <row r="13" spans="1:6" ht="18" x14ac:dyDescent="0.35">
      <c r="A13" s="352">
        <v>2008</v>
      </c>
      <c r="B13" s="525">
        <f t="shared" si="0"/>
        <v>7872.9960670668597</v>
      </c>
      <c r="C13" s="527">
        <f t="shared" si="3"/>
        <v>49.41979926719911</v>
      </c>
      <c r="D13" s="527">
        <f t="shared" si="4"/>
        <v>11.263094566281369</v>
      </c>
      <c r="E13" s="525">
        <f t="shared" si="1"/>
        <v>836809088.58419895</v>
      </c>
      <c r="F13" s="525">
        <f t="shared" si="2"/>
        <v>7364.4936456193418</v>
      </c>
    </row>
    <row r="14" spans="1:6" ht="18" x14ac:dyDescent="0.35">
      <c r="A14" s="352">
        <v>2009</v>
      </c>
      <c r="B14" s="525">
        <f t="shared" si="0"/>
        <v>7988.9198923618296</v>
      </c>
      <c r="C14" s="527">
        <f t="shared" si="3"/>
        <v>42.412087523449046</v>
      </c>
      <c r="D14" s="527">
        <f t="shared" si="4"/>
        <v>9.2908264164451531</v>
      </c>
      <c r="E14" s="525">
        <f t="shared" si="1"/>
        <v>817358046.73513699</v>
      </c>
      <c r="F14" s="525">
        <f t="shared" si="2"/>
        <v>8835.6538328535735</v>
      </c>
    </row>
    <row r="15" spans="1:6" ht="18" x14ac:dyDescent="0.35">
      <c r="A15" s="352">
        <v>2010</v>
      </c>
      <c r="B15" s="525">
        <f t="shared" si="0"/>
        <v>8559</v>
      </c>
      <c r="C15" s="527">
        <f t="shared" si="3"/>
        <v>44.250723398488063</v>
      </c>
      <c r="D15" s="527">
        <f t="shared" si="4"/>
        <v>9.5564207768234777</v>
      </c>
      <c r="E15" s="525">
        <f t="shared" si="1"/>
        <v>915655296.84558928</v>
      </c>
      <c r="F15" s="525">
        <f t="shared" si="2"/>
        <v>8169.944835180062</v>
      </c>
    </row>
    <row r="16" spans="1:6" ht="18" x14ac:dyDescent="0.35">
      <c r="A16" s="352">
        <v>2011</v>
      </c>
      <c r="B16" s="525">
        <f t="shared" si="0"/>
        <v>9188</v>
      </c>
      <c r="C16" s="527">
        <f t="shared" si="3"/>
        <v>35.180912628828956</v>
      </c>
      <c r="D16" s="527">
        <f t="shared" si="4"/>
        <v>8.3389054723243259</v>
      </c>
      <c r="E16" s="525">
        <f t="shared" si="1"/>
        <v>967276203.90389442</v>
      </c>
      <c r="F16" s="525">
        <f t="shared" si="2"/>
        <v>8827.9640527166812</v>
      </c>
    </row>
    <row r="17" spans="1:6" ht="18" x14ac:dyDescent="0.35">
      <c r="A17" s="352">
        <v>2012</v>
      </c>
      <c r="B17" s="525">
        <f t="shared" si="0"/>
        <v>9492</v>
      </c>
      <c r="C17" s="527">
        <f t="shared" si="3"/>
        <v>34.874720588630232</v>
      </c>
      <c r="D17" s="527">
        <f t="shared" si="4"/>
        <v>6.9284084170972582</v>
      </c>
      <c r="E17" s="525">
        <f t="shared" si="1"/>
        <v>1074442189.1466691</v>
      </c>
      <c r="F17" s="525">
        <f t="shared" si="2"/>
        <v>9031.9996369461624</v>
      </c>
    </row>
    <row r="18" spans="1:6" ht="18" x14ac:dyDescent="0.35">
      <c r="A18" s="352">
        <v>2013</v>
      </c>
      <c r="B18" s="525">
        <f t="shared" si="0"/>
        <v>9770</v>
      </c>
      <c r="C18" s="527">
        <f t="shared" si="3"/>
        <v>35.111472272463423</v>
      </c>
      <c r="D18" s="527">
        <f t="shared" si="4"/>
        <v>6.3481092949930318</v>
      </c>
      <c r="E18" s="525">
        <f t="shared" si="1"/>
        <v>1343201898.2175994</v>
      </c>
      <c r="F18" s="525">
        <f t="shared" si="2"/>
        <v>8972.3017664964464</v>
      </c>
    </row>
    <row r="19" spans="1:6" ht="18" x14ac:dyDescent="0.35">
      <c r="A19" s="352">
        <v>2014</v>
      </c>
      <c r="B19" s="525">
        <f t="shared" si="0"/>
        <v>10202</v>
      </c>
      <c r="C19" s="527">
        <f t="shared" si="3"/>
        <v>29.61384312293324</v>
      </c>
      <c r="D19" s="527">
        <f t="shared" si="4"/>
        <v>7.8398860477006034</v>
      </c>
      <c r="E19" s="525">
        <f t="shared" si="1"/>
        <v>1302703203.8613801</v>
      </c>
      <c r="F19" s="525">
        <f t="shared" si="2"/>
        <v>8877.5608178415132</v>
      </c>
    </row>
    <row r="20" spans="1:6" ht="18" x14ac:dyDescent="0.35">
      <c r="A20" s="352">
        <v>2015</v>
      </c>
      <c r="B20" s="525">
        <f t="shared" si="0"/>
        <v>10124</v>
      </c>
      <c r="C20" s="527">
        <f t="shared" si="3"/>
        <v>29.43173485812461</v>
      </c>
      <c r="D20" s="527">
        <f t="shared" si="4"/>
        <v>5.3445901263763647</v>
      </c>
      <c r="E20" s="525">
        <f t="shared" si="1"/>
        <v>1338771233.7363653</v>
      </c>
      <c r="F20" s="525">
        <f t="shared" si="2"/>
        <v>8957.1291690412145</v>
      </c>
    </row>
    <row r="21" spans="1:6" ht="18" x14ac:dyDescent="0.35">
      <c r="A21" s="352">
        <v>2016</v>
      </c>
      <c r="B21" s="525">
        <f t="shared" si="0"/>
        <v>9982</v>
      </c>
      <c r="C21" s="527">
        <f t="shared" si="3"/>
        <v>30.704464009655094</v>
      </c>
      <c r="D21" s="527">
        <f t="shared" si="4"/>
        <v>5.3545217954677726</v>
      </c>
      <c r="E21" s="525">
        <f t="shared" si="1"/>
        <v>1258218231.625145</v>
      </c>
      <c r="F21" s="525">
        <f t="shared" si="2"/>
        <v>8850.1801453009666</v>
      </c>
    </row>
    <row r="22" spans="1:6" ht="18" x14ac:dyDescent="0.35">
      <c r="A22" s="352">
        <v>2017</v>
      </c>
      <c r="B22" s="525">
        <f t="shared" si="0"/>
        <v>9552</v>
      </c>
      <c r="C22" s="527">
        <f t="shared" si="3"/>
        <v>28.655372376940083</v>
      </c>
      <c r="D22" s="527">
        <f t="shared" si="4"/>
        <v>5.10703317368118</v>
      </c>
      <c r="E22" s="525">
        <f t="shared" si="1"/>
        <v>1478290763.4092014</v>
      </c>
      <c r="F22" s="525">
        <f t="shared" si="2"/>
        <v>9394.9873131595687</v>
      </c>
    </row>
    <row r="23" spans="1:6" ht="18" x14ac:dyDescent="0.35">
      <c r="A23" s="352">
        <v>2018</v>
      </c>
      <c r="B23" s="525">
        <f t="shared" si="0"/>
        <v>10007</v>
      </c>
      <c r="C23" s="527">
        <f t="shared" si="3"/>
        <v>27.533428882837445</v>
      </c>
      <c r="D23" s="527">
        <f t="shared" si="4"/>
        <v>3.0527670545137346</v>
      </c>
      <c r="E23" s="525">
        <f t="shared" si="1"/>
        <v>1561618451.6215024</v>
      </c>
      <c r="F23" s="525">
        <f t="shared" si="2"/>
        <v>9683.9516609551429</v>
      </c>
    </row>
    <row r="24" spans="1:6" ht="18" x14ac:dyDescent="0.35">
      <c r="A24" s="352">
        <v>2019</v>
      </c>
      <c r="B24" s="525">
        <f t="shared" si="0"/>
        <v>10244</v>
      </c>
      <c r="C24" s="527">
        <f t="shared" si="3"/>
        <v>24.182232786724079</v>
      </c>
      <c r="D24" s="527">
        <f t="shared" si="4"/>
        <v>2.5136187746255514</v>
      </c>
      <c r="E24" s="525">
        <f t="shared" si="1"/>
        <v>1666478464.0760999</v>
      </c>
      <c r="F24" s="525">
        <f t="shared" si="2"/>
        <v>9864.5823986221039</v>
      </c>
    </row>
    <row r="25" spans="1:6" ht="18" x14ac:dyDescent="0.35">
      <c r="A25" s="352">
        <v>2020</v>
      </c>
      <c r="B25" s="525">
        <f t="shared" si="0"/>
        <v>9219</v>
      </c>
      <c r="C25" s="527">
        <f t="shared" si="3"/>
        <v>34.97893624595433</v>
      </c>
      <c r="D25" s="527">
        <f t="shared" si="4"/>
        <v>4.5523103139367906</v>
      </c>
      <c r="E25" s="525">
        <f t="shared" si="1"/>
        <v>2204947272.2509656</v>
      </c>
      <c r="F25" s="525">
        <f t="shared" si="2"/>
        <v>8237.6350281190662</v>
      </c>
    </row>
    <row r="26" spans="1:6" ht="18" x14ac:dyDescent="0.35">
      <c r="A26" s="352">
        <v>2021</v>
      </c>
      <c r="B26" s="525">
        <f t="shared" si="0"/>
        <v>10181</v>
      </c>
      <c r="C26" s="527">
        <f t="shared" si="3"/>
        <v>25.305733084310976</v>
      </c>
      <c r="D26" s="527">
        <f t="shared" si="4"/>
        <v>2.3855415530357424</v>
      </c>
      <c r="E26" s="525">
        <f t="shared" si="1"/>
        <v>2653667676.4137893</v>
      </c>
      <c r="F26" s="525">
        <f t="shared" si="2"/>
        <v>8619.0159962184953</v>
      </c>
    </row>
    <row r="27" spans="1:6" ht="18" x14ac:dyDescent="0.35">
      <c r="A27" s="352">
        <v>2022</v>
      </c>
      <c r="B27" s="525">
        <f t="shared" si="0"/>
        <v>10009</v>
      </c>
      <c r="C27" s="527">
        <f t="shared" si="3"/>
        <v>30.425512239673012</v>
      </c>
      <c r="D27" s="527">
        <f t="shared" si="4"/>
        <v>3.3629549705790804</v>
      </c>
      <c r="E27" s="525">
        <f t="shared" si="1"/>
        <v>2941510815.3807402</v>
      </c>
      <c r="F27" s="525">
        <f t="shared" si="2"/>
        <v>9611.063684240642</v>
      </c>
    </row>
    <row r="28" spans="1:6" ht="18" x14ac:dyDescent="0.35">
      <c r="A28" s="352">
        <v>2023</v>
      </c>
      <c r="B28" s="525"/>
      <c r="C28" s="527">
        <f t="shared" si="3"/>
        <v>33.060499857902855</v>
      </c>
      <c r="D28" s="527">
        <f t="shared" si="4"/>
        <v>4.7249424249282299</v>
      </c>
      <c r="E28" s="525">
        <f t="shared" si="1"/>
        <v>2651199183.205205</v>
      </c>
      <c r="F28" s="525">
        <f t="shared" si="2"/>
        <v>9406.8739596997148</v>
      </c>
    </row>
    <row r="31" spans="1:6" ht="14.4" customHeight="1" x14ac:dyDescent="0.3">
      <c r="A31" s="611" t="s">
        <v>1082</v>
      </c>
      <c r="B31" s="611"/>
      <c r="C31" s="611"/>
      <c r="D31" s="611"/>
      <c r="E31" s="611"/>
      <c r="F31" s="611"/>
    </row>
    <row r="32" spans="1:6" ht="13.8" customHeight="1" x14ac:dyDescent="0.3">
      <c r="A32" s="611"/>
      <c r="B32" s="611"/>
      <c r="C32" s="611"/>
      <c r="D32" s="611"/>
      <c r="E32" s="611"/>
      <c r="F32" s="611"/>
    </row>
    <row r="33" spans="1:7" ht="13.8" customHeight="1" x14ac:dyDescent="0.3">
      <c r="A33" s="347" t="s">
        <v>1051</v>
      </c>
      <c r="B33" s="347"/>
      <c r="C33" s="347"/>
      <c r="D33" s="347"/>
      <c r="E33" s="347"/>
      <c r="F33" s="347"/>
    </row>
    <row r="34" spans="1:7" ht="13.8" customHeight="1" x14ac:dyDescent="0.3">
      <c r="A34" s="347"/>
      <c r="B34" s="347"/>
      <c r="C34" s="347"/>
      <c r="D34" s="347"/>
      <c r="E34" s="347"/>
      <c r="F34" s="347"/>
    </row>
    <row r="35" spans="1:7" x14ac:dyDescent="0.3">
      <c r="A35" s="537" t="s">
        <v>1054</v>
      </c>
      <c r="B35" s="537"/>
      <c r="C35" s="537"/>
      <c r="D35" s="537"/>
      <c r="F35" s="504"/>
    </row>
    <row r="36" spans="1:7" x14ac:dyDescent="0.3">
      <c r="B36" t="s">
        <v>1055</v>
      </c>
      <c r="C36" t="s">
        <v>1056</v>
      </c>
      <c r="D36" t="s">
        <v>875</v>
      </c>
      <c r="F36" s="504"/>
    </row>
    <row r="37" spans="1:7" x14ac:dyDescent="0.3">
      <c r="A37">
        <v>2001</v>
      </c>
      <c r="B37">
        <v>2733</v>
      </c>
      <c r="C37" s="331">
        <f>B37*$D$48</f>
        <v>5369.8273649347966</v>
      </c>
      <c r="F37" s="504"/>
    </row>
    <row r="38" spans="1:7" x14ac:dyDescent="0.3">
      <c r="A38">
        <v>2002</v>
      </c>
      <c r="B38">
        <v>2780</v>
      </c>
      <c r="C38" s="331">
        <f t="shared" ref="C38:C45" si="5">B38*$D$48</f>
        <v>5462.1734630511282</v>
      </c>
      <c r="F38" s="504"/>
    </row>
    <row r="39" spans="1:7" x14ac:dyDescent="0.3">
      <c r="A39">
        <v>2003</v>
      </c>
      <c r="B39">
        <v>2847</v>
      </c>
      <c r="C39" s="331">
        <f t="shared" si="5"/>
        <v>5593.815773131857</v>
      </c>
      <c r="F39" s="504"/>
    </row>
    <row r="40" spans="1:7" x14ac:dyDescent="0.3">
      <c r="A40">
        <v>2004</v>
      </c>
      <c r="B40">
        <v>3049</v>
      </c>
      <c r="C40" s="331">
        <f t="shared" si="5"/>
        <v>5990.7075139722629</v>
      </c>
      <c r="F40" s="504"/>
    </row>
    <row r="41" spans="1:7" x14ac:dyDescent="0.3">
      <c r="A41">
        <v>2005</v>
      </c>
      <c r="B41">
        <v>3192</v>
      </c>
      <c r="C41" s="331">
        <f t="shared" si="5"/>
        <v>6271.6754295176979</v>
      </c>
      <c r="F41" s="504"/>
    </row>
    <row r="42" spans="1:7" x14ac:dyDescent="0.3">
      <c r="A42">
        <v>2006</v>
      </c>
      <c r="B42">
        <v>3472</v>
      </c>
      <c r="C42" s="331">
        <f t="shared" si="5"/>
        <v>6821.8223970192512</v>
      </c>
      <c r="F42" s="504"/>
    </row>
    <row r="43" spans="1:7" x14ac:dyDescent="0.3">
      <c r="A43">
        <v>2007</v>
      </c>
      <c r="B43">
        <v>3780</v>
      </c>
      <c r="C43" s="331">
        <f t="shared" si="5"/>
        <v>7426.9840612709586</v>
      </c>
      <c r="F43" s="504"/>
    </row>
    <row r="44" spans="1:7" x14ac:dyDescent="0.3">
      <c r="A44">
        <v>2008</v>
      </c>
      <c r="B44">
        <v>4007</v>
      </c>
      <c r="C44" s="331">
        <f t="shared" si="5"/>
        <v>7872.9960670668597</v>
      </c>
      <c r="F44" s="504"/>
      <c r="G44" s="504"/>
    </row>
    <row r="45" spans="1:7" x14ac:dyDescent="0.3">
      <c r="A45">
        <v>2009</v>
      </c>
      <c r="B45">
        <v>4066</v>
      </c>
      <c r="C45" s="331">
        <f t="shared" si="5"/>
        <v>7988.9198923618296</v>
      </c>
      <c r="F45" s="504"/>
      <c r="G45" s="504"/>
    </row>
    <row r="46" spans="1:7" x14ac:dyDescent="0.3">
      <c r="A46">
        <v>2010</v>
      </c>
      <c r="B46">
        <v>4258</v>
      </c>
      <c r="C46" s="331">
        <v>8559</v>
      </c>
      <c r="F46" s="504"/>
      <c r="G46" s="504"/>
    </row>
    <row r="47" spans="1:7" x14ac:dyDescent="0.3">
      <c r="A47">
        <v>2011</v>
      </c>
      <c r="B47">
        <v>4539</v>
      </c>
      <c r="C47" s="331">
        <v>9188</v>
      </c>
      <c r="F47" s="504"/>
      <c r="G47" s="504"/>
    </row>
    <row r="48" spans="1:7" ht="15.6" x14ac:dyDescent="0.3">
      <c r="A48">
        <v>2012</v>
      </c>
      <c r="B48">
        <v>4831</v>
      </c>
      <c r="C48" s="331">
        <v>9492</v>
      </c>
      <c r="D48" s="508">
        <f>+C48/B48</f>
        <v>1.9648105982198303</v>
      </c>
      <c r="F48" s="504"/>
      <c r="G48" s="504"/>
    </row>
    <row r="49" spans="1:8" x14ac:dyDescent="0.3">
      <c r="A49">
        <v>2013</v>
      </c>
      <c r="B49" s="331"/>
      <c r="C49" s="331">
        <v>9770</v>
      </c>
      <c r="F49" s="504"/>
      <c r="G49" s="504"/>
    </row>
    <row r="50" spans="1:8" x14ac:dyDescent="0.3">
      <c r="A50">
        <v>2014</v>
      </c>
      <c r="B50" s="331"/>
      <c r="C50" s="331">
        <v>10202</v>
      </c>
      <c r="F50" s="504"/>
      <c r="G50" s="504"/>
    </row>
    <row r="51" spans="1:8" x14ac:dyDescent="0.3">
      <c r="A51">
        <v>2015</v>
      </c>
      <c r="B51" s="331"/>
      <c r="C51" s="331">
        <v>10124</v>
      </c>
      <c r="F51" s="504"/>
      <c r="G51" s="504"/>
    </row>
    <row r="52" spans="1:8" x14ac:dyDescent="0.3">
      <c r="A52">
        <v>2016</v>
      </c>
      <c r="C52" s="331">
        <v>9982</v>
      </c>
      <c r="F52" s="504"/>
      <c r="G52" s="504"/>
    </row>
    <row r="53" spans="1:8" x14ac:dyDescent="0.3">
      <c r="A53">
        <v>2017</v>
      </c>
      <c r="C53" s="331">
        <v>9552</v>
      </c>
      <c r="F53" s="504"/>
      <c r="G53" s="504"/>
    </row>
    <row r="54" spans="1:8" x14ac:dyDescent="0.3">
      <c r="A54">
        <v>2018</v>
      </c>
      <c r="C54" s="331">
        <v>10007</v>
      </c>
      <c r="F54" s="504"/>
      <c r="G54" s="504"/>
    </row>
    <row r="55" spans="1:8" x14ac:dyDescent="0.3">
      <c r="A55">
        <v>2019</v>
      </c>
      <c r="C55" s="331">
        <v>10244</v>
      </c>
      <c r="F55" s="504"/>
      <c r="G55" s="504"/>
    </row>
    <row r="56" spans="1:8" x14ac:dyDescent="0.3">
      <c r="A56">
        <v>2020</v>
      </c>
      <c r="C56" s="331">
        <v>9219</v>
      </c>
      <c r="F56" s="504"/>
      <c r="G56" s="504"/>
    </row>
    <row r="57" spans="1:8" x14ac:dyDescent="0.3">
      <c r="A57">
        <v>2021</v>
      </c>
      <c r="C57" s="331">
        <v>10181</v>
      </c>
      <c r="F57" s="504"/>
      <c r="G57" s="504"/>
    </row>
    <row r="58" spans="1:8" ht="13.2" customHeight="1" x14ac:dyDescent="0.3">
      <c r="A58">
        <v>2022</v>
      </c>
      <c r="C58" s="331">
        <v>10009</v>
      </c>
      <c r="F58" s="504"/>
      <c r="G58" s="504"/>
    </row>
    <row r="59" spans="1:8" ht="13.2" customHeight="1" x14ac:dyDescent="0.3">
      <c r="B59" s="347"/>
      <c r="C59" s="347"/>
      <c r="D59" s="347"/>
      <c r="E59" s="504"/>
      <c r="F59" s="504"/>
      <c r="G59" s="504"/>
    </row>
    <row r="61" spans="1:8" x14ac:dyDescent="0.3">
      <c r="A61" s="564" t="s">
        <v>1083</v>
      </c>
      <c r="B61" s="564"/>
      <c r="C61" s="564"/>
      <c r="D61" s="564"/>
      <c r="E61" s="564"/>
      <c r="F61" s="564"/>
      <c r="G61" s="564"/>
    </row>
    <row r="62" spans="1:8" x14ac:dyDescent="0.3">
      <c r="A62" s="564"/>
      <c r="B62" s="564"/>
      <c r="C62" s="564"/>
      <c r="D62" s="564"/>
      <c r="E62" s="564"/>
      <c r="F62" s="564"/>
      <c r="G62" s="564"/>
    </row>
    <row r="64" spans="1:8" ht="15" thickBot="1" x14ac:dyDescent="0.35">
      <c r="A64" s="339" t="s">
        <v>1035</v>
      </c>
      <c r="B64" s="339" t="s">
        <v>1041</v>
      </c>
      <c r="C64" s="339" t="s">
        <v>1042</v>
      </c>
      <c r="D64" s="339" t="s">
        <v>1043</v>
      </c>
      <c r="E64" s="339" t="s">
        <v>123</v>
      </c>
      <c r="F64" s="340" t="s">
        <v>1044</v>
      </c>
      <c r="G64" s="339" t="s">
        <v>1045</v>
      </c>
      <c r="H64" s="339" t="s">
        <v>1046</v>
      </c>
    </row>
    <row r="65" spans="1:8" x14ac:dyDescent="0.3">
      <c r="A65">
        <v>2004</v>
      </c>
      <c r="B65" s="416">
        <v>367990.13</v>
      </c>
      <c r="C65" s="416">
        <v>857600.99</v>
      </c>
      <c r="D65" s="416">
        <v>444718.47</v>
      </c>
      <c r="E65" s="416">
        <f t="shared" ref="E65:E67" si="6">+SUM(B65:D65)</f>
        <v>1670309.59</v>
      </c>
      <c r="F65" s="500">
        <f t="shared" ref="F65:F67" si="7">+C65/E65 *100</f>
        <v>51.343834408566138</v>
      </c>
      <c r="G65" s="362">
        <f t="shared" ref="G65:G67" si="8">+B65/E65 *100</f>
        <v>22.031252900846962</v>
      </c>
      <c r="H65" s="403">
        <f t="shared" ref="H65:H67" si="9">+SUM(F65:G65)</f>
        <v>73.375087309413104</v>
      </c>
    </row>
    <row r="66" spans="1:8" x14ac:dyDescent="0.3">
      <c r="A66">
        <v>2005</v>
      </c>
      <c r="B66" s="416">
        <v>330989.51</v>
      </c>
      <c r="C66" s="416">
        <v>854119.69</v>
      </c>
      <c r="D66" s="416">
        <v>504604.35</v>
      </c>
      <c r="E66" s="416">
        <f t="shared" si="6"/>
        <v>1689713.5499999998</v>
      </c>
      <c r="F66" s="500">
        <f t="shared" si="7"/>
        <v>50.548194396618293</v>
      </c>
      <c r="G66" s="362">
        <f t="shared" si="8"/>
        <v>19.588498299016425</v>
      </c>
      <c r="H66" s="403">
        <f t="shared" si="9"/>
        <v>70.136692695634721</v>
      </c>
    </row>
    <row r="67" spans="1:8" x14ac:dyDescent="0.3">
      <c r="A67">
        <v>2006</v>
      </c>
      <c r="B67" s="416">
        <v>244713.59</v>
      </c>
      <c r="C67" s="416">
        <v>861719.72</v>
      </c>
      <c r="D67" s="416">
        <v>595087.54</v>
      </c>
      <c r="E67" s="416">
        <f t="shared" si="6"/>
        <v>1701520.85</v>
      </c>
      <c r="F67" s="500">
        <f t="shared" si="7"/>
        <v>50.644088199095528</v>
      </c>
      <c r="G67" s="362">
        <f t="shared" si="8"/>
        <v>14.382050622535713</v>
      </c>
      <c r="H67" s="403">
        <f t="shared" si="9"/>
        <v>65.026138821631235</v>
      </c>
    </row>
    <row r="68" spans="1:8" x14ac:dyDescent="0.3">
      <c r="A68">
        <v>2007</v>
      </c>
      <c r="B68" s="416">
        <v>228888.79</v>
      </c>
      <c r="C68" s="416">
        <v>700375.63</v>
      </c>
      <c r="D68" s="416">
        <v>786521.03</v>
      </c>
      <c r="E68" s="416">
        <f>+SUM(B68:D68)</f>
        <v>1715785.4500000002</v>
      </c>
      <c r="F68" s="500">
        <f>+C68/E68 *100</f>
        <v>40.819534283846501</v>
      </c>
      <c r="G68" s="362">
        <f>+B68/E68 *100</f>
        <v>13.340175486393127</v>
      </c>
      <c r="H68" s="403">
        <f>+SUM(F68:G68)</f>
        <v>54.15970977023963</v>
      </c>
    </row>
    <row r="69" spans="1:8" x14ac:dyDescent="0.3">
      <c r="A69">
        <v>2008</v>
      </c>
      <c r="B69" s="416">
        <v>197136.81</v>
      </c>
      <c r="C69" s="416">
        <v>667852.96</v>
      </c>
      <c r="D69" s="416">
        <v>885300.16</v>
      </c>
      <c r="E69" s="416">
        <f t="shared" ref="E69:E85" si="10">+SUM(B69:D69)</f>
        <v>1750289.9300000002</v>
      </c>
      <c r="F69" s="500">
        <f t="shared" ref="F69:F85" si="11">+C69/E69 *100</f>
        <v>38.156704700917743</v>
      </c>
      <c r="G69" s="362">
        <f>+B69/E69 *100</f>
        <v>11.263094566281369</v>
      </c>
      <c r="H69" s="403">
        <f t="shared" ref="H69:H85" si="12">+SUM(F69:G69)</f>
        <v>49.41979926719911</v>
      </c>
    </row>
    <row r="70" spans="1:8" x14ac:dyDescent="0.3">
      <c r="A70">
        <v>2009</v>
      </c>
      <c r="B70" s="416">
        <v>165792.51</v>
      </c>
      <c r="C70" s="416">
        <v>591040.75</v>
      </c>
      <c r="D70" s="416">
        <v>1027642.12</v>
      </c>
      <c r="E70" s="416">
        <f t="shared" si="10"/>
        <v>1784475.38</v>
      </c>
      <c r="F70" s="500">
        <f t="shared" si="11"/>
        <v>33.121261107003896</v>
      </c>
      <c r="G70" s="362">
        <f>+B70/E70 *100</f>
        <v>9.2908264164451531</v>
      </c>
      <c r="H70" s="403">
        <f t="shared" si="12"/>
        <v>42.412087523449046</v>
      </c>
    </row>
    <row r="71" spans="1:8" x14ac:dyDescent="0.3">
      <c r="A71">
        <v>2010</v>
      </c>
      <c r="B71" s="416">
        <v>169142.33</v>
      </c>
      <c r="C71" s="416">
        <v>614066.22</v>
      </c>
      <c r="D71" s="416">
        <v>986725.34</v>
      </c>
      <c r="E71" s="416">
        <f t="shared" si="10"/>
        <v>1769933.89</v>
      </c>
      <c r="F71" s="500">
        <f t="shared" si="11"/>
        <v>34.694302621664583</v>
      </c>
      <c r="G71" s="362">
        <f t="shared" ref="G71:G85" si="13">+B71/E71 *100</f>
        <v>9.5564207768234777</v>
      </c>
      <c r="H71" s="403">
        <f t="shared" si="12"/>
        <v>44.250723398488063</v>
      </c>
    </row>
    <row r="72" spans="1:8" x14ac:dyDescent="0.3">
      <c r="A72">
        <v>2011</v>
      </c>
      <c r="B72" s="416">
        <v>149225.82</v>
      </c>
      <c r="C72" s="416">
        <v>480341.28</v>
      </c>
      <c r="D72" s="416">
        <v>1159946.17</v>
      </c>
      <c r="E72" s="416">
        <f t="shared" si="10"/>
        <v>1789513.27</v>
      </c>
      <c r="F72" s="500">
        <f t="shared" si="11"/>
        <v>26.842007156504632</v>
      </c>
      <c r="G72" s="362">
        <f t="shared" si="13"/>
        <v>8.3389054723243259</v>
      </c>
      <c r="H72" s="403">
        <f t="shared" si="12"/>
        <v>35.180912628828956</v>
      </c>
    </row>
    <row r="73" spans="1:8" x14ac:dyDescent="0.3">
      <c r="A73">
        <v>2012</v>
      </c>
      <c r="B73" s="416">
        <v>125590.27</v>
      </c>
      <c r="C73" s="416">
        <v>506578.81</v>
      </c>
      <c r="D73" s="416">
        <v>1180516.6399999999</v>
      </c>
      <c r="E73" s="416">
        <f t="shared" si="10"/>
        <v>1812685.7199999997</v>
      </c>
      <c r="F73" s="500">
        <f t="shared" si="11"/>
        <v>27.946312171532973</v>
      </c>
      <c r="G73" s="362">
        <f t="shared" si="13"/>
        <v>6.9284084170972582</v>
      </c>
      <c r="H73" s="403">
        <f t="shared" si="12"/>
        <v>34.874720588630232</v>
      </c>
    </row>
    <row r="74" spans="1:8" x14ac:dyDescent="0.3">
      <c r="A74">
        <v>2013</v>
      </c>
      <c r="B74" s="416">
        <v>116213.22</v>
      </c>
      <c r="C74" s="416">
        <v>526563.56000000006</v>
      </c>
      <c r="D74" s="416">
        <v>1187897.75</v>
      </c>
      <c r="E74" s="416">
        <f t="shared" si="10"/>
        <v>1830674.53</v>
      </c>
      <c r="F74" s="500">
        <f t="shared" si="11"/>
        <v>28.76336297747039</v>
      </c>
      <c r="G74" s="362">
        <f t="shared" si="13"/>
        <v>6.3481092949930318</v>
      </c>
      <c r="H74" s="403">
        <f t="shared" si="12"/>
        <v>35.111472272463423</v>
      </c>
    </row>
    <row r="75" spans="1:8" x14ac:dyDescent="0.3">
      <c r="A75">
        <v>2014</v>
      </c>
      <c r="B75" s="416">
        <v>144455.19</v>
      </c>
      <c r="C75" s="416">
        <v>401199.85</v>
      </c>
      <c r="D75" s="416">
        <v>1296912.43</v>
      </c>
      <c r="E75" s="416">
        <f t="shared" si="10"/>
        <v>1842567.47</v>
      </c>
      <c r="F75" s="500">
        <f t="shared" si="11"/>
        <v>21.773957075232637</v>
      </c>
      <c r="G75" s="362">
        <f t="shared" si="13"/>
        <v>7.8398860477006034</v>
      </c>
      <c r="H75" s="403">
        <f t="shared" si="12"/>
        <v>29.61384312293324</v>
      </c>
    </row>
    <row r="76" spans="1:8" x14ac:dyDescent="0.3">
      <c r="A76">
        <v>2015</v>
      </c>
      <c r="B76" s="416">
        <v>99326.85</v>
      </c>
      <c r="C76" s="416">
        <v>447648.96</v>
      </c>
      <c r="D76" s="416">
        <v>1311480.08</v>
      </c>
      <c r="E76" s="416">
        <f t="shared" si="10"/>
        <v>1858455.8900000001</v>
      </c>
      <c r="F76" s="500">
        <f t="shared" si="11"/>
        <v>24.087144731748246</v>
      </c>
      <c r="G76" s="362">
        <f t="shared" si="13"/>
        <v>5.3445901263763647</v>
      </c>
      <c r="H76" s="403">
        <f t="shared" si="12"/>
        <v>29.43173485812461</v>
      </c>
    </row>
    <row r="77" spans="1:8" x14ac:dyDescent="0.3">
      <c r="A77">
        <v>2016</v>
      </c>
      <c r="B77" s="416">
        <v>100351.51</v>
      </c>
      <c r="C77" s="416">
        <v>475094.71</v>
      </c>
      <c r="D77" s="416">
        <v>1298698.92</v>
      </c>
      <c r="E77" s="416">
        <f t="shared" si="10"/>
        <v>1874145.14</v>
      </c>
      <c r="F77" s="500">
        <f t="shared" si="11"/>
        <v>25.349942214187323</v>
      </c>
      <c r="G77" s="362">
        <f t="shared" si="13"/>
        <v>5.3545217954677726</v>
      </c>
      <c r="H77" s="403">
        <f t="shared" si="12"/>
        <v>30.704464009655094</v>
      </c>
    </row>
    <row r="78" spans="1:8" x14ac:dyDescent="0.3">
      <c r="A78">
        <v>2017</v>
      </c>
      <c r="B78" s="416">
        <v>96499.5</v>
      </c>
      <c r="C78" s="416">
        <v>444955.59</v>
      </c>
      <c r="D78" s="416">
        <v>1348086.19</v>
      </c>
      <c r="E78" s="416">
        <f t="shared" si="10"/>
        <v>1889541.28</v>
      </c>
      <c r="F78" s="500">
        <f t="shared" si="11"/>
        <v>23.548339203258902</v>
      </c>
      <c r="G78" s="362">
        <f t="shared" si="13"/>
        <v>5.10703317368118</v>
      </c>
      <c r="H78" s="403">
        <f t="shared" si="12"/>
        <v>28.655372376940083</v>
      </c>
    </row>
    <row r="79" spans="1:8" x14ac:dyDescent="0.3">
      <c r="A79">
        <v>2018</v>
      </c>
      <c r="B79" s="416">
        <v>57583.59</v>
      </c>
      <c r="C79" s="416">
        <v>461772.67</v>
      </c>
      <c r="D79" s="416">
        <v>1366919.01</v>
      </c>
      <c r="E79" s="416">
        <f t="shared" si="10"/>
        <v>1886275.27</v>
      </c>
      <c r="F79" s="500">
        <f t="shared" si="11"/>
        <v>24.480661828323711</v>
      </c>
      <c r="G79" s="362">
        <f t="shared" si="13"/>
        <v>3.0527670545137346</v>
      </c>
      <c r="H79" s="403">
        <f t="shared" si="12"/>
        <v>27.533428882837445</v>
      </c>
    </row>
    <row r="80" spans="1:8" x14ac:dyDescent="0.3">
      <c r="A80">
        <v>2019</v>
      </c>
      <c r="B80" s="416">
        <v>47929.49</v>
      </c>
      <c r="C80" s="416">
        <v>413175.47</v>
      </c>
      <c r="D80" s="416">
        <v>1445687.37</v>
      </c>
      <c r="E80" s="416">
        <f t="shared" si="10"/>
        <v>1906792.33</v>
      </c>
      <c r="F80" s="500">
        <f t="shared" si="11"/>
        <v>21.668614012098526</v>
      </c>
      <c r="G80" s="362">
        <f t="shared" si="13"/>
        <v>2.5136187746255514</v>
      </c>
      <c r="H80" s="403">
        <f t="shared" si="12"/>
        <v>24.182232786724079</v>
      </c>
    </row>
    <row r="81" spans="1:26" x14ac:dyDescent="0.3">
      <c r="A81">
        <v>2020</v>
      </c>
      <c r="B81" s="416">
        <v>87172.66</v>
      </c>
      <c r="C81" s="416">
        <v>582642.6</v>
      </c>
      <c r="D81" s="416">
        <v>1245095.06</v>
      </c>
      <c r="E81" s="416">
        <f t="shared" si="10"/>
        <v>1914910.32</v>
      </c>
      <c r="F81" s="500">
        <f t="shared" si="11"/>
        <v>30.426625932017537</v>
      </c>
      <c r="G81" s="362">
        <f t="shared" si="13"/>
        <v>4.5523103139367906</v>
      </c>
      <c r="H81" s="403">
        <f t="shared" si="12"/>
        <v>34.97893624595433</v>
      </c>
    </row>
    <row r="82" spans="1:26" x14ac:dyDescent="0.3">
      <c r="A82">
        <v>2021</v>
      </c>
      <c r="B82" s="416">
        <v>46246.74</v>
      </c>
      <c r="C82" s="416">
        <v>444336.9</v>
      </c>
      <c r="D82" s="416">
        <v>1448042.83</v>
      </c>
      <c r="E82" s="416">
        <f t="shared" si="10"/>
        <v>1938626.4700000002</v>
      </c>
      <c r="F82" s="500">
        <f t="shared" si="11"/>
        <v>22.920191531275233</v>
      </c>
      <c r="G82" s="362">
        <f t="shared" si="13"/>
        <v>2.3855415530357424</v>
      </c>
      <c r="H82" s="403">
        <f t="shared" si="12"/>
        <v>25.305733084310976</v>
      </c>
    </row>
    <row r="83" spans="1:26" x14ac:dyDescent="0.3">
      <c r="A83">
        <v>2022</v>
      </c>
      <c r="B83" s="416">
        <v>65943.69</v>
      </c>
      <c r="C83" s="416">
        <v>530665.71</v>
      </c>
      <c r="D83" s="416">
        <v>1364275.91</v>
      </c>
      <c r="E83" s="416">
        <f t="shared" si="10"/>
        <v>1960885.3099999998</v>
      </c>
      <c r="F83" s="500">
        <f t="shared" si="11"/>
        <v>27.062557269093929</v>
      </c>
      <c r="G83" s="362">
        <f t="shared" si="13"/>
        <v>3.3629549705790804</v>
      </c>
      <c r="H83" s="403">
        <f t="shared" si="12"/>
        <v>30.425512239673012</v>
      </c>
    </row>
    <row r="84" spans="1:26" x14ac:dyDescent="0.3">
      <c r="A84">
        <v>2023</v>
      </c>
      <c r="B84" s="416">
        <v>92738.42</v>
      </c>
      <c r="C84" s="416">
        <v>556153.82999999996</v>
      </c>
      <c r="D84" s="416">
        <v>1313849.55</v>
      </c>
      <c r="E84" s="416">
        <f t="shared" si="10"/>
        <v>1962741.8</v>
      </c>
      <c r="F84" s="500">
        <f t="shared" si="11"/>
        <v>28.335557432974625</v>
      </c>
      <c r="G84" s="362">
        <f t="shared" si="13"/>
        <v>4.7249424249282299</v>
      </c>
      <c r="H84" s="403">
        <f t="shared" si="12"/>
        <v>33.060499857902855</v>
      </c>
    </row>
    <row r="85" spans="1:26" x14ac:dyDescent="0.3">
      <c r="A85">
        <v>2024</v>
      </c>
      <c r="B85" s="416">
        <v>87597.77</v>
      </c>
      <c r="C85" s="416">
        <v>545980.47</v>
      </c>
      <c r="D85" s="416">
        <v>1354991.77</v>
      </c>
      <c r="E85" s="416">
        <f t="shared" si="10"/>
        <v>1988570.01</v>
      </c>
      <c r="F85" s="500">
        <f t="shared" si="11"/>
        <v>27.45593402567707</v>
      </c>
      <c r="G85" s="362">
        <f t="shared" si="13"/>
        <v>4.4050634153936574</v>
      </c>
      <c r="H85" s="403">
        <f t="shared" si="12"/>
        <v>31.86099744107073</v>
      </c>
    </row>
    <row r="88" spans="1:26" x14ac:dyDescent="0.3">
      <c r="A88" s="610" t="s">
        <v>1094</v>
      </c>
      <c r="B88" s="610"/>
      <c r="C88" s="610"/>
      <c r="D88" s="610"/>
      <c r="E88" s="610"/>
      <c r="F88" s="610"/>
      <c r="G88" s="610"/>
    </row>
    <row r="89" spans="1:26" x14ac:dyDescent="0.3">
      <c r="A89" s="610"/>
      <c r="B89" s="610"/>
      <c r="C89" s="610"/>
      <c r="D89" s="610"/>
      <c r="E89" s="610"/>
      <c r="F89" s="610"/>
      <c r="G89" s="610"/>
    </row>
    <row r="90" spans="1:26" x14ac:dyDescent="0.3">
      <c r="A90" s="231" t="s">
        <v>1012</v>
      </c>
    </row>
    <row r="91" spans="1:26" s="339" customFormat="1" ht="15" thickBot="1" x14ac:dyDescent="0.35">
      <c r="A91" s="443"/>
      <c r="B91" s="443"/>
      <c r="C91" s="443"/>
      <c r="D91" s="443"/>
      <c r="E91" s="443"/>
      <c r="F91" s="443"/>
      <c r="G91" s="443"/>
      <c r="H91" s="443"/>
      <c r="I91" s="443"/>
      <c r="J91" s="443"/>
      <c r="K91" s="443"/>
      <c r="L91" s="443"/>
      <c r="M91" s="443"/>
      <c r="N91" s="443"/>
      <c r="O91" s="443"/>
      <c r="P91" s="443"/>
      <c r="Q91" s="443"/>
      <c r="R91" s="443"/>
      <c r="S91" s="443"/>
      <c r="T91" s="443"/>
      <c r="U91" s="443"/>
      <c r="V91" s="443"/>
      <c r="W91" s="443"/>
      <c r="X91"/>
      <c r="Y91"/>
      <c r="Z91"/>
    </row>
    <row r="92" spans="1:26" ht="15" thickBot="1" x14ac:dyDescent="0.35">
      <c r="A92" s="621" t="s">
        <v>878</v>
      </c>
      <c r="B92" s="622">
        <v>2001</v>
      </c>
      <c r="C92" s="622">
        <v>2002</v>
      </c>
      <c r="D92" s="622">
        <v>2003</v>
      </c>
      <c r="E92" s="622">
        <v>2004</v>
      </c>
      <c r="F92" s="622">
        <v>2005</v>
      </c>
      <c r="G92" s="622">
        <v>2006</v>
      </c>
      <c r="H92" s="622">
        <v>2007</v>
      </c>
      <c r="I92" s="622">
        <v>2008</v>
      </c>
      <c r="J92" s="622">
        <v>2009</v>
      </c>
      <c r="K92" s="622">
        <v>2010</v>
      </c>
      <c r="L92" s="622">
        <v>2011</v>
      </c>
      <c r="M92" s="622">
        <v>2012</v>
      </c>
      <c r="N92" s="622">
        <v>2013</v>
      </c>
      <c r="O92" s="622">
        <v>2014</v>
      </c>
      <c r="P92" s="622">
        <v>2015</v>
      </c>
      <c r="Q92" s="622">
        <v>2016</v>
      </c>
      <c r="R92" s="622">
        <v>2017</v>
      </c>
      <c r="S92" s="622">
        <v>2018</v>
      </c>
      <c r="T92" s="622">
        <v>2019</v>
      </c>
      <c r="U92" s="622">
        <v>2020</v>
      </c>
      <c r="V92" s="622">
        <v>2021</v>
      </c>
      <c r="W92" s="622">
        <v>2022</v>
      </c>
      <c r="X92" s="623">
        <v>2023</v>
      </c>
    </row>
    <row r="93" spans="1:26" ht="15.6" x14ac:dyDescent="0.3">
      <c r="A93" s="515" t="s">
        <v>864</v>
      </c>
      <c r="B93" s="517">
        <f t="shared" ref="B93:G93" si="14">+SUM(B94)</f>
        <v>46727203</v>
      </c>
      <c r="C93" s="517">
        <f t="shared" si="14"/>
        <v>11631675</v>
      </c>
      <c r="D93" s="517">
        <f t="shared" si="14"/>
        <v>2552742</v>
      </c>
      <c r="E93" s="517">
        <f t="shared" si="14"/>
        <v>8459710</v>
      </c>
      <c r="F93" s="517">
        <f t="shared" si="14"/>
        <v>37356686</v>
      </c>
      <c r="G93" s="517">
        <f t="shared" si="14"/>
        <v>74014045</v>
      </c>
      <c r="H93" s="517">
        <f>+SUM(H94)</f>
        <v>149085846</v>
      </c>
      <c r="I93" s="517">
        <f t="shared" ref="I93:X93" si="15">+SUM(I94)</f>
        <v>271217080</v>
      </c>
      <c r="J93" s="517">
        <f t="shared" si="15"/>
        <v>226918274</v>
      </c>
      <c r="K93" s="517">
        <f t="shared" si="15"/>
        <v>181568772</v>
      </c>
      <c r="L93" s="517">
        <f t="shared" si="15"/>
        <v>219537971</v>
      </c>
      <c r="M93" s="517">
        <f t="shared" si="15"/>
        <v>294633329</v>
      </c>
      <c r="N93" s="517">
        <f t="shared" si="15"/>
        <v>464233099</v>
      </c>
      <c r="O93" s="517">
        <f t="shared" si="15"/>
        <v>382706161</v>
      </c>
      <c r="P93" s="517">
        <f t="shared" si="15"/>
        <v>283916121</v>
      </c>
      <c r="Q93" s="517">
        <f t="shared" si="15"/>
        <v>178171991</v>
      </c>
      <c r="R93" s="517">
        <f t="shared" si="15"/>
        <v>291440461</v>
      </c>
      <c r="S93" s="517">
        <f t="shared" si="15"/>
        <v>323297616</v>
      </c>
      <c r="T93" s="517">
        <f t="shared" si="15"/>
        <v>380249472</v>
      </c>
      <c r="U93" s="517">
        <f t="shared" si="15"/>
        <v>327193701</v>
      </c>
      <c r="V93" s="517">
        <f t="shared" si="15"/>
        <v>298922845</v>
      </c>
      <c r="W93" s="517">
        <f t="shared" si="15"/>
        <v>383090484</v>
      </c>
      <c r="X93" s="517">
        <f t="shared" si="15"/>
        <v>455206359</v>
      </c>
    </row>
    <row r="94" spans="1:26" x14ac:dyDescent="0.3">
      <c r="A94" s="513" t="s">
        <v>864</v>
      </c>
      <c r="B94" s="347">
        <v>46727203</v>
      </c>
      <c r="C94" s="347">
        <v>11631675</v>
      </c>
      <c r="D94" s="347">
        <v>2552742</v>
      </c>
      <c r="E94" s="347">
        <v>8459710</v>
      </c>
      <c r="F94" s="347">
        <v>37356686</v>
      </c>
      <c r="G94" s="347">
        <v>74014045</v>
      </c>
      <c r="H94" s="347">
        <v>149085846</v>
      </c>
      <c r="I94" s="347">
        <v>271217080</v>
      </c>
      <c r="J94" s="347">
        <v>226918274</v>
      </c>
      <c r="K94" s="347">
        <v>181568772</v>
      </c>
      <c r="L94" s="347">
        <v>219537971</v>
      </c>
      <c r="M94" s="347">
        <v>294633329</v>
      </c>
      <c r="N94" s="347">
        <v>464233099</v>
      </c>
      <c r="O94" s="347">
        <v>382706161</v>
      </c>
      <c r="P94" s="347">
        <v>283916121</v>
      </c>
      <c r="Q94" s="347">
        <v>178171991</v>
      </c>
      <c r="R94" s="347">
        <v>291440461</v>
      </c>
      <c r="S94" s="347">
        <v>323297616</v>
      </c>
      <c r="T94" s="347">
        <v>380249472</v>
      </c>
      <c r="U94" s="347">
        <v>327193701</v>
      </c>
      <c r="V94" s="347">
        <v>298922845</v>
      </c>
      <c r="W94" s="347">
        <v>383090484</v>
      </c>
      <c r="X94" s="347">
        <v>455206359</v>
      </c>
    </row>
    <row r="95" spans="1:26" ht="15.6" x14ac:dyDescent="0.3">
      <c r="A95" s="516" t="s">
        <v>866</v>
      </c>
      <c r="B95" s="517">
        <f t="shared" ref="B95:G95" si="16">+SUM(B96:B98)</f>
        <v>58103577</v>
      </c>
      <c r="C95" s="517">
        <f t="shared" si="16"/>
        <v>69256981</v>
      </c>
      <c r="D95" s="517">
        <f t="shared" si="16"/>
        <v>71019158</v>
      </c>
      <c r="E95" s="517">
        <f t="shared" si="16"/>
        <v>98949038</v>
      </c>
      <c r="F95" s="517">
        <f t="shared" si="16"/>
        <v>102395442</v>
      </c>
      <c r="G95" s="517">
        <f t="shared" si="16"/>
        <v>111595877</v>
      </c>
      <c r="H95" s="517">
        <f>+SUM(H96:H98)</f>
        <v>128884329</v>
      </c>
      <c r="I95" s="517">
        <f t="shared" ref="I95:X95" si="17">+SUM(I96:I98)</f>
        <v>117138308</v>
      </c>
      <c r="J95" s="517">
        <f t="shared" si="17"/>
        <v>158733046</v>
      </c>
      <c r="K95" s="517">
        <f t="shared" si="17"/>
        <v>173843381</v>
      </c>
      <c r="L95" s="517">
        <f t="shared" si="17"/>
        <v>199312237</v>
      </c>
      <c r="M95" s="517">
        <f t="shared" si="17"/>
        <v>267770234</v>
      </c>
      <c r="N95" s="517">
        <f t="shared" si="17"/>
        <v>316959734</v>
      </c>
      <c r="O95" s="517">
        <f t="shared" si="17"/>
        <v>333158415</v>
      </c>
      <c r="P95" s="517">
        <f t="shared" si="17"/>
        <v>358177195</v>
      </c>
      <c r="Q95" s="517">
        <f t="shared" si="17"/>
        <v>372224363</v>
      </c>
      <c r="R95" s="517">
        <f t="shared" si="17"/>
        <v>414882203</v>
      </c>
      <c r="S95" s="517">
        <f t="shared" si="17"/>
        <v>522484540</v>
      </c>
      <c r="T95" s="517">
        <f t="shared" si="17"/>
        <v>561416690</v>
      </c>
      <c r="U95" s="517">
        <f t="shared" si="17"/>
        <v>826976392</v>
      </c>
      <c r="V95" s="517">
        <f t="shared" si="17"/>
        <v>1153419547</v>
      </c>
      <c r="W95" s="517">
        <f t="shared" si="17"/>
        <v>1511987835</v>
      </c>
      <c r="X95" s="517">
        <f t="shared" si="17"/>
        <v>1201552733</v>
      </c>
    </row>
    <row r="96" spans="1:26" x14ac:dyDescent="0.3">
      <c r="A96" s="514" t="s">
        <v>1057</v>
      </c>
      <c r="B96" s="347">
        <v>16491838</v>
      </c>
      <c r="C96" s="347">
        <v>14145469</v>
      </c>
      <c r="D96" s="347">
        <v>7409354</v>
      </c>
      <c r="E96" s="347">
        <v>7067951</v>
      </c>
      <c r="F96" s="347">
        <v>6277877</v>
      </c>
      <c r="G96" s="347">
        <v>7534314</v>
      </c>
      <c r="H96" s="347">
        <v>8902962</v>
      </c>
      <c r="I96" s="347">
        <v>9954901</v>
      </c>
      <c r="J96" s="347">
        <v>17714379</v>
      </c>
      <c r="K96" s="347">
        <v>12247829</v>
      </c>
      <c r="L96" s="347">
        <v>20999750</v>
      </c>
      <c r="M96" s="347">
        <v>22211512</v>
      </c>
      <c r="N96" s="347">
        <v>27277563</v>
      </c>
      <c r="O96" s="347">
        <v>33710039</v>
      </c>
      <c r="P96" s="347">
        <v>55031292</v>
      </c>
      <c r="Q96" s="347">
        <v>48039005</v>
      </c>
      <c r="R96" s="347">
        <v>71298226</v>
      </c>
      <c r="S96" s="347">
        <v>56094887</v>
      </c>
      <c r="T96" s="347">
        <v>54140761</v>
      </c>
      <c r="U96" s="347">
        <v>127394451</v>
      </c>
      <c r="V96" s="347">
        <v>77858777</v>
      </c>
      <c r="W96" s="347">
        <v>147398200</v>
      </c>
      <c r="X96" s="347">
        <v>149546959</v>
      </c>
    </row>
    <row r="97" spans="1:24" x14ac:dyDescent="0.3">
      <c r="A97" s="514" t="s">
        <v>1058</v>
      </c>
      <c r="B97" s="347">
        <v>41611739</v>
      </c>
      <c r="C97" s="347">
        <v>55111512</v>
      </c>
      <c r="D97" s="347">
        <v>63609804</v>
      </c>
      <c r="E97" s="347">
        <v>91881087</v>
      </c>
      <c r="F97" s="347">
        <v>96117565</v>
      </c>
      <c r="G97" s="347">
        <v>104061563</v>
      </c>
      <c r="H97" s="347">
        <v>119981367</v>
      </c>
      <c r="I97" s="347">
        <v>107183407</v>
      </c>
      <c r="J97" s="347">
        <v>141018667</v>
      </c>
      <c r="K97" s="347">
        <v>159767316</v>
      </c>
      <c r="L97" s="347">
        <v>178027180</v>
      </c>
      <c r="M97" s="347">
        <v>243495562</v>
      </c>
      <c r="N97" s="347">
        <v>288839445</v>
      </c>
      <c r="O97" s="347">
        <v>299026619</v>
      </c>
      <c r="P97" s="347">
        <v>303145903</v>
      </c>
      <c r="Q97" s="347">
        <v>323635754</v>
      </c>
      <c r="R97" s="347">
        <v>343583977</v>
      </c>
      <c r="S97" s="347">
        <v>465361852</v>
      </c>
      <c r="T97" s="347">
        <v>507275929</v>
      </c>
      <c r="U97" s="347">
        <v>698376741</v>
      </c>
      <c r="V97" s="347">
        <v>1074617649</v>
      </c>
      <c r="W97" s="347">
        <v>1364589635</v>
      </c>
      <c r="X97" s="347">
        <v>1051601543</v>
      </c>
    </row>
    <row r="98" spans="1:24" x14ac:dyDescent="0.3">
      <c r="A98" s="514" t="s">
        <v>1068</v>
      </c>
      <c r="B98" s="347"/>
      <c r="C98" s="347"/>
      <c r="D98" s="347"/>
      <c r="E98" s="347"/>
      <c r="F98" s="347"/>
      <c r="G98" s="347"/>
      <c r="H98" s="347"/>
      <c r="I98" s="347"/>
      <c r="J98" s="347"/>
      <c r="K98" s="347">
        <v>1828236</v>
      </c>
      <c r="L98" s="347">
        <v>285307</v>
      </c>
      <c r="M98" s="347">
        <v>2063160</v>
      </c>
      <c r="N98" s="347">
        <v>842726</v>
      </c>
      <c r="O98" s="347">
        <v>421757</v>
      </c>
      <c r="P98" s="347" t="s">
        <v>1089</v>
      </c>
      <c r="Q98" s="347">
        <v>549604</v>
      </c>
      <c r="R98" s="347" t="s">
        <v>1090</v>
      </c>
      <c r="S98" s="347">
        <v>1027801</v>
      </c>
      <c r="T98" s="347" t="s">
        <v>1091</v>
      </c>
      <c r="U98" s="347">
        <v>1205200</v>
      </c>
      <c r="V98" s="347">
        <v>943121</v>
      </c>
      <c r="W98" s="347" t="s">
        <v>1092</v>
      </c>
      <c r="X98" s="347">
        <v>404231</v>
      </c>
    </row>
    <row r="99" spans="1:24" ht="15.6" x14ac:dyDescent="0.3">
      <c r="A99" s="515" t="s">
        <v>867</v>
      </c>
      <c r="B99" s="517">
        <f t="shared" ref="B99:G99" si="18">SUM(B100:B105)</f>
        <v>200219701</v>
      </c>
      <c r="C99" s="517">
        <f t="shared" si="18"/>
        <v>219645245</v>
      </c>
      <c r="D99" s="517">
        <f t="shared" si="18"/>
        <v>239298283</v>
      </c>
      <c r="E99" s="517">
        <f t="shared" si="18"/>
        <v>261593249</v>
      </c>
      <c r="F99" s="517">
        <f t="shared" si="18"/>
        <v>292843514</v>
      </c>
      <c r="G99" s="517">
        <f t="shared" si="18"/>
        <v>310398161</v>
      </c>
      <c r="H99" s="517">
        <f>SUM(H100:H105)</f>
        <v>353950329</v>
      </c>
      <c r="I99" s="517">
        <f t="shared" ref="I99:X99" si="19">SUM(I100:I105)</f>
        <v>391977646</v>
      </c>
      <c r="J99" s="517">
        <f t="shared" si="19"/>
        <v>368921082</v>
      </c>
      <c r="K99" s="517">
        <f t="shared" si="19"/>
        <v>482765981</v>
      </c>
      <c r="L99" s="517">
        <f>SUM(L100:L105)</f>
        <v>528556899</v>
      </c>
      <c r="M99" s="517">
        <f t="shared" si="19"/>
        <v>525502043</v>
      </c>
      <c r="N99" s="517">
        <f t="shared" si="19"/>
        <v>642849525</v>
      </c>
      <c r="O99" s="517">
        <f t="shared" si="19"/>
        <v>678874825</v>
      </c>
      <c r="P99" s="517">
        <f t="shared" si="19"/>
        <v>814806982</v>
      </c>
      <c r="Q99" s="517">
        <f t="shared" si="19"/>
        <v>852070886</v>
      </c>
      <c r="R99" s="517">
        <f t="shared" si="19"/>
        <v>1014741441</v>
      </c>
      <c r="S99" s="517">
        <f t="shared" si="19"/>
        <v>1055659199</v>
      </c>
      <c r="T99" s="517">
        <f t="shared" si="19"/>
        <v>1158333786</v>
      </c>
      <c r="U99" s="517">
        <f t="shared" si="19"/>
        <v>1326899044</v>
      </c>
      <c r="V99" s="517">
        <f t="shared" si="19"/>
        <v>1907129030</v>
      </c>
      <c r="W99" s="517">
        <f t="shared" si="19"/>
        <v>2310991323</v>
      </c>
      <c r="X99" s="517">
        <f t="shared" si="19"/>
        <v>2245120104</v>
      </c>
    </row>
    <row r="100" spans="1:24" x14ac:dyDescent="0.3">
      <c r="A100" s="513" t="s">
        <v>1059</v>
      </c>
      <c r="B100" s="347">
        <v>18156548</v>
      </c>
      <c r="C100" s="347">
        <v>20118162</v>
      </c>
      <c r="D100" s="347">
        <v>22060571</v>
      </c>
      <c r="E100" s="347">
        <v>24259536</v>
      </c>
      <c r="F100" s="347">
        <v>27105880</v>
      </c>
      <c r="G100" s="347">
        <v>29391629</v>
      </c>
      <c r="H100" s="347">
        <v>30517062</v>
      </c>
      <c r="I100" s="347">
        <v>31708969</v>
      </c>
      <c r="J100" s="347">
        <v>35554499</v>
      </c>
      <c r="K100" s="347">
        <v>42378909</v>
      </c>
      <c r="L100" s="347">
        <v>51098192</v>
      </c>
      <c r="M100" s="347">
        <v>54482853</v>
      </c>
      <c r="N100" s="347">
        <v>74176913</v>
      </c>
      <c r="O100" s="347">
        <v>81040585</v>
      </c>
      <c r="P100" s="347">
        <v>104471220</v>
      </c>
      <c r="Q100" s="347">
        <v>119343920</v>
      </c>
      <c r="R100" s="347">
        <v>148891656</v>
      </c>
      <c r="S100" s="347">
        <v>164700255</v>
      </c>
      <c r="T100" s="347">
        <v>184195334</v>
      </c>
      <c r="U100" s="347">
        <v>238810952</v>
      </c>
      <c r="V100" s="347">
        <v>299902414</v>
      </c>
      <c r="W100" s="347">
        <v>327580014</v>
      </c>
      <c r="X100" s="347">
        <v>401833099</v>
      </c>
    </row>
    <row r="101" spans="1:24" x14ac:dyDescent="0.3">
      <c r="A101" s="513" t="s">
        <v>1060</v>
      </c>
      <c r="B101" s="347">
        <v>104377478</v>
      </c>
      <c r="C101" s="347">
        <v>114943937</v>
      </c>
      <c r="D101" s="347">
        <v>123261096</v>
      </c>
      <c r="E101" s="347">
        <v>132821719</v>
      </c>
      <c r="F101" s="347">
        <v>143640758</v>
      </c>
      <c r="G101" s="347">
        <v>154001495</v>
      </c>
      <c r="H101" s="347">
        <v>168686249</v>
      </c>
      <c r="I101" s="347">
        <v>185438755</v>
      </c>
      <c r="J101" s="347">
        <v>184727623</v>
      </c>
      <c r="K101" s="347">
        <v>211209820</v>
      </c>
      <c r="L101" s="347">
        <v>200180605</v>
      </c>
      <c r="M101" s="347">
        <v>197486310</v>
      </c>
      <c r="N101" s="347">
        <v>226514377</v>
      </c>
      <c r="O101" s="347">
        <v>251808658</v>
      </c>
      <c r="P101" s="347">
        <v>309644585</v>
      </c>
      <c r="Q101" s="347">
        <v>340542889</v>
      </c>
      <c r="R101" s="347">
        <v>405909053</v>
      </c>
      <c r="S101" s="347">
        <v>387733926</v>
      </c>
      <c r="T101" s="347">
        <v>404807962</v>
      </c>
      <c r="U101" s="347">
        <v>493368364</v>
      </c>
      <c r="V101" s="347">
        <v>680517561</v>
      </c>
      <c r="W101" s="347">
        <v>784062189</v>
      </c>
      <c r="X101" s="347">
        <v>830582212</v>
      </c>
    </row>
    <row r="102" spans="1:24" x14ac:dyDescent="0.3">
      <c r="A102" s="513" t="s">
        <v>1061</v>
      </c>
      <c r="B102" s="347">
        <v>73796399</v>
      </c>
      <c r="C102" s="347">
        <v>81939962</v>
      </c>
      <c r="D102" s="347">
        <v>90346112</v>
      </c>
      <c r="E102" s="347">
        <v>98157020</v>
      </c>
      <c r="F102" s="347">
        <v>111453735</v>
      </c>
      <c r="G102" s="347">
        <v>121084352</v>
      </c>
      <c r="H102" s="347">
        <v>128688693</v>
      </c>
      <c r="I102" s="347">
        <v>131734727</v>
      </c>
      <c r="J102" s="347">
        <v>135015096</v>
      </c>
      <c r="K102" s="347">
        <v>133133896</v>
      </c>
      <c r="L102" s="347">
        <v>141657562</v>
      </c>
      <c r="M102" s="347">
        <v>160394297</v>
      </c>
      <c r="N102" s="347">
        <v>173575966</v>
      </c>
      <c r="O102" s="347">
        <v>176357697</v>
      </c>
      <c r="P102" s="347">
        <v>261129728</v>
      </c>
      <c r="Q102" s="347">
        <v>295498429</v>
      </c>
      <c r="R102" s="347">
        <v>351646494</v>
      </c>
      <c r="S102" s="347">
        <v>386701574</v>
      </c>
      <c r="T102" s="347">
        <v>426658086</v>
      </c>
      <c r="U102" s="347">
        <v>434693502</v>
      </c>
      <c r="V102" s="347">
        <v>680190898</v>
      </c>
      <c r="W102" s="347">
        <v>941817459</v>
      </c>
      <c r="X102" s="347">
        <v>904547994</v>
      </c>
    </row>
    <row r="103" spans="1:24" x14ac:dyDescent="0.3">
      <c r="A103" s="513" t="s">
        <v>1069</v>
      </c>
      <c r="B103" s="347"/>
      <c r="C103" s="347"/>
      <c r="D103" s="347"/>
      <c r="E103" s="347"/>
      <c r="F103" s="347"/>
      <c r="G103" s="347"/>
      <c r="H103" s="347"/>
      <c r="I103" s="347"/>
      <c r="J103" s="347">
        <v>9999442</v>
      </c>
      <c r="K103" s="347">
        <v>11503970</v>
      </c>
      <c r="L103" s="347">
        <v>19831404</v>
      </c>
      <c r="M103" s="347">
        <v>11824797</v>
      </c>
      <c r="N103" s="347">
        <v>12905554</v>
      </c>
      <c r="O103" s="347">
        <v>6495131</v>
      </c>
      <c r="P103" s="347">
        <v>7448548</v>
      </c>
      <c r="Q103" s="347">
        <v>7765636</v>
      </c>
      <c r="R103" s="347">
        <v>8314769</v>
      </c>
      <c r="S103" s="347">
        <v>9338070</v>
      </c>
      <c r="T103" s="347">
        <v>11367070</v>
      </c>
      <c r="U103" s="347">
        <v>12005016</v>
      </c>
      <c r="V103" s="347">
        <v>14766466</v>
      </c>
      <c r="W103" s="347">
        <v>14850509</v>
      </c>
      <c r="X103" s="347">
        <v>18449116</v>
      </c>
    </row>
    <row r="104" spans="1:24" x14ac:dyDescent="0.3">
      <c r="A104" s="513" t="s">
        <v>1062</v>
      </c>
      <c r="B104" s="347">
        <v>2028992</v>
      </c>
      <c r="C104" s="347">
        <v>2245247</v>
      </c>
      <c r="D104" s="347">
        <v>2570036</v>
      </c>
      <c r="E104" s="347">
        <v>2969965</v>
      </c>
      <c r="F104" s="347">
        <v>2704515</v>
      </c>
      <c r="G104" s="347">
        <v>2933854</v>
      </c>
      <c r="H104" s="347">
        <v>3346917</v>
      </c>
      <c r="I104" s="347">
        <v>3352895</v>
      </c>
      <c r="J104" s="347">
        <v>3624422</v>
      </c>
      <c r="K104" s="347">
        <v>3796265</v>
      </c>
      <c r="L104" s="347">
        <v>3491018</v>
      </c>
      <c r="M104" s="347">
        <v>3860074</v>
      </c>
      <c r="N104" s="347">
        <v>8823772</v>
      </c>
      <c r="O104" s="347">
        <v>8661410</v>
      </c>
      <c r="P104" s="347">
        <v>5604834</v>
      </c>
      <c r="Q104" s="347">
        <v>7613484</v>
      </c>
      <c r="R104" s="347">
        <v>8067897</v>
      </c>
      <c r="S104" s="347">
        <v>8193124</v>
      </c>
      <c r="T104" s="347">
        <v>10175190</v>
      </c>
      <c r="U104" s="347">
        <v>10055698</v>
      </c>
      <c r="V104" s="347">
        <v>10520929</v>
      </c>
      <c r="W104" s="347">
        <v>11920195</v>
      </c>
      <c r="X104" s="347">
        <v>14189078</v>
      </c>
    </row>
    <row r="105" spans="1:24" x14ac:dyDescent="0.3">
      <c r="A105" s="513" t="s">
        <v>1063</v>
      </c>
      <c r="B105" s="347">
        <v>1860284</v>
      </c>
      <c r="C105" s="347">
        <v>397937</v>
      </c>
      <c r="D105" s="347">
        <v>1060468</v>
      </c>
      <c r="E105" s="347">
        <v>3385009</v>
      </c>
      <c r="F105" s="347">
        <v>7938626</v>
      </c>
      <c r="G105" s="347">
        <v>2986831</v>
      </c>
      <c r="H105" s="347">
        <v>22711408</v>
      </c>
      <c r="I105" s="347">
        <v>39742300</v>
      </c>
      <c r="J105" s="347"/>
      <c r="K105" s="347">
        <v>80743121</v>
      </c>
      <c r="L105" s="347">
        <v>112298118</v>
      </c>
      <c r="M105" s="347">
        <v>97453712</v>
      </c>
      <c r="N105" s="347">
        <v>146852943</v>
      </c>
      <c r="O105" s="347">
        <v>154511344</v>
      </c>
      <c r="P105" s="347">
        <v>126508067</v>
      </c>
      <c r="Q105" s="347">
        <v>81306528</v>
      </c>
      <c r="R105" s="347">
        <v>91911572</v>
      </c>
      <c r="S105" s="347">
        <v>98992250</v>
      </c>
      <c r="T105" s="347">
        <v>121130144</v>
      </c>
      <c r="U105" s="347">
        <v>137965512</v>
      </c>
      <c r="V105" s="347">
        <v>221230762</v>
      </c>
      <c r="W105" s="347">
        <v>230760957</v>
      </c>
      <c r="X105" s="347">
        <v>75518605</v>
      </c>
    </row>
    <row r="106" spans="1:24" ht="15.6" x14ac:dyDescent="0.3">
      <c r="A106" s="515" t="s">
        <v>868</v>
      </c>
      <c r="B106" s="517">
        <f t="shared" ref="B106:G106" si="20">+SUM(B107:B108)</f>
        <v>35608128</v>
      </c>
      <c r="C106" s="517">
        <f t="shared" si="20"/>
        <v>35344295</v>
      </c>
      <c r="D106" s="517">
        <f t="shared" si="20"/>
        <v>220371474</v>
      </c>
      <c r="E106" s="517">
        <f t="shared" si="20"/>
        <v>32879839</v>
      </c>
      <c r="F106" s="517">
        <f t="shared" si="20"/>
        <v>31861008</v>
      </c>
      <c r="G106" s="517">
        <f t="shared" si="20"/>
        <v>35084856</v>
      </c>
      <c r="H106" s="517">
        <f>+SUM(H107:H108)</f>
        <v>77952239</v>
      </c>
      <c r="I106" s="517">
        <f t="shared" ref="I106:X106" si="21">+SUM(I107:I108)</f>
        <v>93178836</v>
      </c>
      <c r="J106" s="517">
        <f t="shared" si="21"/>
        <v>113964180</v>
      </c>
      <c r="K106" s="517">
        <f t="shared" si="21"/>
        <v>146279220</v>
      </c>
      <c r="L106" s="517">
        <f t="shared" si="21"/>
        <v>134705138</v>
      </c>
      <c r="M106" s="517">
        <f t="shared" si="21"/>
        <v>163141705</v>
      </c>
      <c r="N106" s="517">
        <f t="shared" si="21"/>
        <v>221793967</v>
      </c>
      <c r="O106" s="517">
        <f t="shared" si="21"/>
        <v>300030913</v>
      </c>
      <c r="P106" s="517">
        <f t="shared" si="21"/>
        <v>330028209</v>
      </c>
      <c r="Q106" s="517">
        <f t="shared" si="21"/>
        <v>334757845</v>
      </c>
      <c r="R106" s="517">
        <f t="shared" si="21"/>
        <v>386483882</v>
      </c>
      <c r="S106" s="517">
        <f t="shared" si="21"/>
        <v>379825397</v>
      </c>
      <c r="T106" s="517">
        <f t="shared" si="21"/>
        <v>379083286</v>
      </c>
      <c r="U106" s="517">
        <f t="shared" si="21"/>
        <v>853061709</v>
      </c>
      <c r="V106" s="517">
        <f t="shared" si="21"/>
        <v>783382972</v>
      </c>
      <c r="W106" s="517">
        <f t="shared" si="21"/>
        <v>610488094</v>
      </c>
      <c r="X106" s="517">
        <f t="shared" si="21"/>
        <v>596320094</v>
      </c>
    </row>
    <row r="107" spans="1:24" x14ac:dyDescent="0.3">
      <c r="A107" s="513" t="s">
        <v>1064</v>
      </c>
      <c r="B107" s="347">
        <v>7269298</v>
      </c>
      <c r="C107" s="347">
        <v>6869706</v>
      </c>
      <c r="D107" s="347">
        <v>12650798</v>
      </c>
      <c r="E107" s="347">
        <v>1084331</v>
      </c>
      <c r="F107" s="347">
        <v>1140271</v>
      </c>
      <c r="G107" s="347">
        <v>1136795</v>
      </c>
      <c r="H107" s="347">
        <v>1452606</v>
      </c>
      <c r="I107" s="347">
        <v>1640226</v>
      </c>
      <c r="J107" s="347">
        <v>113964180</v>
      </c>
      <c r="K107" s="347">
        <v>146279220</v>
      </c>
      <c r="L107" s="347">
        <v>134705138</v>
      </c>
      <c r="M107" s="347">
        <v>163141705</v>
      </c>
      <c r="N107" s="360">
        <v>221793967</v>
      </c>
      <c r="O107" s="347">
        <v>300030913</v>
      </c>
      <c r="P107" s="347">
        <v>330028209</v>
      </c>
      <c r="Q107" s="347">
        <v>334757845</v>
      </c>
      <c r="R107" s="347">
        <v>386483882</v>
      </c>
      <c r="S107" s="347">
        <v>379825397</v>
      </c>
      <c r="T107" s="347">
        <v>379083286</v>
      </c>
      <c r="U107" s="347">
        <v>853061709</v>
      </c>
      <c r="V107" s="347">
        <v>783382972</v>
      </c>
      <c r="W107" s="347">
        <v>610488094</v>
      </c>
      <c r="X107" s="347">
        <v>596320094</v>
      </c>
    </row>
    <row r="108" spans="1:24" ht="15" thickBot="1" x14ac:dyDescent="0.35">
      <c r="A108" s="518" t="s">
        <v>1065</v>
      </c>
      <c r="B108" s="503">
        <v>28338830</v>
      </c>
      <c r="C108" s="503">
        <v>28474589</v>
      </c>
      <c r="D108" s="503">
        <v>207720676</v>
      </c>
      <c r="E108" s="503">
        <v>31795508</v>
      </c>
      <c r="F108" s="503">
        <v>30720737</v>
      </c>
      <c r="G108" s="503">
        <v>33948061</v>
      </c>
      <c r="H108" s="503">
        <v>76499633</v>
      </c>
      <c r="I108" s="503">
        <v>91538610</v>
      </c>
      <c r="J108" s="503">
        <v>0</v>
      </c>
      <c r="K108" s="503"/>
      <c r="L108" s="503">
        <v>0</v>
      </c>
      <c r="M108" s="503">
        <v>0</v>
      </c>
      <c r="N108" s="519">
        <v>0</v>
      </c>
      <c r="O108" s="503">
        <v>0</v>
      </c>
      <c r="P108" s="503">
        <v>0</v>
      </c>
      <c r="Q108" s="503">
        <v>0</v>
      </c>
      <c r="R108" s="503">
        <v>0</v>
      </c>
      <c r="S108" s="503">
        <v>0</v>
      </c>
      <c r="T108" s="503">
        <v>0</v>
      </c>
      <c r="U108" s="503">
        <v>0</v>
      </c>
      <c r="V108" s="503">
        <v>0</v>
      </c>
      <c r="W108" s="503">
        <v>0</v>
      </c>
      <c r="X108" s="503"/>
    </row>
    <row r="109" spans="1:24" ht="15.6" x14ac:dyDescent="0.3">
      <c r="A109" s="359" t="s">
        <v>865</v>
      </c>
      <c r="B109" s="517">
        <f t="shared" ref="B109:G109" si="22">+B93+B95+B99+B106</f>
        <v>340658609</v>
      </c>
      <c r="C109" s="517">
        <f t="shared" si="22"/>
        <v>335878196</v>
      </c>
      <c r="D109" s="517">
        <f t="shared" si="22"/>
        <v>533241657</v>
      </c>
      <c r="E109" s="517">
        <f t="shared" si="22"/>
        <v>401881836</v>
      </c>
      <c r="F109" s="517">
        <f t="shared" si="22"/>
        <v>464456650</v>
      </c>
      <c r="G109" s="517">
        <f t="shared" si="22"/>
        <v>531092939</v>
      </c>
      <c r="H109" s="517">
        <f>+H93+H95+H99+H106</f>
        <v>709872743</v>
      </c>
      <c r="I109" s="517">
        <f t="shared" ref="I109:X109" si="23">+I93+I95+I99+I106</f>
        <v>873511870</v>
      </c>
      <c r="J109" s="517">
        <f t="shared" si="23"/>
        <v>868536582</v>
      </c>
      <c r="K109" s="517">
        <f t="shared" si="23"/>
        <v>984457354</v>
      </c>
      <c r="L109" s="517">
        <f>+L93+L95+L99+L106</f>
        <v>1082112245</v>
      </c>
      <c r="M109" s="517">
        <f t="shared" si="23"/>
        <v>1251047311</v>
      </c>
      <c r="N109" s="517">
        <f t="shared" si="23"/>
        <v>1645836325</v>
      </c>
      <c r="O109" s="517">
        <f t="shared" si="23"/>
        <v>1694770314</v>
      </c>
      <c r="P109" s="517">
        <f t="shared" si="23"/>
        <v>1786928507</v>
      </c>
      <c r="Q109" s="517">
        <f t="shared" si="23"/>
        <v>1737225085</v>
      </c>
      <c r="R109" s="517">
        <f t="shared" si="23"/>
        <v>2107547987</v>
      </c>
      <c r="S109" s="517">
        <f t="shared" si="23"/>
        <v>2281266752</v>
      </c>
      <c r="T109" s="517">
        <f t="shared" si="23"/>
        <v>2479083234</v>
      </c>
      <c r="U109" s="517">
        <f t="shared" si="23"/>
        <v>3334130846</v>
      </c>
      <c r="V109" s="517">
        <f t="shared" si="23"/>
        <v>4142854394</v>
      </c>
      <c r="W109" s="517">
        <f t="shared" si="23"/>
        <v>4816557736</v>
      </c>
      <c r="X109" s="517">
        <f t="shared" si="23"/>
        <v>4498199290</v>
      </c>
    </row>
    <row r="110" spans="1:24" ht="15" thickBot="1" x14ac:dyDescent="0.35"/>
    <row r="111" spans="1:24" ht="15" thickBot="1" x14ac:dyDescent="0.35">
      <c r="A111" s="615" t="s">
        <v>880</v>
      </c>
      <c r="B111" s="616">
        <f>+'c-499'!B24</f>
        <v>0.84734548335974647</v>
      </c>
      <c r="C111" s="616">
        <f>+'c-499'!C24</f>
        <v>0.85237717908082411</v>
      </c>
      <c r="D111" s="616">
        <f>+'c-499'!D24</f>
        <v>0.89753660768761445</v>
      </c>
      <c r="E111" s="616">
        <f>+'c-499'!E24</f>
        <v>0.93985127660353862</v>
      </c>
      <c r="F111" s="616">
        <f>+'c-499'!F24</f>
        <v>0.96353624550918304</v>
      </c>
      <c r="G111" s="616">
        <f>+'c-499'!G24</f>
        <v>0.98882855894651434</v>
      </c>
      <c r="H111" s="616">
        <f>+'c-499'!H24</f>
        <v>1</v>
      </c>
      <c r="I111" s="616">
        <f>+'c-499'!I24</f>
        <v>1.0438604000799019</v>
      </c>
      <c r="J111" s="616">
        <f>+'c-499'!J24</f>
        <v>1.0626145854552862</v>
      </c>
      <c r="K111" s="616">
        <f>+'c-499'!K24</f>
        <v>1.0751396921870404</v>
      </c>
      <c r="L111" s="616">
        <f>+'c-499'!L24</f>
        <v>1.1187210443435196</v>
      </c>
      <c r="M111" s="616">
        <f>+'c-499'!M24</f>
        <v>1.164369124404536</v>
      </c>
      <c r="N111" s="616">
        <f>+'c-499'!N24</f>
        <v>1.2253082185068307</v>
      </c>
      <c r="O111" s="616">
        <f>+'c-499'!O24</f>
        <v>1.3009642633690333</v>
      </c>
      <c r="P111" s="616">
        <f>+'c-499'!P24</f>
        <v>1.33475269110233</v>
      </c>
      <c r="Q111" s="616">
        <f>+'c-499'!Q24</f>
        <v>1.380702521498324</v>
      </c>
      <c r="R111" s="616">
        <f>+'c-499'!R24</f>
        <v>1.4256653962577832</v>
      </c>
      <c r="S111" s="616">
        <f>+'c-499'!S24</f>
        <v>1.4608349111341843</v>
      </c>
      <c r="T111" s="616">
        <f>+'c-499'!T24</f>
        <v>1.4876179245283019</v>
      </c>
      <c r="U111" s="616">
        <f>+'c-499'!U24</f>
        <v>1.5121136400673583</v>
      </c>
      <c r="V111" s="616">
        <f>+'c-499'!V24</f>
        <v>1.5611805618398769</v>
      </c>
      <c r="W111" s="616">
        <f>+'c-499'!W24</f>
        <v>1.6374434902006503</v>
      </c>
      <c r="X111" s="616">
        <f>+'c-499'!X24</f>
        <v>1.6966659157467898</v>
      </c>
    </row>
    <row r="113" spans="1:24" ht="16.2" thickBot="1" x14ac:dyDescent="0.35">
      <c r="A113" s="619" t="s">
        <v>879</v>
      </c>
      <c r="B113" s="351">
        <v>2001</v>
      </c>
      <c r="C113" s="351">
        <v>2002</v>
      </c>
      <c r="D113" s="351">
        <v>2003</v>
      </c>
      <c r="E113" s="351">
        <v>2004</v>
      </c>
      <c r="F113" s="351">
        <v>2005</v>
      </c>
      <c r="G113" s="351">
        <v>2006</v>
      </c>
      <c r="H113" s="351">
        <v>2007</v>
      </c>
      <c r="I113" s="351">
        <v>2008</v>
      </c>
      <c r="J113" s="351">
        <v>2009</v>
      </c>
      <c r="K113" s="351">
        <v>2010</v>
      </c>
      <c r="L113" s="351">
        <v>2011</v>
      </c>
      <c r="M113" s="351">
        <v>2012</v>
      </c>
      <c r="N113" s="351">
        <v>2013</v>
      </c>
      <c r="O113" s="351">
        <v>2014</v>
      </c>
      <c r="P113" s="351">
        <v>2015</v>
      </c>
      <c r="Q113" s="351">
        <v>2016</v>
      </c>
      <c r="R113" s="351">
        <v>2017</v>
      </c>
      <c r="S113" s="351">
        <v>2018</v>
      </c>
      <c r="T113" s="351">
        <v>2019</v>
      </c>
      <c r="U113" s="351">
        <v>2020</v>
      </c>
      <c r="V113" s="351">
        <v>2021</v>
      </c>
      <c r="W113" s="351">
        <v>2022</v>
      </c>
      <c r="X113" s="351">
        <v>2023</v>
      </c>
    </row>
    <row r="114" spans="1:24" x14ac:dyDescent="0.3">
      <c r="A114" s="357" t="s">
        <v>864</v>
      </c>
      <c r="B114" s="347">
        <f>B93/B111</f>
        <v>55145396.910272591</v>
      </c>
      <c r="C114" s="347">
        <f t="shared" ref="C114:X114" si="24">C93/C111</f>
        <v>13646159.570512224</v>
      </c>
      <c r="D114" s="347">
        <f t="shared" si="24"/>
        <v>2844164.7707014484</v>
      </c>
      <c r="E114" s="347">
        <f t="shared" si="24"/>
        <v>9001115.6132829245</v>
      </c>
      <c r="F114" s="347">
        <f t="shared" si="24"/>
        <v>38770400.360246718</v>
      </c>
      <c r="G114" s="347">
        <f t="shared" si="24"/>
        <v>74850229.931519821</v>
      </c>
      <c r="H114" s="347">
        <f t="shared" si="24"/>
        <v>149085846</v>
      </c>
      <c r="I114" s="347">
        <f t="shared" si="24"/>
        <v>259821217.45325312</v>
      </c>
      <c r="J114" s="347">
        <f t="shared" si="24"/>
        <v>213547110.21849465</v>
      </c>
      <c r="K114" s="347">
        <f t="shared" si="24"/>
        <v>168879238.03710964</v>
      </c>
      <c r="L114" s="347">
        <f t="shared" si="24"/>
        <v>196240136.99396154</v>
      </c>
      <c r="M114" s="347">
        <f t="shared" si="24"/>
        <v>253041172.96194789</v>
      </c>
      <c r="N114" s="347">
        <f t="shared" si="24"/>
        <v>378870468.66111594</v>
      </c>
      <c r="O114" s="347">
        <f t="shared" si="24"/>
        <v>294171155.79249471</v>
      </c>
      <c r="P114" s="347">
        <f t="shared" si="24"/>
        <v>212710656.35801241</v>
      </c>
      <c r="Q114" s="347">
        <f t="shared" si="24"/>
        <v>129044445.29198775</v>
      </c>
      <c r="R114" s="347">
        <f t="shared" si="24"/>
        <v>204424166.96442205</v>
      </c>
      <c r="S114" s="347">
        <f t="shared" si="24"/>
        <v>221310165.53334796</v>
      </c>
      <c r="T114" s="347">
        <f t="shared" si="24"/>
        <v>255609633.17954814</v>
      </c>
      <c r="U114" s="347">
        <f t="shared" si="24"/>
        <v>216381687.41433012</v>
      </c>
      <c r="V114" s="347">
        <f t="shared" si="24"/>
        <v>191472307.75645486</v>
      </c>
      <c r="W114" s="347">
        <f t="shared" si="24"/>
        <v>233956460.96651345</v>
      </c>
      <c r="X114" s="347">
        <f t="shared" si="24"/>
        <v>268294632.88866758</v>
      </c>
    </row>
    <row r="115" spans="1:24" x14ac:dyDescent="0.3">
      <c r="A115" s="358" t="s">
        <v>866</v>
      </c>
      <c r="B115" s="347">
        <f>B95/B111</f>
        <v>68571294.87445645</v>
      </c>
      <c r="C115" s="347">
        <f t="shared" ref="C115:X115" si="25">C95/C111</f>
        <v>81251566.442316636</v>
      </c>
      <c r="D115" s="347">
        <f t="shared" si="25"/>
        <v>79126753.596125245</v>
      </c>
      <c r="E115" s="347">
        <f t="shared" si="25"/>
        <v>105281591.31472892</v>
      </c>
      <c r="F115" s="347">
        <f t="shared" si="25"/>
        <v>106270462.03735583</v>
      </c>
      <c r="G115" s="347">
        <f t="shared" si="25"/>
        <v>112856648.39503914</v>
      </c>
      <c r="H115" s="347">
        <f t="shared" si="25"/>
        <v>128884329</v>
      </c>
      <c r="I115" s="347">
        <f t="shared" si="25"/>
        <v>112216449.6239475</v>
      </c>
      <c r="J115" s="347">
        <f t="shared" si="25"/>
        <v>149379698.12638086</v>
      </c>
      <c r="K115" s="347">
        <f t="shared" si="25"/>
        <v>161693761.5300661</v>
      </c>
      <c r="L115" s="347">
        <f t="shared" si="25"/>
        <v>178160800.68196008</v>
      </c>
      <c r="M115" s="347">
        <f t="shared" si="25"/>
        <v>229970228.84554672</v>
      </c>
      <c r="N115" s="347">
        <f t="shared" si="25"/>
        <v>258677554.93083152</v>
      </c>
      <c r="O115" s="347">
        <f t="shared" si="25"/>
        <v>256085754.52890503</v>
      </c>
      <c r="P115" s="347">
        <f t="shared" si="25"/>
        <v>268347235.6996657</v>
      </c>
      <c r="Q115" s="347">
        <f t="shared" si="25"/>
        <v>269590557.85316157</v>
      </c>
      <c r="R115" s="347">
        <f t="shared" si="25"/>
        <v>291009520.24859458</v>
      </c>
      <c r="S115" s="347">
        <f t="shared" si="25"/>
        <v>357661592.02366394</v>
      </c>
      <c r="T115" s="347">
        <f t="shared" si="25"/>
        <v>377393066.28616726</v>
      </c>
      <c r="U115" s="347">
        <f t="shared" si="25"/>
        <v>546900953.79548442</v>
      </c>
      <c r="V115" s="347">
        <f t="shared" si="25"/>
        <v>738812393.12938678</v>
      </c>
      <c r="W115" s="347">
        <f t="shared" si="25"/>
        <v>923383215.38945007</v>
      </c>
      <c r="X115" s="347">
        <f t="shared" si="25"/>
        <v>708184635.43610168</v>
      </c>
    </row>
    <row r="116" spans="1:24" x14ac:dyDescent="0.3">
      <c r="A116" s="357" t="s">
        <v>867</v>
      </c>
      <c r="B116" s="347">
        <f>B99/B111</f>
        <v>236290515.41777715</v>
      </c>
      <c r="C116" s="347">
        <f t="shared" ref="C116:X116" si="26">C99/C111</f>
        <v>257685506.35865018</v>
      </c>
      <c r="D116" s="347">
        <f t="shared" si="26"/>
        <v>266616738.47100309</v>
      </c>
      <c r="E116" s="347">
        <f t="shared" si="26"/>
        <v>278334727.53833258</v>
      </c>
      <c r="F116" s="347">
        <f t="shared" si="26"/>
        <v>303925789.36690247</v>
      </c>
      <c r="G116" s="347">
        <f t="shared" si="26"/>
        <v>313904931.43795758</v>
      </c>
      <c r="H116" s="347">
        <f t="shared" si="26"/>
        <v>353950329</v>
      </c>
      <c r="I116" s="347">
        <f t="shared" si="26"/>
        <v>375507726.86653906</v>
      </c>
      <c r="J116" s="347">
        <f t="shared" si="26"/>
        <v>347182399.94977355</v>
      </c>
      <c r="K116" s="347">
        <f t="shared" si="26"/>
        <v>449026284.21983135</v>
      </c>
      <c r="L116" s="347">
        <f>L99/L111</f>
        <v>472465322.49705219</v>
      </c>
      <c r="M116" s="347">
        <f t="shared" si="26"/>
        <v>451319115.20648086</v>
      </c>
      <c r="N116" s="347">
        <f t="shared" si="26"/>
        <v>524643118.59703428</v>
      </c>
      <c r="O116" s="347">
        <f t="shared" si="26"/>
        <v>521824345.30673152</v>
      </c>
      <c r="P116" s="347">
        <f t="shared" si="26"/>
        <v>610455395.54378176</v>
      </c>
      <c r="Q116" s="347">
        <f t="shared" si="26"/>
        <v>617128507.21482098</v>
      </c>
      <c r="R116" s="347">
        <f t="shared" si="26"/>
        <v>711766901.02992332</v>
      </c>
      <c r="S116" s="347">
        <f t="shared" si="26"/>
        <v>722640998.61933875</v>
      </c>
      <c r="T116" s="347">
        <f t="shared" si="26"/>
        <v>778650059.87158144</v>
      </c>
      <c r="U116" s="347">
        <f t="shared" si="26"/>
        <v>877512780.0188961</v>
      </c>
      <c r="V116" s="347">
        <f t="shared" si="26"/>
        <v>1221594142.6739373</v>
      </c>
      <c r="W116" s="347">
        <f t="shared" si="26"/>
        <v>1411341116.0936089</v>
      </c>
      <c r="X116" s="347">
        <f t="shared" si="26"/>
        <v>1323254085.0635331</v>
      </c>
    </row>
    <row r="117" spans="1:24" ht="15" thickBot="1" x14ac:dyDescent="0.35">
      <c r="A117" s="502" t="s">
        <v>868</v>
      </c>
      <c r="B117" s="503">
        <f>B106/B111</f>
        <v>42023151.948379852</v>
      </c>
      <c r="C117" s="503">
        <f t="shared" ref="C117:X117" si="27">C106/C111</f>
        <v>41465557.581109971</v>
      </c>
      <c r="D117" s="503">
        <f t="shared" si="27"/>
        <v>245529232.02515188</v>
      </c>
      <c r="E117" s="503">
        <f t="shared" si="27"/>
        <v>34984087.183263823</v>
      </c>
      <c r="F117" s="503">
        <f t="shared" si="27"/>
        <v>33066745.696902119</v>
      </c>
      <c r="G117" s="503">
        <f t="shared" si="27"/>
        <v>35481232.497349158</v>
      </c>
      <c r="H117" s="503">
        <f t="shared" si="27"/>
        <v>77952239</v>
      </c>
      <c r="I117" s="503">
        <f t="shared" si="27"/>
        <v>89263694.640459269</v>
      </c>
      <c r="J117" s="503">
        <f t="shared" si="27"/>
        <v>107248838.44048789</v>
      </c>
      <c r="K117" s="503">
        <f t="shared" si="27"/>
        <v>136056013.05858219</v>
      </c>
      <c r="L117" s="503">
        <f t="shared" si="27"/>
        <v>120409943.73092067</v>
      </c>
      <c r="M117" s="503">
        <f t="shared" si="27"/>
        <v>140111672.13269371</v>
      </c>
      <c r="N117" s="503">
        <f t="shared" si="27"/>
        <v>181010756.02861759</v>
      </c>
      <c r="O117" s="503">
        <f t="shared" si="27"/>
        <v>230621948.23324892</v>
      </c>
      <c r="P117" s="503">
        <f t="shared" si="27"/>
        <v>247257946.13490546</v>
      </c>
      <c r="Q117" s="503">
        <f t="shared" si="27"/>
        <v>242454721.26517469</v>
      </c>
      <c r="R117" s="503">
        <f t="shared" si="27"/>
        <v>271090175.16626143</v>
      </c>
      <c r="S117" s="503">
        <f t="shared" si="27"/>
        <v>260005695.44515172</v>
      </c>
      <c r="T117" s="503">
        <f t="shared" si="27"/>
        <v>254825704.738803</v>
      </c>
      <c r="U117" s="503">
        <f t="shared" si="27"/>
        <v>564151851.02225494</v>
      </c>
      <c r="V117" s="503">
        <f t="shared" si="27"/>
        <v>501788832.8540104</v>
      </c>
      <c r="W117" s="503">
        <f t="shared" si="27"/>
        <v>372830022.9311679</v>
      </c>
      <c r="X117" s="503">
        <f t="shared" si="27"/>
        <v>351465829.81690234</v>
      </c>
    </row>
    <row r="118" spans="1:24" ht="15.6" x14ac:dyDescent="0.3">
      <c r="A118" s="617" t="s">
        <v>865</v>
      </c>
      <c r="B118" s="618">
        <f>B109/B111</f>
        <v>402030359.15088606</v>
      </c>
      <c r="C118" s="618">
        <f t="shared" ref="C118:X118" si="28">C109/C111</f>
        <v>394048789.95258898</v>
      </c>
      <c r="D118" s="618">
        <f t="shared" si="28"/>
        <v>594116888.86298168</v>
      </c>
      <c r="E118" s="618">
        <f t="shared" si="28"/>
        <v>427601521.64960825</v>
      </c>
      <c r="F118" s="618">
        <f t="shared" si="28"/>
        <v>482033397.46140712</v>
      </c>
      <c r="G118" s="618">
        <f t="shared" si="28"/>
        <v>537093042.26186574</v>
      </c>
      <c r="H118" s="618">
        <f t="shared" si="28"/>
        <v>709872743</v>
      </c>
      <c r="I118" s="618">
        <f t="shared" si="28"/>
        <v>836809088.58419895</v>
      </c>
      <c r="J118" s="618">
        <f t="shared" si="28"/>
        <v>817358046.73513699</v>
      </c>
      <c r="K118" s="618">
        <f t="shared" si="28"/>
        <v>915655296.84558928</v>
      </c>
      <c r="L118" s="618">
        <f t="shared" si="28"/>
        <v>967276203.90389442</v>
      </c>
      <c r="M118" s="618">
        <f t="shared" si="28"/>
        <v>1074442189.1466691</v>
      </c>
      <c r="N118" s="618">
        <f t="shared" si="28"/>
        <v>1343201898.2175994</v>
      </c>
      <c r="O118" s="618">
        <f t="shared" si="28"/>
        <v>1302703203.8613801</v>
      </c>
      <c r="P118" s="618">
        <f t="shared" si="28"/>
        <v>1338771233.7363653</v>
      </c>
      <c r="Q118" s="618">
        <f t="shared" si="28"/>
        <v>1258218231.625145</v>
      </c>
      <c r="R118" s="618">
        <f t="shared" si="28"/>
        <v>1478290763.4092014</v>
      </c>
      <c r="S118" s="618">
        <f t="shared" si="28"/>
        <v>1561618451.6215024</v>
      </c>
      <c r="T118" s="618">
        <f t="shared" si="28"/>
        <v>1666478464.0760999</v>
      </c>
      <c r="U118" s="618">
        <f t="shared" si="28"/>
        <v>2204947272.2509656</v>
      </c>
      <c r="V118" s="618">
        <f t="shared" si="28"/>
        <v>2653667676.4137893</v>
      </c>
      <c r="W118" s="618">
        <f t="shared" si="28"/>
        <v>2941510815.3807402</v>
      </c>
      <c r="X118" s="618">
        <f t="shared" si="28"/>
        <v>2651199183.205205</v>
      </c>
    </row>
    <row r="121" spans="1:24" x14ac:dyDescent="0.3">
      <c r="A121" s="620" t="s">
        <v>1035</v>
      </c>
      <c r="B121" s="620" t="s">
        <v>865</v>
      </c>
    </row>
    <row r="122" spans="1:24" x14ac:dyDescent="0.3">
      <c r="A122" s="345">
        <v>2001</v>
      </c>
      <c r="B122" s="347">
        <f>+B118</f>
        <v>402030359.15088606</v>
      </c>
    </row>
    <row r="123" spans="1:24" x14ac:dyDescent="0.3">
      <c r="A123" s="345">
        <v>2002</v>
      </c>
      <c r="B123" s="347">
        <f>+C118</f>
        <v>394048789.95258898</v>
      </c>
    </row>
    <row r="124" spans="1:24" x14ac:dyDescent="0.3">
      <c r="A124" s="345">
        <v>2003</v>
      </c>
      <c r="B124" s="347">
        <f>+D118</f>
        <v>594116888.86298168</v>
      </c>
    </row>
    <row r="125" spans="1:24" x14ac:dyDescent="0.3">
      <c r="A125" s="345">
        <v>2004</v>
      </c>
      <c r="B125" s="347">
        <f>+E118</f>
        <v>427601521.64960825</v>
      </c>
    </row>
    <row r="126" spans="1:24" x14ac:dyDescent="0.3">
      <c r="A126" s="345">
        <v>2005</v>
      </c>
      <c r="B126" s="347">
        <f>+F118</f>
        <v>482033397.46140712</v>
      </c>
    </row>
    <row r="127" spans="1:24" x14ac:dyDescent="0.3">
      <c r="A127" s="345">
        <v>2006</v>
      </c>
      <c r="B127" s="347">
        <f>+G118</f>
        <v>537093042.26186574</v>
      </c>
    </row>
    <row r="128" spans="1:24" x14ac:dyDescent="0.3">
      <c r="A128" s="345">
        <v>2007</v>
      </c>
      <c r="B128" s="347">
        <f>+H118</f>
        <v>709872743</v>
      </c>
    </row>
    <row r="129" spans="1:2" x14ac:dyDescent="0.3">
      <c r="A129" s="345">
        <v>2008</v>
      </c>
      <c r="B129" s="347">
        <f>+I118</f>
        <v>836809088.58419895</v>
      </c>
    </row>
    <row r="130" spans="1:2" x14ac:dyDescent="0.3">
      <c r="A130" s="345">
        <v>2009</v>
      </c>
      <c r="B130" s="347">
        <f>+J118</f>
        <v>817358046.73513699</v>
      </c>
    </row>
    <row r="131" spans="1:2" x14ac:dyDescent="0.3">
      <c r="A131" s="345">
        <v>2010</v>
      </c>
      <c r="B131" s="347">
        <f>+K118</f>
        <v>915655296.84558928</v>
      </c>
    </row>
    <row r="132" spans="1:2" x14ac:dyDescent="0.3">
      <c r="A132" s="345">
        <v>2011</v>
      </c>
      <c r="B132" s="347">
        <f>+L118</f>
        <v>967276203.90389442</v>
      </c>
    </row>
    <row r="133" spans="1:2" x14ac:dyDescent="0.3">
      <c r="A133" s="345">
        <v>2012</v>
      </c>
      <c r="B133" s="347">
        <f>+M118</f>
        <v>1074442189.1466691</v>
      </c>
    </row>
    <row r="134" spans="1:2" x14ac:dyDescent="0.3">
      <c r="A134" s="345">
        <v>2013</v>
      </c>
      <c r="B134" s="347">
        <f>+N118</f>
        <v>1343201898.2175994</v>
      </c>
    </row>
    <row r="135" spans="1:2" x14ac:dyDescent="0.3">
      <c r="A135" s="345">
        <v>2014</v>
      </c>
      <c r="B135" s="347">
        <f>+O118</f>
        <v>1302703203.8613801</v>
      </c>
    </row>
    <row r="136" spans="1:2" x14ac:dyDescent="0.3">
      <c r="A136" s="345">
        <v>2015</v>
      </c>
      <c r="B136" s="347">
        <f>+P118</f>
        <v>1338771233.7363653</v>
      </c>
    </row>
    <row r="137" spans="1:2" x14ac:dyDescent="0.3">
      <c r="A137" s="345">
        <v>2016</v>
      </c>
      <c r="B137" s="347">
        <f>+Q118</f>
        <v>1258218231.625145</v>
      </c>
    </row>
    <row r="138" spans="1:2" x14ac:dyDescent="0.3">
      <c r="A138" s="345">
        <v>2017</v>
      </c>
      <c r="B138" s="347">
        <f>+R118</f>
        <v>1478290763.4092014</v>
      </c>
    </row>
    <row r="139" spans="1:2" x14ac:dyDescent="0.3">
      <c r="A139" s="345">
        <v>2018</v>
      </c>
      <c r="B139" s="347">
        <f>+S118</f>
        <v>1561618451.6215024</v>
      </c>
    </row>
    <row r="140" spans="1:2" x14ac:dyDescent="0.3">
      <c r="A140" s="345">
        <v>2019</v>
      </c>
      <c r="B140" s="347">
        <f>+T118</f>
        <v>1666478464.0760999</v>
      </c>
    </row>
    <row r="141" spans="1:2" x14ac:dyDescent="0.3">
      <c r="A141" s="345">
        <v>2020</v>
      </c>
      <c r="B141" s="347">
        <f>+U118</f>
        <v>2204947272.2509656</v>
      </c>
    </row>
    <row r="142" spans="1:2" x14ac:dyDescent="0.3">
      <c r="A142" s="345">
        <v>2021</v>
      </c>
      <c r="B142" s="347">
        <f>+V118</f>
        <v>2653667676.4137893</v>
      </c>
    </row>
    <row r="143" spans="1:2" x14ac:dyDescent="0.3">
      <c r="A143" s="345">
        <v>2022</v>
      </c>
      <c r="B143" s="347">
        <f>+W118</f>
        <v>2941510815.3807402</v>
      </c>
    </row>
    <row r="144" spans="1:2" x14ac:dyDescent="0.3">
      <c r="A144" s="345">
        <v>2023</v>
      </c>
      <c r="B144" s="347">
        <f>+X118</f>
        <v>2651199183.205205</v>
      </c>
    </row>
    <row r="147" spans="1:7" ht="14.4" customHeight="1" x14ac:dyDescent="0.3">
      <c r="A147" s="564" t="s">
        <v>1084</v>
      </c>
      <c r="B147" s="564"/>
      <c r="C147" s="564"/>
      <c r="D147" s="564"/>
      <c r="E147" s="564"/>
      <c r="F147" s="564"/>
    </row>
    <row r="148" spans="1:7" ht="14.4" customHeight="1" x14ac:dyDescent="0.3">
      <c r="A148" s="564"/>
      <c r="B148" s="564"/>
      <c r="C148" s="564"/>
      <c r="D148" s="564"/>
      <c r="E148" s="564"/>
      <c r="F148" s="564"/>
    </row>
    <row r="149" spans="1:7" ht="14.4" customHeight="1" x14ac:dyDescent="0.3">
      <c r="A149" t="s">
        <v>1080</v>
      </c>
    </row>
    <row r="150" spans="1:7" ht="14.4" customHeight="1" x14ac:dyDescent="0.3"/>
    <row r="151" spans="1:7" ht="15" thickBot="1" x14ac:dyDescent="0.35">
      <c r="A151" s="351" t="s">
        <v>849</v>
      </c>
      <c r="B151" s="475" t="s">
        <v>1076</v>
      </c>
      <c r="C151" s="363" t="s">
        <v>1077</v>
      </c>
      <c r="D151" s="363" t="s">
        <v>875</v>
      </c>
      <c r="E151" s="363" t="s">
        <v>1015</v>
      </c>
      <c r="F151" s="350" t="s">
        <v>860</v>
      </c>
      <c r="G151" s="350" t="s">
        <v>862</v>
      </c>
    </row>
    <row r="152" spans="1:7" x14ac:dyDescent="0.3">
      <c r="A152" s="352">
        <v>2001</v>
      </c>
      <c r="B152" s="529">
        <v>182527</v>
      </c>
      <c r="C152" s="529">
        <v>223580</v>
      </c>
      <c r="D152" s="528">
        <f>B152/C152</f>
        <v>0.81638339744163158</v>
      </c>
      <c r="E152" s="345">
        <v>478.1</v>
      </c>
      <c r="F152" s="509">
        <f t="shared" ref="F152:F174" si="29">E152/D152</f>
        <v>585.63170380272516</v>
      </c>
      <c r="G152" s="509">
        <f>F152*12</f>
        <v>7027.5804456327023</v>
      </c>
    </row>
    <row r="153" spans="1:7" x14ac:dyDescent="0.3">
      <c r="A153" s="352">
        <v>2002</v>
      </c>
      <c r="B153" s="529">
        <v>192691</v>
      </c>
      <c r="C153" s="529">
        <v>235773</v>
      </c>
      <c r="D153" s="528">
        <f t="shared" ref="D153:D174" si="30">B153/C153</f>
        <v>0.81727339432420165</v>
      </c>
      <c r="E153" s="345">
        <v>468.5</v>
      </c>
      <c r="F153" s="509">
        <f t="shared" si="29"/>
        <v>573.24758551255638</v>
      </c>
      <c r="G153" s="509">
        <f t="shared" ref="G153:G174" si="31">F153*12</f>
        <v>6878.9710261506771</v>
      </c>
    </row>
    <row r="154" spans="1:7" x14ac:dyDescent="0.3">
      <c r="A154" s="352">
        <v>2003</v>
      </c>
      <c r="B154" s="529">
        <v>204337</v>
      </c>
      <c r="C154" s="529">
        <v>245593</v>
      </c>
      <c r="D154" s="528">
        <f t="shared" si="30"/>
        <v>0.83201475612089926</v>
      </c>
      <c r="E154" s="345">
        <v>411</v>
      </c>
      <c r="F154" s="509">
        <f t="shared" si="29"/>
        <v>493.98162349452127</v>
      </c>
      <c r="G154" s="509">
        <f t="shared" si="31"/>
        <v>5927.7794819342553</v>
      </c>
    </row>
    <row r="155" spans="1:7" x14ac:dyDescent="0.3">
      <c r="A155" s="352">
        <v>2004</v>
      </c>
      <c r="B155" s="529">
        <v>227935</v>
      </c>
      <c r="C155" s="529">
        <v>257770</v>
      </c>
      <c r="D155" s="528">
        <f t="shared" si="30"/>
        <v>0.88425728362493694</v>
      </c>
      <c r="E155" s="345">
        <v>472</v>
      </c>
      <c r="F155" s="509">
        <f t="shared" si="29"/>
        <v>533.78129729966872</v>
      </c>
      <c r="G155" s="509">
        <f t="shared" si="31"/>
        <v>6405.3755675960247</v>
      </c>
    </row>
    <row r="156" spans="1:7" x14ac:dyDescent="0.3">
      <c r="A156" s="352">
        <v>2005</v>
      </c>
      <c r="B156" s="529">
        <v>250749</v>
      </c>
      <c r="C156" s="529">
        <v>273971</v>
      </c>
      <c r="D156" s="528">
        <f t="shared" si="30"/>
        <v>0.91523920414934423</v>
      </c>
      <c r="E156" s="345">
        <v>454.7</v>
      </c>
      <c r="F156" s="509">
        <f t="shared" si="29"/>
        <v>496.81001200403591</v>
      </c>
      <c r="G156" s="509">
        <f t="shared" si="31"/>
        <v>5961.7201440484314</v>
      </c>
    </row>
    <row r="157" spans="1:7" x14ac:dyDescent="0.3">
      <c r="A157" s="352">
        <v>2006</v>
      </c>
      <c r="B157" s="529">
        <v>290271</v>
      </c>
      <c r="C157" s="529">
        <v>294598</v>
      </c>
      <c r="D157" s="528">
        <f t="shared" si="30"/>
        <v>0.98531218813433896</v>
      </c>
      <c r="E157" s="345">
        <v>532.79999999999995</v>
      </c>
      <c r="F157" s="509">
        <f t="shared" si="29"/>
        <v>540.74232148578392</v>
      </c>
      <c r="G157" s="509">
        <f t="shared" si="31"/>
        <v>6488.9078578294066</v>
      </c>
    </row>
    <row r="158" spans="1:7" x14ac:dyDescent="0.3">
      <c r="A158" s="352">
        <v>2007</v>
      </c>
      <c r="B158" s="505">
        <v>319693</v>
      </c>
      <c r="C158" s="505">
        <v>319693</v>
      </c>
      <c r="D158" s="528">
        <f t="shared" si="30"/>
        <v>1</v>
      </c>
      <c r="E158" s="347">
        <v>550.18442072683501</v>
      </c>
      <c r="F158" s="509">
        <f t="shared" si="29"/>
        <v>550.18442072683501</v>
      </c>
      <c r="G158" s="509">
        <f t="shared" si="31"/>
        <v>6602.2130487220202</v>
      </c>
    </row>
    <row r="159" spans="1:7" x14ac:dyDescent="0.3">
      <c r="A159" s="352">
        <v>2008</v>
      </c>
      <c r="B159" s="505">
        <v>352719</v>
      </c>
      <c r="C159" s="505">
        <v>348870</v>
      </c>
      <c r="D159" s="528">
        <f t="shared" si="30"/>
        <v>1.0110327629202855</v>
      </c>
      <c r="E159" s="347">
        <v>620.47869650328414</v>
      </c>
      <c r="F159" s="509">
        <f t="shared" si="29"/>
        <v>613.70780380161182</v>
      </c>
      <c r="G159" s="509">
        <f t="shared" si="31"/>
        <v>7364.4936456193418</v>
      </c>
    </row>
    <row r="160" spans="1:7" x14ac:dyDescent="0.3">
      <c r="A160" s="352">
        <v>2009</v>
      </c>
      <c r="B160" s="505">
        <v>363943</v>
      </c>
      <c r="C160" s="505">
        <v>352693</v>
      </c>
      <c r="D160" s="528">
        <f t="shared" si="30"/>
        <v>1.0318974292089722</v>
      </c>
      <c r="E160" s="347">
        <v>759.79070629183366</v>
      </c>
      <c r="F160" s="509">
        <f t="shared" si="29"/>
        <v>736.30448607113112</v>
      </c>
      <c r="G160" s="509">
        <f t="shared" si="31"/>
        <v>8835.6538328535735</v>
      </c>
    </row>
    <row r="161" spans="1:7" x14ac:dyDescent="0.3">
      <c r="A161" s="352">
        <v>2010</v>
      </c>
      <c r="B161" s="505">
        <v>416784</v>
      </c>
      <c r="C161" s="505">
        <v>382081</v>
      </c>
      <c r="D161" s="528">
        <f t="shared" si="30"/>
        <v>1.0908262907603361</v>
      </c>
      <c r="E161" s="347">
        <v>742.66588502300272</v>
      </c>
      <c r="F161" s="509">
        <f t="shared" si="29"/>
        <v>680.8287362650052</v>
      </c>
      <c r="G161" s="509">
        <f t="shared" si="31"/>
        <v>8169.944835180062</v>
      </c>
    </row>
    <row r="162" spans="1:7" x14ac:dyDescent="0.3">
      <c r="A162" s="352">
        <v>2011</v>
      </c>
      <c r="B162" s="505">
        <v>473049</v>
      </c>
      <c r="C162" s="505">
        <v>406256</v>
      </c>
      <c r="D162" s="528">
        <f t="shared" si="30"/>
        <v>1.1644111102359103</v>
      </c>
      <c r="E162" s="347">
        <v>856.61495197887803</v>
      </c>
      <c r="F162" s="509">
        <f t="shared" si="29"/>
        <v>735.66367105972336</v>
      </c>
      <c r="G162" s="509">
        <f t="shared" si="31"/>
        <v>8827.9640527166812</v>
      </c>
    </row>
    <row r="163" spans="1:7" x14ac:dyDescent="0.3">
      <c r="A163" s="352">
        <v>2012</v>
      </c>
      <c r="B163" s="505">
        <v>508131</v>
      </c>
      <c r="C163" s="505">
        <v>431199</v>
      </c>
      <c r="D163" s="528">
        <f t="shared" si="30"/>
        <v>1.1784141428899417</v>
      </c>
      <c r="E163" s="347">
        <v>886.95300922951469</v>
      </c>
      <c r="F163" s="509">
        <f t="shared" si="29"/>
        <v>752.6666364121802</v>
      </c>
      <c r="G163" s="509">
        <f t="shared" si="31"/>
        <v>9031.9996369461624</v>
      </c>
    </row>
    <row r="164" spans="1:7" x14ac:dyDescent="0.3">
      <c r="A164" s="352">
        <v>2013</v>
      </c>
      <c r="B164" s="505">
        <v>543556</v>
      </c>
      <c r="C164" s="505">
        <v>456435</v>
      </c>
      <c r="D164" s="528">
        <f t="shared" si="30"/>
        <v>1.1908727420114584</v>
      </c>
      <c r="E164" s="347">
        <v>890.40580056848967</v>
      </c>
      <c r="F164" s="509">
        <f t="shared" si="29"/>
        <v>747.69181387470394</v>
      </c>
      <c r="G164" s="509">
        <f t="shared" si="31"/>
        <v>8972.3017664964464</v>
      </c>
    </row>
    <row r="165" spans="1:7" x14ac:dyDescent="0.3">
      <c r="A165" s="352">
        <v>2014</v>
      </c>
      <c r="B165" s="505">
        <v>570041</v>
      </c>
      <c r="C165" s="505">
        <v>467308</v>
      </c>
      <c r="D165" s="528">
        <f t="shared" si="30"/>
        <v>1.2198400198584232</v>
      </c>
      <c r="E165" s="347">
        <v>902.43366369417936</v>
      </c>
      <c r="F165" s="509">
        <f t="shared" si="29"/>
        <v>739.79673482012618</v>
      </c>
      <c r="G165" s="509">
        <f t="shared" si="31"/>
        <v>8877.5608178415132</v>
      </c>
    </row>
    <row r="166" spans="1:7" x14ac:dyDescent="0.3">
      <c r="A166" s="352">
        <v>2015</v>
      </c>
      <c r="B166" s="505">
        <v>604416</v>
      </c>
      <c r="C166" s="505">
        <v>482506</v>
      </c>
      <c r="D166" s="528">
        <f t="shared" si="30"/>
        <v>1.2526600705483455</v>
      </c>
      <c r="E166" s="347">
        <v>935.01983806681767</v>
      </c>
      <c r="F166" s="509">
        <f t="shared" si="29"/>
        <v>746.42743075343458</v>
      </c>
      <c r="G166" s="509">
        <f t="shared" si="31"/>
        <v>8957.1291690412145</v>
      </c>
    </row>
    <row r="167" spans="1:7" x14ac:dyDescent="0.3">
      <c r="A167" s="352">
        <v>2016</v>
      </c>
      <c r="B167" s="505">
        <v>647668</v>
      </c>
      <c r="C167" s="505">
        <v>501581</v>
      </c>
      <c r="D167" s="528">
        <f t="shared" si="30"/>
        <v>1.2912530578311379</v>
      </c>
      <c r="E167" s="347">
        <v>952.31851458135816</v>
      </c>
      <c r="F167" s="509">
        <f t="shared" si="29"/>
        <v>737.51501210841388</v>
      </c>
      <c r="G167" s="509">
        <f t="shared" si="31"/>
        <v>8850.1801453009666</v>
      </c>
    </row>
    <row r="168" spans="1:7" x14ac:dyDescent="0.3">
      <c r="A168" s="352">
        <v>2017</v>
      </c>
      <c r="B168" s="505">
        <v>687989</v>
      </c>
      <c r="C168" s="505">
        <v>514215</v>
      </c>
      <c r="D168" s="528">
        <f t="shared" si="30"/>
        <v>1.337940355687796</v>
      </c>
      <c r="E168" s="347">
        <v>1047.4943889542537</v>
      </c>
      <c r="F168" s="509">
        <f t="shared" si="29"/>
        <v>782.91560942996409</v>
      </c>
      <c r="G168" s="509">
        <f t="shared" si="31"/>
        <v>9394.9873131595687</v>
      </c>
    </row>
    <row r="169" spans="1:7" x14ac:dyDescent="0.3">
      <c r="A169" s="352">
        <v>2018</v>
      </c>
      <c r="B169" s="505">
        <v>731588</v>
      </c>
      <c r="C169" s="505">
        <v>534626</v>
      </c>
      <c r="D169" s="528">
        <f t="shared" si="30"/>
        <v>1.3684108142888673</v>
      </c>
      <c r="E169" s="347">
        <v>1104.302014825138</v>
      </c>
      <c r="F169" s="509">
        <f t="shared" si="29"/>
        <v>806.99597174626194</v>
      </c>
      <c r="G169" s="509">
        <f t="shared" si="31"/>
        <v>9683.9516609551429</v>
      </c>
    </row>
    <row r="170" spans="1:7" x14ac:dyDescent="0.3">
      <c r="A170" s="352">
        <v>2019</v>
      </c>
      <c r="B170" s="505">
        <v>761984</v>
      </c>
      <c r="C170" s="505">
        <v>546605</v>
      </c>
      <c r="D170" s="528">
        <f t="shared" si="30"/>
        <v>1.3940304241637014</v>
      </c>
      <c r="E170" s="347">
        <v>1145.9606654457461</v>
      </c>
      <c r="F170" s="509">
        <f t="shared" si="29"/>
        <v>822.04853321850862</v>
      </c>
      <c r="G170" s="509">
        <f t="shared" si="31"/>
        <v>9864.5823986221039</v>
      </c>
    </row>
    <row r="171" spans="1:7" x14ac:dyDescent="0.3">
      <c r="A171" s="352">
        <v>2020</v>
      </c>
      <c r="B171" s="505">
        <v>703915</v>
      </c>
      <c r="C171" s="505">
        <v>486843</v>
      </c>
      <c r="D171" s="528">
        <f t="shared" si="30"/>
        <v>1.4458768021723636</v>
      </c>
      <c r="E171" s="347">
        <v>992.55044932665362</v>
      </c>
      <c r="F171" s="509">
        <f t="shared" si="29"/>
        <v>686.46958567658885</v>
      </c>
      <c r="G171" s="509">
        <f t="shared" si="31"/>
        <v>8237.6350281190662</v>
      </c>
    </row>
    <row r="172" spans="1:7" x14ac:dyDescent="0.3">
      <c r="A172" s="352">
        <v>2021</v>
      </c>
      <c r="B172" s="505">
        <v>878281</v>
      </c>
      <c r="C172" s="505">
        <v>551898</v>
      </c>
      <c r="D172" s="528">
        <f t="shared" si="30"/>
        <v>1.5913828279863309</v>
      </c>
      <c r="E172" s="347">
        <v>1143.0128375434676</v>
      </c>
      <c r="F172" s="509">
        <f t="shared" si="29"/>
        <v>718.2513330182079</v>
      </c>
      <c r="G172" s="509">
        <f t="shared" si="31"/>
        <v>8619.0159962184953</v>
      </c>
    </row>
    <row r="173" spans="1:7" x14ac:dyDescent="0.3">
      <c r="A173" s="352">
        <v>2022</v>
      </c>
      <c r="B173" s="505">
        <v>943706</v>
      </c>
      <c r="C173" s="505">
        <v>567401</v>
      </c>
      <c r="D173" s="528">
        <f t="shared" si="30"/>
        <v>1.6632082072467267</v>
      </c>
      <c r="E173" s="347">
        <v>1332.1</v>
      </c>
      <c r="F173" s="509">
        <f t="shared" si="29"/>
        <v>800.92197368672021</v>
      </c>
      <c r="G173" s="509">
        <f t="shared" si="31"/>
        <v>9611.063684240642</v>
      </c>
    </row>
    <row r="174" spans="1:7" x14ac:dyDescent="0.3">
      <c r="A174" s="352">
        <v>2023</v>
      </c>
      <c r="B174" s="505">
        <v>999447</v>
      </c>
      <c r="C174" s="505">
        <v>565113</v>
      </c>
      <c r="D174" s="528">
        <f t="shared" si="30"/>
        <v>1.7685790275573203</v>
      </c>
      <c r="E174" s="347">
        <v>1386.4</v>
      </c>
      <c r="F174" s="509">
        <f t="shared" si="29"/>
        <v>783.9061633083096</v>
      </c>
      <c r="G174" s="509">
        <f t="shared" si="31"/>
        <v>9406.8739596997148</v>
      </c>
    </row>
  </sheetData>
  <mergeCells count="5">
    <mergeCell ref="A31:F32"/>
    <mergeCell ref="A35:D35"/>
    <mergeCell ref="A61:G62"/>
    <mergeCell ref="A88:G89"/>
    <mergeCell ref="A147:F148"/>
  </mergeCells>
  <pageMargins left="0.7" right="0.7" top="0.75" bottom="0.75" header="0.3" footer="0.3"/>
  <ignoredErrors>
    <ignoredError sqref="B6:B27" calculatedColumn="1"/>
    <ignoredError sqref="E65:E85" formulaRange="1"/>
  </ignoredErrors>
  <drawing r:id="rId1"/>
  <tableParts count="1">
    <tablePart r:id="rId2"/>
  </tableParts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0A085-DD42-40F2-B7EC-519446938ABD}">
  <dimension ref="A1:Y174"/>
  <sheetViews>
    <sheetView topLeftCell="A8" workbookViewId="0">
      <selection activeCell="B12" sqref="B12"/>
    </sheetView>
  </sheetViews>
  <sheetFormatPr baseColWidth="10" defaultRowHeight="14.4" x14ac:dyDescent="0.3"/>
  <cols>
    <col min="1" max="1" width="25.88671875" customWidth="1"/>
    <col min="2" max="2" width="21.6640625" customWidth="1"/>
    <col min="3" max="3" width="31.77734375" customWidth="1"/>
    <col min="4" max="4" width="35.88671875" customWidth="1"/>
    <col min="5" max="5" width="25.44140625" customWidth="1"/>
    <col min="6" max="6" width="26.109375" customWidth="1"/>
    <col min="7" max="7" width="20.77734375" customWidth="1"/>
    <col min="8" max="8" width="14.77734375" customWidth="1"/>
    <col min="9" max="9" width="15.109375" customWidth="1"/>
    <col min="10" max="10" width="15.5546875" customWidth="1"/>
    <col min="11" max="11" width="16.33203125" customWidth="1"/>
    <col min="12" max="12" width="16.21875" customWidth="1"/>
    <col min="13" max="13" width="15.33203125" customWidth="1"/>
    <col min="14" max="14" width="14.88671875" customWidth="1"/>
    <col min="15" max="15" width="16.77734375" customWidth="1"/>
    <col min="16" max="16" width="14.77734375" customWidth="1"/>
    <col min="17" max="17" width="18.109375" customWidth="1"/>
    <col min="18" max="23" width="19" bestFit="1" customWidth="1"/>
    <col min="24" max="24" width="16.33203125" customWidth="1"/>
  </cols>
  <sheetData>
    <row r="1" spans="1:6" ht="15.6" x14ac:dyDescent="0.3">
      <c r="A1" s="480" t="s">
        <v>1049</v>
      </c>
    </row>
    <row r="2" spans="1:6" ht="18" x14ac:dyDescent="0.35">
      <c r="A2" s="501" t="s">
        <v>1085</v>
      </c>
    </row>
    <row r="3" spans="1:6" x14ac:dyDescent="0.3">
      <c r="A3" t="s">
        <v>1047</v>
      </c>
    </row>
    <row r="5" spans="1:6" ht="18.600000000000001" thickBot="1" x14ac:dyDescent="0.4">
      <c r="A5" s="488" t="s">
        <v>1035</v>
      </c>
      <c r="B5" s="489" t="s">
        <v>1009</v>
      </c>
      <c r="C5" s="490" t="s">
        <v>1108</v>
      </c>
      <c r="D5" s="490" t="s">
        <v>1109</v>
      </c>
      <c r="E5" s="491" t="s">
        <v>876</v>
      </c>
      <c r="F5" s="491" t="s">
        <v>862</v>
      </c>
    </row>
    <row r="6" spans="1:6" ht="18" x14ac:dyDescent="0.35">
      <c r="A6" s="352">
        <v>2001</v>
      </c>
      <c r="B6" s="525">
        <f>C37</f>
        <v>5094.5492400582971</v>
      </c>
      <c r="C6" s="527"/>
      <c r="D6" s="527"/>
      <c r="E6" s="525">
        <f>B122</f>
        <v>199634207.44190395</v>
      </c>
      <c r="F6" s="525">
        <f>G152</f>
        <v>8692.9744311800459</v>
      </c>
    </row>
    <row r="7" spans="1:6" ht="18" x14ac:dyDescent="0.35">
      <c r="A7" s="352">
        <v>2002</v>
      </c>
      <c r="B7" s="525">
        <f t="shared" ref="B7:B27" si="0">C38</f>
        <v>5276.4355611076417</v>
      </c>
      <c r="C7" s="527"/>
      <c r="D7" s="527"/>
      <c r="E7" s="525">
        <f t="shared" ref="E7:E28" si="1">B123</f>
        <v>223486735.30352327</v>
      </c>
      <c r="F7" s="525">
        <f t="shared" ref="F7:F28" si="2">G153</f>
        <v>9724.5304388892055</v>
      </c>
    </row>
    <row r="8" spans="1:6" ht="18" x14ac:dyDescent="0.35">
      <c r="A8" s="352">
        <v>2003</v>
      </c>
      <c r="B8" s="525">
        <f t="shared" si="0"/>
        <v>5425.4091193004379</v>
      </c>
      <c r="C8" s="527"/>
      <c r="D8" s="527"/>
      <c r="E8" s="525">
        <f t="shared" si="1"/>
        <v>302977525.00658536</v>
      </c>
      <c r="F8" s="525">
        <f t="shared" si="2"/>
        <v>8244.0845544370313</v>
      </c>
    </row>
    <row r="9" spans="1:6" ht="18" x14ac:dyDescent="0.35">
      <c r="A9" s="352">
        <v>2004</v>
      </c>
      <c r="B9" s="525">
        <f t="shared" si="0"/>
        <v>5125.729752238185</v>
      </c>
      <c r="C9" s="527">
        <f>+H65</f>
        <v>58.293370893673504</v>
      </c>
      <c r="D9" s="527">
        <f>+G65</f>
        <v>8.606288244485901</v>
      </c>
      <c r="E9" s="525">
        <f t="shared" si="1"/>
        <v>273225917.11318547</v>
      </c>
      <c r="F9" s="525">
        <f t="shared" si="2"/>
        <v>7234.5460065369516</v>
      </c>
    </row>
    <row r="10" spans="1:6" ht="18" x14ac:dyDescent="0.35">
      <c r="A10" s="352">
        <v>2005</v>
      </c>
      <c r="B10" s="525">
        <f t="shared" si="0"/>
        <v>5480.8411409535711</v>
      </c>
      <c r="C10" s="527">
        <f t="shared" ref="C10:C28" si="3">+H66</f>
        <v>56.898902837916516</v>
      </c>
      <c r="D10" s="527">
        <f t="shared" ref="D10:D28" si="4">+G66</f>
        <v>6.2601726910673063</v>
      </c>
      <c r="E10" s="525">
        <f t="shared" si="1"/>
        <v>270912854.82681119</v>
      </c>
      <c r="F10" s="525">
        <f t="shared" si="2"/>
        <v>6605.4862735245206</v>
      </c>
    </row>
    <row r="11" spans="1:6" ht="18" x14ac:dyDescent="0.35">
      <c r="A11" s="352">
        <v>2006</v>
      </c>
      <c r="B11" s="525">
        <f t="shared" si="0"/>
        <v>5716.4272329793885</v>
      </c>
      <c r="C11" s="527">
        <f t="shared" si="3"/>
        <v>50.919942231809628</v>
      </c>
      <c r="D11" s="527">
        <f t="shared" si="4"/>
        <v>7.2934081595013298</v>
      </c>
      <c r="E11" s="525">
        <f t="shared" si="1"/>
        <v>310943045.90835649</v>
      </c>
      <c r="F11" s="525">
        <f t="shared" si="2"/>
        <v>6558.3274801823136</v>
      </c>
    </row>
    <row r="12" spans="1:6" ht="18" x14ac:dyDescent="0.35">
      <c r="A12" s="352">
        <v>2007</v>
      </c>
      <c r="B12" s="525">
        <f t="shared" si="0"/>
        <v>6262.0861961274204</v>
      </c>
      <c r="C12" s="527">
        <f t="shared" si="3"/>
        <v>42.489667665779294</v>
      </c>
      <c r="D12" s="527">
        <f t="shared" si="4"/>
        <v>5.2821407421761108</v>
      </c>
      <c r="E12" s="525">
        <f t="shared" si="1"/>
        <v>400632813</v>
      </c>
      <c r="F12" s="525">
        <f t="shared" si="2"/>
        <v>7079.7667517889622</v>
      </c>
    </row>
    <row r="13" spans="1:6" ht="18" x14ac:dyDescent="0.35">
      <c r="A13" s="352">
        <v>2008</v>
      </c>
      <c r="B13" s="525">
        <f t="shared" si="0"/>
        <v>6724.597126795753</v>
      </c>
      <c r="C13" s="527">
        <f t="shared" si="3"/>
        <v>33.250445677412216</v>
      </c>
      <c r="D13" s="527">
        <f t="shared" si="4"/>
        <v>6.0643259751783534</v>
      </c>
      <c r="E13" s="525">
        <f t="shared" si="1"/>
        <v>502902926.44477856</v>
      </c>
      <c r="F13" s="525">
        <f t="shared" si="2"/>
        <v>7555.2411332406909</v>
      </c>
    </row>
    <row r="14" spans="1:6" ht="18" x14ac:dyDescent="0.35">
      <c r="A14" s="352">
        <v>2009</v>
      </c>
      <c r="B14" s="525">
        <f t="shared" si="0"/>
        <v>6878.7674370185305</v>
      </c>
      <c r="C14" s="527">
        <f t="shared" si="3"/>
        <v>29.913723824699584</v>
      </c>
      <c r="D14" s="527">
        <f t="shared" si="4"/>
        <v>4.2056725831467867</v>
      </c>
      <c r="E14" s="525">
        <f t="shared" si="1"/>
        <v>543166739.75701523</v>
      </c>
      <c r="F14" s="525">
        <f t="shared" si="2"/>
        <v>7800.1716134729868</v>
      </c>
    </row>
    <row r="15" spans="1:6" ht="18" x14ac:dyDescent="0.35">
      <c r="A15" s="352">
        <v>2010</v>
      </c>
      <c r="B15" s="525">
        <f t="shared" si="0"/>
        <v>7284</v>
      </c>
      <c r="C15" s="527">
        <f t="shared" si="3"/>
        <v>31.761073319367224</v>
      </c>
      <c r="D15" s="527">
        <f t="shared" si="4"/>
        <v>3.8567087944598524</v>
      </c>
      <c r="E15" s="525">
        <f t="shared" si="1"/>
        <v>685696017.32436752</v>
      </c>
      <c r="F15" s="525">
        <f t="shared" si="2"/>
        <v>7783.8855069918336</v>
      </c>
    </row>
    <row r="16" spans="1:6" ht="18" x14ac:dyDescent="0.35">
      <c r="A16" s="352">
        <v>2011</v>
      </c>
      <c r="B16" s="525">
        <f t="shared" si="0"/>
        <v>7653</v>
      </c>
      <c r="C16" s="527">
        <f t="shared" si="3"/>
        <v>24.206949825174895</v>
      </c>
      <c r="D16" s="527">
        <f t="shared" si="4"/>
        <v>2.0508760805772663</v>
      </c>
      <c r="E16" s="525">
        <f t="shared" si="1"/>
        <v>751867086.30620778</v>
      </c>
      <c r="F16" s="525">
        <f t="shared" si="2"/>
        <v>7733.6436019695475</v>
      </c>
    </row>
    <row r="17" spans="1:6" ht="18" x14ac:dyDescent="0.35">
      <c r="A17" s="352">
        <v>2012</v>
      </c>
      <c r="B17" s="525">
        <f t="shared" si="0"/>
        <v>8320</v>
      </c>
      <c r="C17" s="527">
        <f t="shared" si="3"/>
        <v>20.902794536236371</v>
      </c>
      <c r="D17" s="527">
        <f t="shared" si="4"/>
        <v>3.4221129607014773</v>
      </c>
      <c r="E17" s="525">
        <f t="shared" si="1"/>
        <v>728896394.80438089</v>
      </c>
      <c r="F17" s="525">
        <f t="shared" si="2"/>
        <v>8590.316495829984</v>
      </c>
    </row>
    <row r="18" spans="1:6" ht="18" x14ac:dyDescent="0.35">
      <c r="A18" s="352">
        <v>2013</v>
      </c>
      <c r="B18" s="525">
        <f t="shared" si="0"/>
        <v>8559</v>
      </c>
      <c r="C18" s="527">
        <f t="shared" si="3"/>
        <v>20.701216591435706</v>
      </c>
      <c r="D18" s="527">
        <f t="shared" si="4"/>
        <v>1.5785380970895448</v>
      </c>
      <c r="E18" s="525">
        <f t="shared" si="1"/>
        <v>722247931.28249681</v>
      </c>
      <c r="F18" s="525">
        <f t="shared" si="2"/>
        <v>8418.4213872479831</v>
      </c>
    </row>
    <row r="19" spans="1:6" ht="18" x14ac:dyDescent="0.35">
      <c r="A19" s="352">
        <v>2014</v>
      </c>
      <c r="B19" s="525">
        <f t="shared" si="0"/>
        <v>8663</v>
      </c>
      <c r="C19" s="527">
        <f t="shared" si="3"/>
        <v>19.246399730911083</v>
      </c>
      <c r="D19" s="527">
        <f t="shared" si="4"/>
        <v>1.9196215171257449</v>
      </c>
      <c r="E19" s="525">
        <f t="shared" si="1"/>
        <v>672229535.90995371</v>
      </c>
      <c r="F19" s="525">
        <f t="shared" si="2"/>
        <v>8912.9097838576927</v>
      </c>
    </row>
    <row r="20" spans="1:6" ht="18" x14ac:dyDescent="0.35">
      <c r="A20" s="352">
        <v>2015</v>
      </c>
      <c r="B20" s="525">
        <f t="shared" si="0"/>
        <v>8943</v>
      </c>
      <c r="C20" s="527">
        <f t="shared" si="3"/>
        <v>16.717694866741745</v>
      </c>
      <c r="D20" s="527">
        <f t="shared" si="4"/>
        <v>2.1656496937333229</v>
      </c>
      <c r="E20" s="525">
        <f t="shared" si="1"/>
        <v>727662108.84944999</v>
      </c>
      <c r="F20" s="525">
        <f t="shared" si="2"/>
        <v>9579.5692597317138</v>
      </c>
    </row>
    <row r="21" spans="1:6" ht="18" x14ac:dyDescent="0.35">
      <c r="A21" s="352">
        <v>2016</v>
      </c>
      <c r="B21" s="525">
        <f t="shared" si="0"/>
        <v>9035</v>
      </c>
      <c r="C21" s="527">
        <f t="shared" si="3"/>
        <v>12.70730385794784</v>
      </c>
      <c r="D21" s="527">
        <f t="shared" si="4"/>
        <v>1.0043696123836761</v>
      </c>
      <c r="E21" s="525">
        <f t="shared" si="1"/>
        <v>753771264.84176075</v>
      </c>
      <c r="F21" s="525">
        <f t="shared" si="2"/>
        <v>10381.751285384104</v>
      </c>
    </row>
    <row r="22" spans="1:6" ht="18" x14ac:dyDescent="0.35">
      <c r="A22" s="352">
        <v>2017</v>
      </c>
      <c r="B22" s="525">
        <f t="shared" si="0"/>
        <v>9115</v>
      </c>
      <c r="C22" s="527">
        <f t="shared" si="3"/>
        <v>14.952314736109962</v>
      </c>
      <c r="D22" s="527">
        <f t="shared" si="4"/>
        <v>1.3243569937038013</v>
      </c>
      <c r="E22" s="525">
        <f t="shared" si="1"/>
        <v>899469200.39302957</v>
      </c>
      <c r="F22" s="525">
        <f t="shared" si="2"/>
        <v>9984.1562224292829</v>
      </c>
    </row>
    <row r="23" spans="1:6" ht="18" x14ac:dyDescent="0.35">
      <c r="A23" s="352">
        <v>2018</v>
      </c>
      <c r="B23" s="525">
        <f t="shared" si="0"/>
        <v>9319</v>
      </c>
      <c r="C23" s="527">
        <f t="shared" si="3"/>
        <v>10.189557057363029</v>
      </c>
      <c r="D23" s="527">
        <f t="shared" si="4"/>
        <v>0.57872889511045023</v>
      </c>
      <c r="E23" s="525">
        <f t="shared" si="1"/>
        <v>836429557.29428363</v>
      </c>
      <c r="F23" s="525">
        <f t="shared" si="2"/>
        <v>10432.600167641962</v>
      </c>
    </row>
    <row r="24" spans="1:6" ht="18" x14ac:dyDescent="0.35">
      <c r="A24" s="352">
        <v>2019</v>
      </c>
      <c r="B24" s="525">
        <f t="shared" si="0"/>
        <v>9375</v>
      </c>
      <c r="C24" s="527">
        <f t="shared" si="3"/>
        <v>8.4617009262576524</v>
      </c>
      <c r="D24" s="527">
        <f t="shared" si="4"/>
        <v>0.23623128040626265</v>
      </c>
      <c r="E24" s="525">
        <f t="shared" si="1"/>
        <v>812515575.45144665</v>
      </c>
      <c r="F24" s="525">
        <f t="shared" si="2"/>
        <v>10360.742981315292</v>
      </c>
    </row>
    <row r="25" spans="1:6" ht="18" x14ac:dyDescent="0.35">
      <c r="A25" s="352">
        <v>2020</v>
      </c>
      <c r="B25" s="525">
        <f t="shared" si="0"/>
        <v>8656</v>
      </c>
      <c r="C25" s="527">
        <f t="shared" si="3"/>
        <v>14.218495460021177</v>
      </c>
      <c r="D25" s="527">
        <f t="shared" si="4"/>
        <v>0.7696328383401897</v>
      </c>
      <c r="E25" s="525">
        <f t="shared" si="1"/>
        <v>1043488193.7376826</v>
      </c>
      <c r="F25" s="525">
        <f t="shared" si="2"/>
        <v>9624.0417000066464</v>
      </c>
    </row>
    <row r="26" spans="1:6" ht="18" x14ac:dyDescent="0.35">
      <c r="A26" s="352">
        <v>2021</v>
      </c>
      <c r="B26" s="525">
        <f t="shared" si="0"/>
        <v>9863</v>
      </c>
      <c r="C26" s="527">
        <f t="shared" si="3"/>
        <v>11.256676703374488</v>
      </c>
      <c r="D26" s="527">
        <f t="shared" si="4"/>
        <v>0.14232586220612772</v>
      </c>
      <c r="E26" s="525">
        <f t="shared" si="1"/>
        <v>1215154477.5604081</v>
      </c>
      <c r="F26" s="525">
        <f t="shared" si="2"/>
        <v>9299.3059056316579</v>
      </c>
    </row>
    <row r="27" spans="1:6" ht="18" x14ac:dyDescent="0.35">
      <c r="A27" s="352">
        <v>2022</v>
      </c>
      <c r="B27" s="525">
        <f t="shared" si="0"/>
        <v>9979</v>
      </c>
      <c r="C27" s="527">
        <f t="shared" si="3"/>
        <v>12.132042000839807</v>
      </c>
      <c r="D27" s="527">
        <f t="shared" si="4"/>
        <v>0.82878021611712938</v>
      </c>
      <c r="E27" s="525">
        <f t="shared" si="1"/>
        <v>1146648387.096354</v>
      </c>
      <c r="F27" s="525">
        <f t="shared" si="2"/>
        <v>10225.057768415165</v>
      </c>
    </row>
    <row r="28" spans="1:6" ht="18" x14ac:dyDescent="0.35">
      <c r="A28" s="352">
        <v>2023</v>
      </c>
      <c r="B28" s="525"/>
      <c r="C28" s="527">
        <f t="shared" si="3"/>
        <v>15.346421652359936</v>
      </c>
      <c r="D28" s="527">
        <f t="shared" si="4"/>
        <v>0.71094597463286058</v>
      </c>
      <c r="E28" s="525">
        <f t="shared" si="1"/>
        <v>1069807542.6363938</v>
      </c>
      <c r="F28" s="525">
        <f t="shared" si="2"/>
        <v>10019.569226982523</v>
      </c>
    </row>
    <row r="31" spans="1:6" ht="14.4" customHeight="1" x14ac:dyDescent="0.3">
      <c r="A31" s="611" t="s">
        <v>1086</v>
      </c>
      <c r="B31" s="611"/>
      <c r="C31" s="611"/>
      <c r="D31" s="611"/>
      <c r="E31" s="611"/>
      <c r="F31" s="611"/>
    </row>
    <row r="32" spans="1:6" ht="13.8" customHeight="1" x14ac:dyDescent="0.3">
      <c r="A32" s="611"/>
      <c r="B32" s="611"/>
      <c r="C32" s="611"/>
      <c r="D32" s="611"/>
      <c r="E32" s="611"/>
      <c r="F32" s="611"/>
    </row>
    <row r="33" spans="1:7" ht="13.8" customHeight="1" x14ac:dyDescent="0.3">
      <c r="A33" s="347" t="s">
        <v>1051</v>
      </c>
      <c r="B33" s="347"/>
      <c r="C33" s="347"/>
      <c r="D33" s="347"/>
      <c r="E33" s="347"/>
      <c r="F33" s="347"/>
    </row>
    <row r="34" spans="1:7" ht="13.8" customHeight="1" x14ac:dyDescent="0.3">
      <c r="A34" s="347"/>
      <c r="B34" s="347"/>
      <c r="C34" s="347"/>
      <c r="D34" s="347"/>
      <c r="E34" s="347"/>
      <c r="F34" s="347"/>
    </row>
    <row r="35" spans="1:7" x14ac:dyDescent="0.3">
      <c r="A35" s="537" t="s">
        <v>1054</v>
      </c>
      <c r="B35" s="537"/>
      <c r="C35" s="537"/>
      <c r="D35" s="537"/>
      <c r="F35" s="504"/>
    </row>
    <row r="36" spans="1:7" x14ac:dyDescent="0.3">
      <c r="B36" t="s">
        <v>1055</v>
      </c>
      <c r="C36" t="s">
        <v>1056</v>
      </c>
      <c r="D36" t="s">
        <v>875</v>
      </c>
      <c r="F36" s="504"/>
    </row>
    <row r="37" spans="1:7" x14ac:dyDescent="0.3">
      <c r="A37">
        <v>2001</v>
      </c>
      <c r="B37" s="347">
        <v>2941</v>
      </c>
      <c r="C37" s="347">
        <f>B37*$D$48</f>
        <v>5094.5492400582971</v>
      </c>
      <c r="F37" s="504"/>
    </row>
    <row r="38" spans="1:7" x14ac:dyDescent="0.3">
      <c r="A38">
        <v>2002</v>
      </c>
      <c r="B38" s="347">
        <v>3046</v>
      </c>
      <c r="C38" s="347">
        <f t="shared" ref="C38:C45" si="5">B38*$D$48</f>
        <v>5276.4355611076417</v>
      </c>
      <c r="F38" s="504"/>
    </row>
    <row r="39" spans="1:7" x14ac:dyDescent="0.3">
      <c r="A39">
        <v>2003</v>
      </c>
      <c r="B39" s="347">
        <v>3132</v>
      </c>
      <c r="C39" s="347">
        <f t="shared" si="5"/>
        <v>5425.4091193004379</v>
      </c>
      <c r="F39" s="504"/>
    </row>
    <row r="40" spans="1:7" x14ac:dyDescent="0.3">
      <c r="A40">
        <v>2004</v>
      </c>
      <c r="B40" s="347">
        <v>2959</v>
      </c>
      <c r="C40" s="347">
        <f t="shared" si="5"/>
        <v>5125.729752238185</v>
      </c>
      <c r="F40" s="504"/>
    </row>
    <row r="41" spans="1:7" x14ac:dyDescent="0.3">
      <c r="A41">
        <v>2005</v>
      </c>
      <c r="B41" s="347">
        <v>3164</v>
      </c>
      <c r="C41" s="347">
        <f t="shared" si="5"/>
        <v>5480.8411409535711</v>
      </c>
      <c r="F41" s="504"/>
    </row>
    <row r="42" spans="1:7" x14ac:dyDescent="0.3">
      <c r="A42">
        <v>2006</v>
      </c>
      <c r="B42" s="347">
        <v>3300</v>
      </c>
      <c r="C42" s="347">
        <f t="shared" si="5"/>
        <v>5716.4272329793885</v>
      </c>
      <c r="F42" s="504"/>
    </row>
    <row r="43" spans="1:7" x14ac:dyDescent="0.3">
      <c r="A43">
        <v>2007</v>
      </c>
      <c r="B43" s="347">
        <v>3615</v>
      </c>
      <c r="C43" s="347">
        <f t="shared" si="5"/>
        <v>6262.0861961274204</v>
      </c>
      <c r="F43" s="504"/>
    </row>
    <row r="44" spans="1:7" x14ac:dyDescent="0.3">
      <c r="A44">
        <v>2008</v>
      </c>
      <c r="B44" s="347">
        <v>3882</v>
      </c>
      <c r="C44" s="347">
        <f t="shared" si="5"/>
        <v>6724.597126795753</v>
      </c>
      <c r="F44" s="504"/>
      <c r="G44" s="504"/>
    </row>
    <row r="45" spans="1:7" x14ac:dyDescent="0.3">
      <c r="A45">
        <v>2009</v>
      </c>
      <c r="B45" s="347">
        <v>3971</v>
      </c>
      <c r="C45" s="347">
        <f t="shared" si="5"/>
        <v>6878.7674370185305</v>
      </c>
      <c r="F45" s="504"/>
      <c r="G45" s="504"/>
    </row>
    <row r="46" spans="1:7" x14ac:dyDescent="0.3">
      <c r="A46">
        <v>2010</v>
      </c>
      <c r="B46" s="347">
        <v>4257</v>
      </c>
      <c r="C46" s="347">
        <v>7284</v>
      </c>
      <c r="F46" s="504"/>
      <c r="G46" s="504"/>
    </row>
    <row r="47" spans="1:7" x14ac:dyDescent="0.3">
      <c r="A47">
        <v>2011</v>
      </c>
      <c r="B47" s="347">
        <v>4458</v>
      </c>
      <c r="C47" s="347">
        <v>7653</v>
      </c>
      <c r="F47" s="504"/>
      <c r="G47" s="504"/>
    </row>
    <row r="48" spans="1:7" ht="15.6" x14ac:dyDescent="0.3">
      <c r="A48">
        <v>2012</v>
      </c>
      <c r="B48" s="347">
        <v>4803</v>
      </c>
      <c r="C48" s="347">
        <v>8320</v>
      </c>
      <c r="D48" s="508">
        <f>+C48/B48</f>
        <v>1.7322506766604207</v>
      </c>
      <c r="F48" s="504"/>
      <c r="G48" s="504"/>
    </row>
    <row r="49" spans="1:8" x14ac:dyDescent="0.3">
      <c r="A49">
        <v>2013</v>
      </c>
      <c r="B49" s="331"/>
      <c r="C49" s="347">
        <v>8559</v>
      </c>
      <c r="F49" s="504"/>
      <c r="G49" s="504"/>
    </row>
    <row r="50" spans="1:8" x14ac:dyDescent="0.3">
      <c r="A50">
        <v>2014</v>
      </c>
      <c r="B50" s="331"/>
      <c r="C50" s="347">
        <v>8663</v>
      </c>
      <c r="F50" s="504"/>
      <c r="G50" s="504"/>
    </row>
    <row r="51" spans="1:8" x14ac:dyDescent="0.3">
      <c r="A51">
        <v>2015</v>
      </c>
      <c r="B51" s="331"/>
      <c r="C51" s="347">
        <v>8943</v>
      </c>
      <c r="F51" s="504"/>
      <c r="G51" s="504"/>
    </row>
    <row r="52" spans="1:8" x14ac:dyDescent="0.3">
      <c r="A52">
        <v>2016</v>
      </c>
      <c r="C52" s="347">
        <v>9035</v>
      </c>
      <c r="F52" s="504"/>
      <c r="G52" s="504"/>
    </row>
    <row r="53" spans="1:8" x14ac:dyDescent="0.3">
      <c r="A53">
        <v>2017</v>
      </c>
      <c r="C53" s="347">
        <v>9115</v>
      </c>
      <c r="F53" s="504"/>
      <c r="G53" s="504"/>
    </row>
    <row r="54" spans="1:8" x14ac:dyDescent="0.3">
      <c r="A54">
        <v>2018</v>
      </c>
      <c r="C54" s="347">
        <v>9319</v>
      </c>
      <c r="F54" s="504"/>
      <c r="G54" s="504"/>
    </row>
    <row r="55" spans="1:8" x14ac:dyDescent="0.3">
      <c r="A55">
        <v>2019</v>
      </c>
      <c r="C55" s="347">
        <v>9375</v>
      </c>
      <c r="F55" s="504"/>
      <c r="G55" s="504"/>
    </row>
    <row r="56" spans="1:8" x14ac:dyDescent="0.3">
      <c r="A56">
        <v>2020</v>
      </c>
      <c r="C56" s="347">
        <v>8656</v>
      </c>
      <c r="F56" s="504"/>
      <c r="G56" s="504"/>
    </row>
    <row r="57" spans="1:8" x14ac:dyDescent="0.3">
      <c r="A57">
        <v>2021</v>
      </c>
      <c r="C57" s="347">
        <v>9863</v>
      </c>
      <c r="F57" s="504"/>
      <c r="G57" s="504"/>
    </row>
    <row r="58" spans="1:8" ht="13.2" customHeight="1" x14ac:dyDescent="0.3">
      <c r="A58">
        <v>2022</v>
      </c>
      <c r="C58" s="347">
        <v>9979</v>
      </c>
      <c r="F58" s="504"/>
      <c r="G58" s="504"/>
    </row>
    <row r="59" spans="1:8" ht="13.2" customHeight="1" x14ac:dyDescent="0.3">
      <c r="B59" s="347"/>
      <c r="C59" s="347"/>
      <c r="D59" s="347"/>
      <c r="E59" s="504"/>
      <c r="F59" s="504"/>
      <c r="G59" s="504"/>
    </row>
    <row r="61" spans="1:8" x14ac:dyDescent="0.3">
      <c r="A61" s="564" t="s">
        <v>1087</v>
      </c>
      <c r="B61" s="564"/>
      <c r="C61" s="564"/>
      <c r="D61" s="564"/>
      <c r="E61" s="564"/>
      <c r="F61" s="564"/>
      <c r="G61" s="564"/>
    </row>
    <row r="62" spans="1:8" x14ac:dyDescent="0.3">
      <c r="A62" s="564"/>
      <c r="B62" s="564"/>
      <c r="C62" s="564"/>
      <c r="D62" s="564"/>
      <c r="E62" s="564"/>
      <c r="F62" s="564"/>
      <c r="G62" s="564"/>
    </row>
    <row r="64" spans="1:8" ht="15" thickBot="1" x14ac:dyDescent="0.35">
      <c r="A64" s="339" t="s">
        <v>1035</v>
      </c>
      <c r="B64" s="339" t="s">
        <v>1041</v>
      </c>
      <c r="C64" s="339" t="s">
        <v>1042</v>
      </c>
      <c r="D64" s="339" t="s">
        <v>1043</v>
      </c>
      <c r="E64" s="339" t="s">
        <v>123</v>
      </c>
      <c r="F64" s="340" t="s">
        <v>1044</v>
      </c>
      <c r="G64" s="339" t="s">
        <v>1045</v>
      </c>
      <c r="H64" s="339" t="s">
        <v>1046</v>
      </c>
    </row>
    <row r="65" spans="1:8" x14ac:dyDescent="0.3">
      <c r="A65">
        <v>2004</v>
      </c>
      <c r="B65" s="416">
        <v>98160.29</v>
      </c>
      <c r="C65" s="416">
        <v>566713.35</v>
      </c>
      <c r="D65" s="416">
        <v>475691.11</v>
      </c>
      <c r="E65" s="416">
        <f t="shared" ref="E65:E67" si="6">+SUM(B65:D65)</f>
        <v>1140564.75</v>
      </c>
      <c r="F65" s="500">
        <f t="shared" ref="F65:F67" si="7">+C65/E65 *100</f>
        <v>49.687082649187602</v>
      </c>
      <c r="G65" s="362">
        <f t="shared" ref="G65:G67" si="8">+B65/E65 *100</f>
        <v>8.606288244485901</v>
      </c>
      <c r="H65" s="403">
        <f t="shared" ref="H65:H67" si="9">+SUM(F65:G65)</f>
        <v>58.293370893673504</v>
      </c>
    </row>
    <row r="66" spans="1:8" x14ac:dyDescent="0.3">
      <c r="A66">
        <v>2005</v>
      </c>
      <c r="B66" s="416">
        <v>72261.789999999994</v>
      </c>
      <c r="C66" s="416">
        <v>584527.85</v>
      </c>
      <c r="D66" s="416">
        <v>497520.21</v>
      </c>
      <c r="E66" s="416">
        <f t="shared" si="6"/>
        <v>1154309.8500000001</v>
      </c>
      <c r="F66" s="500">
        <f t="shared" si="7"/>
        <v>50.638730146849213</v>
      </c>
      <c r="G66" s="362">
        <f t="shared" si="8"/>
        <v>6.2601726910673063</v>
      </c>
      <c r="H66" s="403">
        <f t="shared" si="9"/>
        <v>56.898902837916516</v>
      </c>
    </row>
    <row r="67" spans="1:8" x14ac:dyDescent="0.3">
      <c r="A67">
        <v>2006</v>
      </c>
      <c r="B67" s="416">
        <v>84190.56</v>
      </c>
      <c r="C67" s="416">
        <v>503597.53</v>
      </c>
      <c r="D67" s="416">
        <v>566549.61</v>
      </c>
      <c r="E67" s="416">
        <f t="shared" si="6"/>
        <v>1154337.7000000002</v>
      </c>
      <c r="F67" s="500">
        <f t="shared" si="7"/>
        <v>43.626534072308296</v>
      </c>
      <c r="G67" s="362">
        <f t="shared" si="8"/>
        <v>7.2934081595013298</v>
      </c>
      <c r="H67" s="403">
        <f t="shared" si="9"/>
        <v>50.919942231809628</v>
      </c>
    </row>
    <row r="68" spans="1:8" x14ac:dyDescent="0.3">
      <c r="A68">
        <v>2007</v>
      </c>
      <c r="B68" s="416">
        <v>72239.45</v>
      </c>
      <c r="C68" s="416">
        <v>508856.43</v>
      </c>
      <c r="D68" s="416">
        <v>786521.03</v>
      </c>
      <c r="E68" s="416">
        <f>+SUM(B68:D68)</f>
        <v>1367616.9100000001</v>
      </c>
      <c r="F68" s="500">
        <f>+C68/E68 *100</f>
        <v>37.207526923603183</v>
      </c>
      <c r="G68" s="362">
        <f>+B68/E68 *100</f>
        <v>5.2821407421761108</v>
      </c>
      <c r="H68" s="403">
        <f>+SUM(F68:G68)</f>
        <v>42.489667665779294</v>
      </c>
    </row>
    <row r="69" spans="1:8" x14ac:dyDescent="0.3">
      <c r="A69">
        <v>2008</v>
      </c>
      <c r="B69" s="416">
        <v>80431.23</v>
      </c>
      <c r="C69" s="416">
        <v>360569.84</v>
      </c>
      <c r="D69" s="416">
        <v>885300.16</v>
      </c>
      <c r="E69" s="416">
        <f t="shared" ref="E69:E85" si="10">+SUM(B69:D69)</f>
        <v>1326301.23</v>
      </c>
      <c r="F69" s="500">
        <f t="shared" ref="F69:F85" si="11">+C69/E69 *100</f>
        <v>27.186119702233864</v>
      </c>
      <c r="G69" s="362">
        <f>+B69/E69 *100</f>
        <v>6.0643259751783534</v>
      </c>
      <c r="H69" s="403">
        <f t="shared" ref="H69:H85" si="12">+SUM(F69:G69)</f>
        <v>33.250445677412216</v>
      </c>
    </row>
    <row r="70" spans="1:8" x14ac:dyDescent="0.3">
      <c r="A70">
        <v>2009</v>
      </c>
      <c r="B70" s="416">
        <v>61665.8</v>
      </c>
      <c r="C70" s="416">
        <v>376945.07</v>
      </c>
      <c r="D70" s="416">
        <v>1027642.12</v>
      </c>
      <c r="E70" s="416">
        <f t="shared" si="10"/>
        <v>1466252.99</v>
      </c>
      <c r="F70" s="500">
        <f t="shared" si="11"/>
        <v>25.708051241552798</v>
      </c>
      <c r="G70" s="362">
        <f>+B70/E70 *100</f>
        <v>4.2056725831467867</v>
      </c>
      <c r="H70" s="403">
        <f t="shared" si="12"/>
        <v>29.913723824699584</v>
      </c>
    </row>
    <row r="71" spans="1:8" x14ac:dyDescent="0.3">
      <c r="A71">
        <v>2010</v>
      </c>
      <c r="B71" s="416">
        <v>55767.47</v>
      </c>
      <c r="C71" s="416">
        <v>403493.21</v>
      </c>
      <c r="D71" s="416">
        <v>986725.34</v>
      </c>
      <c r="E71" s="416">
        <f t="shared" si="10"/>
        <v>1445986.02</v>
      </c>
      <c r="F71" s="500">
        <f t="shared" si="11"/>
        <v>27.904364524907372</v>
      </c>
      <c r="G71" s="362">
        <f t="shared" ref="G71:G85" si="13">+B71/E71 *100</f>
        <v>3.8567087944598524</v>
      </c>
      <c r="H71" s="403">
        <f t="shared" si="12"/>
        <v>31.761073319367224</v>
      </c>
    </row>
    <row r="72" spans="1:8" x14ac:dyDescent="0.3">
      <c r="A72">
        <v>2011</v>
      </c>
      <c r="B72" s="416">
        <v>31386.86</v>
      </c>
      <c r="C72" s="416">
        <v>339079.28</v>
      </c>
      <c r="D72" s="416">
        <v>1159946.17</v>
      </c>
      <c r="E72" s="416">
        <f t="shared" si="10"/>
        <v>1530412.31</v>
      </c>
      <c r="F72" s="500">
        <f t="shared" si="11"/>
        <v>22.156073744597627</v>
      </c>
      <c r="G72" s="362">
        <f t="shared" si="13"/>
        <v>2.0508760805772663</v>
      </c>
      <c r="H72" s="403">
        <f t="shared" si="12"/>
        <v>24.206949825174895</v>
      </c>
    </row>
    <row r="73" spans="1:8" x14ac:dyDescent="0.3">
      <c r="A73">
        <v>2012</v>
      </c>
      <c r="B73" s="416">
        <v>51074.64</v>
      </c>
      <c r="C73" s="416">
        <v>260897.15</v>
      </c>
      <c r="D73" s="416">
        <v>1180516.6399999999</v>
      </c>
      <c r="E73" s="416">
        <f t="shared" si="10"/>
        <v>1492488.43</v>
      </c>
      <c r="F73" s="500">
        <f t="shared" si="11"/>
        <v>17.480681575534895</v>
      </c>
      <c r="G73" s="362">
        <f t="shared" si="13"/>
        <v>3.4221129607014773</v>
      </c>
      <c r="H73" s="403">
        <f t="shared" si="12"/>
        <v>20.902794536236371</v>
      </c>
    </row>
    <row r="74" spans="1:8" x14ac:dyDescent="0.3">
      <c r="A74">
        <v>2013</v>
      </c>
      <c r="B74" s="416">
        <v>23646.54</v>
      </c>
      <c r="C74" s="416">
        <v>286458.2</v>
      </c>
      <c r="D74" s="416">
        <v>1187897.75</v>
      </c>
      <c r="E74" s="416">
        <f t="shared" si="10"/>
        <v>1498002.49</v>
      </c>
      <c r="F74" s="500">
        <f t="shared" si="11"/>
        <v>19.122678494346161</v>
      </c>
      <c r="G74" s="362">
        <f t="shared" si="13"/>
        <v>1.5785380970895448</v>
      </c>
      <c r="H74" s="403">
        <f t="shared" si="12"/>
        <v>20.701216591435706</v>
      </c>
    </row>
    <row r="75" spans="1:8" x14ac:dyDescent="0.3">
      <c r="A75">
        <v>2014</v>
      </c>
      <c r="B75" s="416">
        <v>30829.35</v>
      </c>
      <c r="C75" s="416">
        <v>278270.12</v>
      </c>
      <c r="D75" s="416">
        <v>1296912.43</v>
      </c>
      <c r="E75" s="416">
        <f t="shared" si="10"/>
        <v>1606011.9</v>
      </c>
      <c r="F75" s="500">
        <f t="shared" si="11"/>
        <v>17.326778213785339</v>
      </c>
      <c r="G75" s="362">
        <f t="shared" si="13"/>
        <v>1.9196215171257449</v>
      </c>
      <c r="H75" s="403">
        <f t="shared" si="12"/>
        <v>19.246399730911083</v>
      </c>
    </row>
    <row r="76" spans="1:8" x14ac:dyDescent="0.3">
      <c r="A76">
        <v>2015</v>
      </c>
      <c r="B76" s="416">
        <v>34103.360000000001</v>
      </c>
      <c r="C76" s="416">
        <v>229156.93</v>
      </c>
      <c r="D76" s="416">
        <v>1311480.08</v>
      </c>
      <c r="E76" s="416">
        <f t="shared" si="10"/>
        <v>1574740.37</v>
      </c>
      <c r="F76" s="500">
        <f t="shared" si="11"/>
        <v>14.552045173008423</v>
      </c>
      <c r="G76" s="362">
        <f t="shared" si="13"/>
        <v>2.1656496937333229</v>
      </c>
      <c r="H76" s="403">
        <f t="shared" si="12"/>
        <v>16.717694866741745</v>
      </c>
    </row>
    <row r="77" spans="1:8" x14ac:dyDescent="0.3">
      <c r="A77">
        <v>2016</v>
      </c>
      <c r="B77" s="416">
        <v>14942.53</v>
      </c>
      <c r="C77" s="416">
        <v>174110.65</v>
      </c>
      <c r="D77" s="416">
        <v>1298698.92</v>
      </c>
      <c r="E77" s="416">
        <f t="shared" si="10"/>
        <v>1487752.0999999999</v>
      </c>
      <c r="F77" s="500">
        <f t="shared" si="11"/>
        <v>11.702934245564164</v>
      </c>
      <c r="G77" s="362">
        <f t="shared" si="13"/>
        <v>1.0043696123836761</v>
      </c>
      <c r="H77" s="403">
        <f t="shared" si="12"/>
        <v>12.70730385794784</v>
      </c>
    </row>
    <row r="78" spans="1:8" x14ac:dyDescent="0.3">
      <c r="A78">
        <v>2017</v>
      </c>
      <c r="B78" s="416">
        <v>20992.31</v>
      </c>
      <c r="C78" s="416">
        <v>216016.01</v>
      </c>
      <c r="D78" s="416">
        <v>1348086.19</v>
      </c>
      <c r="E78" s="416">
        <f t="shared" si="10"/>
        <v>1585094.51</v>
      </c>
      <c r="F78" s="500">
        <f t="shared" si="11"/>
        <v>13.62795774240616</v>
      </c>
      <c r="G78" s="362">
        <f t="shared" si="13"/>
        <v>1.3243569937038013</v>
      </c>
      <c r="H78" s="403">
        <f t="shared" si="12"/>
        <v>14.952314736109962</v>
      </c>
    </row>
    <row r="79" spans="1:8" x14ac:dyDescent="0.3">
      <c r="A79">
        <v>2018</v>
      </c>
      <c r="B79" s="416">
        <v>8808.2800000000007</v>
      </c>
      <c r="C79" s="416">
        <v>146277.24</v>
      </c>
      <c r="D79" s="416">
        <v>1366919.01</v>
      </c>
      <c r="E79" s="416">
        <f t="shared" si="10"/>
        <v>1522004.53</v>
      </c>
      <c r="F79" s="500">
        <f t="shared" si="11"/>
        <v>9.6108281622525791</v>
      </c>
      <c r="G79" s="362">
        <f t="shared" si="13"/>
        <v>0.57872889511045023</v>
      </c>
      <c r="H79" s="403">
        <f t="shared" si="12"/>
        <v>10.189557057363029</v>
      </c>
    </row>
    <row r="80" spans="1:8" x14ac:dyDescent="0.3">
      <c r="A80">
        <v>2019</v>
      </c>
      <c r="B80" s="416">
        <v>3730.86</v>
      </c>
      <c r="C80" s="416">
        <v>129906.91</v>
      </c>
      <c r="D80" s="416">
        <v>1445687.37</v>
      </c>
      <c r="E80" s="416">
        <f t="shared" si="10"/>
        <v>1579325.1400000001</v>
      </c>
      <c r="F80" s="500">
        <f t="shared" si="11"/>
        <v>8.2254696458513905</v>
      </c>
      <c r="G80" s="362">
        <f t="shared" si="13"/>
        <v>0.23623128040626265</v>
      </c>
      <c r="H80" s="403">
        <f t="shared" si="12"/>
        <v>8.4617009262576524</v>
      </c>
    </row>
    <row r="81" spans="1:25" x14ac:dyDescent="0.3">
      <c r="A81">
        <v>2020</v>
      </c>
      <c r="B81" s="416">
        <v>11171.01</v>
      </c>
      <c r="C81" s="416">
        <v>195206.56</v>
      </c>
      <c r="D81" s="416">
        <v>1245095.06</v>
      </c>
      <c r="E81" s="416">
        <f t="shared" si="10"/>
        <v>1451472.6300000001</v>
      </c>
      <c r="F81" s="500">
        <f t="shared" si="11"/>
        <v>13.448862621680988</v>
      </c>
      <c r="G81" s="362">
        <f t="shared" si="13"/>
        <v>0.7696328383401897</v>
      </c>
      <c r="H81" s="403">
        <f t="shared" si="12"/>
        <v>14.218495460021177</v>
      </c>
    </row>
    <row r="82" spans="1:25" x14ac:dyDescent="0.3">
      <c r="A82">
        <v>2021</v>
      </c>
      <c r="B82" s="416">
        <v>2322.36</v>
      </c>
      <c r="C82" s="416">
        <v>181355.12</v>
      </c>
      <c r="D82" s="416">
        <v>1448042.83</v>
      </c>
      <c r="E82" s="416">
        <f t="shared" si="10"/>
        <v>1631720.31</v>
      </c>
      <c r="F82" s="500">
        <f t="shared" si="11"/>
        <v>11.11435084116836</v>
      </c>
      <c r="G82" s="362">
        <f t="shared" si="13"/>
        <v>0.14232586220612772</v>
      </c>
      <c r="H82" s="403">
        <f t="shared" si="12"/>
        <v>11.256676703374488</v>
      </c>
    </row>
    <row r="83" spans="1:25" x14ac:dyDescent="0.3">
      <c r="A83">
        <v>2022</v>
      </c>
      <c r="B83" s="416">
        <v>12868</v>
      </c>
      <c r="C83" s="416">
        <v>175499.33</v>
      </c>
      <c r="D83" s="416">
        <v>1364275.91</v>
      </c>
      <c r="E83" s="416">
        <f t="shared" si="10"/>
        <v>1552643.24</v>
      </c>
      <c r="F83" s="500">
        <f t="shared" si="11"/>
        <v>11.303261784722677</v>
      </c>
      <c r="G83" s="362">
        <f t="shared" si="13"/>
        <v>0.82878021611712938</v>
      </c>
      <c r="H83" s="403">
        <f t="shared" si="12"/>
        <v>12.132042000839807</v>
      </c>
    </row>
    <row r="84" spans="1:25" x14ac:dyDescent="0.3">
      <c r="A84">
        <v>2023</v>
      </c>
      <c r="B84" s="416">
        <v>11034.1</v>
      </c>
      <c r="C84" s="416">
        <v>227147.08</v>
      </c>
      <c r="D84" s="416">
        <v>1313849.55</v>
      </c>
      <c r="E84" s="416">
        <f t="shared" si="10"/>
        <v>1552030.73</v>
      </c>
      <c r="F84" s="500">
        <f t="shared" si="11"/>
        <v>14.635475677727076</v>
      </c>
      <c r="G84" s="362">
        <f t="shared" si="13"/>
        <v>0.71094597463286058</v>
      </c>
      <c r="H84" s="403">
        <f t="shared" si="12"/>
        <v>15.346421652359936</v>
      </c>
    </row>
    <row r="85" spans="1:25" x14ac:dyDescent="0.3">
      <c r="A85">
        <v>2024</v>
      </c>
      <c r="B85" s="416">
        <v>6763.13</v>
      </c>
      <c r="C85" s="416">
        <v>182747.69</v>
      </c>
      <c r="D85" s="416">
        <v>1354991.77</v>
      </c>
      <c r="E85" s="416">
        <f t="shared" si="10"/>
        <v>1544502.59</v>
      </c>
      <c r="F85" s="500">
        <f t="shared" si="11"/>
        <v>11.832138785859854</v>
      </c>
      <c r="G85" s="362">
        <f t="shared" si="13"/>
        <v>0.43788401805140381</v>
      </c>
      <c r="H85" s="403">
        <f t="shared" si="12"/>
        <v>12.270022803911258</v>
      </c>
    </row>
    <row r="88" spans="1:25" x14ac:dyDescent="0.3">
      <c r="A88" s="610" t="s">
        <v>1093</v>
      </c>
      <c r="B88" s="610"/>
      <c r="C88" s="610"/>
      <c r="D88" s="610"/>
      <c r="E88" s="610"/>
      <c r="F88" s="610"/>
      <c r="G88" s="610"/>
    </row>
    <row r="89" spans="1:25" x14ac:dyDescent="0.3">
      <c r="A89" s="610"/>
      <c r="B89" s="610"/>
      <c r="C89" s="610"/>
      <c r="D89" s="610"/>
      <c r="E89" s="610"/>
      <c r="F89" s="610"/>
      <c r="G89" s="610"/>
    </row>
    <row r="90" spans="1:25" x14ac:dyDescent="0.3">
      <c r="A90" s="231" t="s">
        <v>1012</v>
      </c>
    </row>
    <row r="91" spans="1:25" s="339" customFormat="1" ht="15" thickBot="1" x14ac:dyDescent="0.35">
      <c r="X91"/>
      <c r="Y91"/>
    </row>
    <row r="92" spans="1:25" ht="15" thickBot="1" x14ac:dyDescent="0.35">
      <c r="A92" s="351" t="s">
        <v>878</v>
      </c>
      <c r="B92" s="351">
        <v>2001</v>
      </c>
      <c r="C92" s="351">
        <v>2002</v>
      </c>
      <c r="D92" s="351">
        <v>2003</v>
      </c>
      <c r="E92" s="351">
        <v>2004</v>
      </c>
      <c r="F92" s="351">
        <v>2005</v>
      </c>
      <c r="G92" s="351">
        <v>2006</v>
      </c>
      <c r="H92" s="351">
        <v>2007</v>
      </c>
      <c r="I92" s="351">
        <v>2008</v>
      </c>
      <c r="J92" s="351">
        <v>2009</v>
      </c>
      <c r="K92" s="351">
        <v>2010</v>
      </c>
      <c r="L92" s="351">
        <v>2011</v>
      </c>
      <c r="M92" s="351">
        <v>2012</v>
      </c>
      <c r="N92" s="351">
        <v>2013</v>
      </c>
      <c r="O92" s="351">
        <v>2014</v>
      </c>
      <c r="P92" s="351">
        <v>2015</v>
      </c>
      <c r="Q92" s="351">
        <v>2016</v>
      </c>
      <c r="R92" s="351">
        <v>2017</v>
      </c>
      <c r="S92" s="351">
        <v>2018</v>
      </c>
      <c r="T92" s="351">
        <v>2019</v>
      </c>
      <c r="U92" s="351">
        <v>2020</v>
      </c>
      <c r="V92" s="351">
        <v>2021</v>
      </c>
      <c r="W92" s="351">
        <v>2022</v>
      </c>
      <c r="X92" s="351">
        <v>2023</v>
      </c>
    </row>
    <row r="93" spans="1:25" ht="15.6" x14ac:dyDescent="0.3">
      <c r="A93" s="515" t="s">
        <v>864</v>
      </c>
      <c r="B93" s="517">
        <f t="shared" ref="B93:G93" si="14">+SUM(B94)</f>
        <v>1176398</v>
      </c>
      <c r="C93" s="517">
        <f t="shared" si="14"/>
        <v>825598</v>
      </c>
      <c r="D93" s="517">
        <f t="shared" si="14"/>
        <v>3189779</v>
      </c>
      <c r="E93" s="517">
        <f t="shared" si="14"/>
        <v>1160106</v>
      </c>
      <c r="F93" s="517">
        <f t="shared" si="14"/>
        <v>934553</v>
      </c>
      <c r="G93" s="517">
        <f t="shared" si="14"/>
        <v>21660993</v>
      </c>
      <c r="H93" s="517">
        <f>+SUM(H94)</f>
        <v>66654796</v>
      </c>
      <c r="I93" s="517">
        <f t="shared" ref="I93:X93" si="15">+SUM(I94)</f>
        <v>131501483</v>
      </c>
      <c r="J93" s="517">
        <f t="shared" si="15"/>
        <v>127982960</v>
      </c>
      <c r="K93" s="517">
        <f t="shared" si="15"/>
        <v>207225134</v>
      </c>
      <c r="L93" s="517">
        <f t="shared" si="15"/>
        <v>274112375</v>
      </c>
      <c r="M93" s="517">
        <f t="shared" si="15"/>
        <v>203529748</v>
      </c>
      <c r="N93" s="517">
        <f t="shared" si="15"/>
        <v>236958825</v>
      </c>
      <c r="O93" s="517">
        <f t="shared" si="15"/>
        <v>116672786</v>
      </c>
      <c r="P93" s="517">
        <f t="shared" si="15"/>
        <v>112675718</v>
      </c>
      <c r="Q93" s="517">
        <f t="shared" si="15"/>
        <v>91350378</v>
      </c>
      <c r="R93" s="517">
        <f t="shared" si="15"/>
        <v>258403845</v>
      </c>
      <c r="S93" s="517">
        <f t="shared" si="15"/>
        <v>176189017</v>
      </c>
      <c r="T93" s="517">
        <f t="shared" si="15"/>
        <v>62504922</v>
      </c>
      <c r="U93" s="517">
        <f t="shared" si="15"/>
        <v>40614129</v>
      </c>
      <c r="V93" s="517">
        <f t="shared" si="15"/>
        <v>64428612</v>
      </c>
      <c r="W93" s="517">
        <f t="shared" si="15"/>
        <v>74936214</v>
      </c>
      <c r="X93" s="517">
        <f t="shared" si="15"/>
        <v>162223334</v>
      </c>
    </row>
    <row r="94" spans="1:25" x14ac:dyDescent="0.3">
      <c r="A94" s="513" t="s">
        <v>864</v>
      </c>
      <c r="B94" s="347">
        <v>1176398</v>
      </c>
      <c r="C94" s="347">
        <v>825598</v>
      </c>
      <c r="D94" s="347">
        <v>3189779</v>
      </c>
      <c r="E94" s="347">
        <v>1160106</v>
      </c>
      <c r="F94" s="347">
        <v>934553</v>
      </c>
      <c r="G94" s="347">
        <v>21660993</v>
      </c>
      <c r="H94" s="347">
        <v>66654796</v>
      </c>
      <c r="I94" s="347">
        <v>131501483</v>
      </c>
      <c r="J94" s="347">
        <v>127982960</v>
      </c>
      <c r="K94" s="347">
        <v>207225134</v>
      </c>
      <c r="L94" s="347">
        <v>274112375</v>
      </c>
      <c r="M94" s="347">
        <v>203529748</v>
      </c>
      <c r="N94" s="347">
        <v>236958825</v>
      </c>
      <c r="O94" s="347">
        <v>116672786</v>
      </c>
      <c r="P94" s="347">
        <v>112675718</v>
      </c>
      <c r="Q94" s="347">
        <v>91350378</v>
      </c>
      <c r="R94" s="347">
        <v>258403845</v>
      </c>
      <c r="S94" s="347">
        <v>176189017</v>
      </c>
      <c r="T94" s="347">
        <v>62504922</v>
      </c>
      <c r="U94" s="347">
        <v>40614129</v>
      </c>
      <c r="V94" s="347">
        <v>64428612</v>
      </c>
      <c r="W94" s="347">
        <v>74936214</v>
      </c>
      <c r="X94" s="347">
        <v>162223334</v>
      </c>
    </row>
    <row r="95" spans="1:25" ht="15.6" x14ac:dyDescent="0.3">
      <c r="A95" s="516" t="s">
        <v>866</v>
      </c>
      <c r="B95" s="517">
        <f t="shared" ref="B95:G95" si="16">+SUM(B96:B98)</f>
        <v>31114110</v>
      </c>
      <c r="C95" s="517">
        <f>+SUM(C96:C98)</f>
        <v>38440843</v>
      </c>
      <c r="D95" s="517">
        <f t="shared" si="16"/>
        <v>41280673</v>
      </c>
      <c r="E95" s="517">
        <f t="shared" si="16"/>
        <v>60241041</v>
      </c>
      <c r="F95" s="517">
        <f t="shared" si="16"/>
        <v>62554399</v>
      </c>
      <c r="G95" s="517">
        <f t="shared" si="16"/>
        <v>69750130</v>
      </c>
      <c r="H95" s="517">
        <f>+SUM(H96:H98)</f>
        <v>73387256</v>
      </c>
      <c r="I95" s="517">
        <f t="shared" ref="I95:X95" si="17">+SUM(I96:I98)</f>
        <v>91409905</v>
      </c>
      <c r="J95" s="517">
        <f t="shared" si="17"/>
        <v>141092788</v>
      </c>
      <c r="K95" s="517">
        <f t="shared" si="17"/>
        <v>171346286</v>
      </c>
      <c r="L95" s="517">
        <f t="shared" si="17"/>
        <v>202773192</v>
      </c>
      <c r="M95" s="517">
        <f t="shared" si="17"/>
        <v>153190539</v>
      </c>
      <c r="N95" s="517">
        <f t="shared" si="17"/>
        <v>227796420</v>
      </c>
      <c r="O95" s="517">
        <f t="shared" si="17"/>
        <v>278639243</v>
      </c>
      <c r="P95" s="517">
        <f t="shared" si="17"/>
        <v>295739897</v>
      </c>
      <c r="Q95" s="517">
        <f t="shared" si="17"/>
        <v>333930520</v>
      </c>
      <c r="R95" s="517">
        <f t="shared" si="17"/>
        <v>345405964</v>
      </c>
      <c r="S95" s="517">
        <f t="shared" si="17"/>
        <v>382455558</v>
      </c>
      <c r="T95" s="517">
        <f t="shared" si="17"/>
        <v>397548921</v>
      </c>
      <c r="U95" s="517">
        <f t="shared" si="17"/>
        <v>484929206</v>
      </c>
      <c r="V95" s="517">
        <f t="shared" si="17"/>
        <v>565392444</v>
      </c>
      <c r="W95" s="517">
        <f t="shared" si="17"/>
        <v>643461250</v>
      </c>
      <c r="X95" s="517">
        <f t="shared" si="17"/>
        <v>639429442</v>
      </c>
    </row>
    <row r="96" spans="1:25" x14ac:dyDescent="0.3">
      <c r="A96" s="514" t="s">
        <v>1057</v>
      </c>
      <c r="B96" s="347">
        <v>7069680</v>
      </c>
      <c r="C96" s="347">
        <v>7231225</v>
      </c>
      <c r="D96" s="347">
        <v>3278084</v>
      </c>
      <c r="E96" s="347">
        <v>3564206</v>
      </c>
      <c r="F96" s="347">
        <v>4166352</v>
      </c>
      <c r="G96" s="347">
        <v>4507259</v>
      </c>
      <c r="H96" s="347">
        <v>3808774</v>
      </c>
      <c r="I96" s="347">
        <v>5163116</v>
      </c>
      <c r="J96" s="347">
        <v>7670050</v>
      </c>
      <c r="K96" s="347">
        <v>10773332</v>
      </c>
      <c r="L96" s="347">
        <v>20707295</v>
      </c>
      <c r="M96" s="347">
        <v>22696018</v>
      </c>
      <c r="N96" s="347">
        <v>23076806</v>
      </c>
      <c r="O96" s="347">
        <v>28392015</v>
      </c>
      <c r="P96" s="347">
        <v>34213335</v>
      </c>
      <c r="Q96" s="347">
        <v>35416379</v>
      </c>
      <c r="R96" s="347">
        <v>37230534</v>
      </c>
      <c r="S96" s="347">
        <v>33869801</v>
      </c>
      <c r="T96" s="347">
        <v>38837370</v>
      </c>
      <c r="U96" s="347">
        <v>49334430</v>
      </c>
      <c r="V96" s="347">
        <v>41510712</v>
      </c>
      <c r="W96" s="347">
        <v>52982647</v>
      </c>
      <c r="X96" s="347">
        <v>74246559</v>
      </c>
    </row>
    <row r="97" spans="1:24" x14ac:dyDescent="0.3">
      <c r="A97" s="514" t="s">
        <v>1058</v>
      </c>
      <c r="B97" s="347">
        <v>24044430</v>
      </c>
      <c r="C97" s="347">
        <v>31209618</v>
      </c>
      <c r="D97" s="347">
        <v>38002589</v>
      </c>
      <c r="E97" s="347">
        <v>56676835</v>
      </c>
      <c r="F97" s="347">
        <v>58388047</v>
      </c>
      <c r="G97" s="347">
        <v>65242871</v>
      </c>
      <c r="H97" s="347">
        <v>69578482</v>
      </c>
      <c r="I97" s="347">
        <v>86246789</v>
      </c>
      <c r="J97" s="347">
        <v>133422738</v>
      </c>
      <c r="K97" s="347">
        <v>160572954</v>
      </c>
      <c r="L97" s="347">
        <v>182065897</v>
      </c>
      <c r="M97" s="347">
        <v>130285573</v>
      </c>
      <c r="N97" s="347">
        <v>204493027</v>
      </c>
      <c r="O97" s="347">
        <v>250247228</v>
      </c>
      <c r="P97" s="347">
        <v>261526562</v>
      </c>
      <c r="Q97" s="347">
        <v>297690393</v>
      </c>
      <c r="R97" s="347">
        <v>307334874</v>
      </c>
      <c r="S97" s="347">
        <v>347721160</v>
      </c>
      <c r="T97" s="347">
        <v>358258120</v>
      </c>
      <c r="U97" s="347">
        <v>434987431</v>
      </c>
      <c r="V97" s="347">
        <v>523881732</v>
      </c>
      <c r="W97" s="347">
        <v>590478603</v>
      </c>
      <c r="X97" s="347">
        <v>565182883</v>
      </c>
    </row>
    <row r="98" spans="1:24" x14ac:dyDescent="0.3">
      <c r="A98" s="514" t="s">
        <v>1068</v>
      </c>
      <c r="B98" s="347"/>
      <c r="C98" s="347"/>
      <c r="D98" s="347"/>
      <c r="E98" s="347"/>
      <c r="F98" s="347"/>
      <c r="G98" s="347"/>
      <c r="H98" s="347"/>
      <c r="I98" s="347"/>
      <c r="J98" s="347"/>
      <c r="K98" s="347" t="s">
        <v>1098</v>
      </c>
      <c r="L98" s="347" t="s">
        <v>1099</v>
      </c>
      <c r="M98" s="347">
        <v>208948</v>
      </c>
      <c r="N98" s="347">
        <v>226587</v>
      </c>
      <c r="O98" s="347" t="s">
        <v>1100</v>
      </c>
      <c r="P98" s="347" t="s">
        <v>1102</v>
      </c>
      <c r="Q98" s="347">
        <v>823748</v>
      </c>
      <c r="R98" s="347">
        <v>840556</v>
      </c>
      <c r="S98" s="347">
        <v>864597</v>
      </c>
      <c r="T98" s="347">
        <v>453431</v>
      </c>
      <c r="U98" s="347">
        <v>607345</v>
      </c>
      <c r="V98" s="347" t="s">
        <v>1103</v>
      </c>
      <c r="W98" s="347" t="s">
        <v>1104</v>
      </c>
      <c r="X98" s="347" t="s">
        <v>1105</v>
      </c>
    </row>
    <row r="99" spans="1:24" ht="15.6" x14ac:dyDescent="0.3">
      <c r="A99" s="515" t="s">
        <v>867</v>
      </c>
      <c r="B99" s="517">
        <f t="shared" ref="B99:G99" si="18">SUM(B100:B105)</f>
        <v>115270460</v>
      </c>
      <c r="C99" s="517">
        <f t="shared" si="18"/>
        <v>129568793</v>
      </c>
      <c r="D99" s="517">
        <f t="shared" si="18"/>
        <v>141535259</v>
      </c>
      <c r="E99" s="517">
        <f t="shared" si="18"/>
        <v>160638180</v>
      </c>
      <c r="F99" s="517">
        <f t="shared" si="18"/>
        <v>171471092</v>
      </c>
      <c r="G99" s="517">
        <f t="shared" si="18"/>
        <v>190821540</v>
      </c>
      <c r="H99" s="517">
        <f>SUM(H100:H105)</f>
        <v>217081203</v>
      </c>
      <c r="I99" s="517">
        <f t="shared" ref="I99:X99" si="19">SUM(I100:I105)</f>
        <v>264668646</v>
      </c>
      <c r="J99" s="517">
        <f t="shared" si="19"/>
        <v>258777692</v>
      </c>
      <c r="K99" s="517">
        <f t="shared" si="19"/>
        <v>296689205</v>
      </c>
      <c r="L99" s="517">
        <f t="shared" si="19"/>
        <v>304623817</v>
      </c>
      <c r="M99" s="517">
        <f t="shared" si="19"/>
        <v>306053234</v>
      </c>
      <c r="N99" s="517">
        <f t="shared" si="19"/>
        <v>346811387</v>
      </c>
      <c r="O99" s="517">
        <f t="shared" si="19"/>
        <v>385594844</v>
      </c>
      <c r="P99" s="517">
        <f t="shared" si="19"/>
        <v>475904903</v>
      </c>
      <c r="Q99" s="517">
        <f t="shared" si="19"/>
        <v>516931577</v>
      </c>
      <c r="R99" s="517">
        <f t="shared" si="19"/>
        <v>563070894</v>
      </c>
      <c r="S99" s="517">
        <f t="shared" si="19"/>
        <v>537085951</v>
      </c>
      <c r="T99" s="517">
        <f t="shared" si="19"/>
        <v>611172154</v>
      </c>
      <c r="U99" s="517">
        <f t="shared" si="19"/>
        <v>677711385</v>
      </c>
      <c r="V99" s="517">
        <f t="shared" si="19"/>
        <v>904249521</v>
      </c>
      <c r="W99" s="517">
        <f t="shared" si="19"/>
        <v>939415569</v>
      </c>
      <c r="X99" s="517">
        <f t="shared" si="19"/>
        <v>808338972</v>
      </c>
    </row>
    <row r="100" spans="1:24" x14ac:dyDescent="0.3">
      <c r="A100" s="513" t="s">
        <v>1059</v>
      </c>
      <c r="B100" s="347">
        <v>9929188</v>
      </c>
      <c r="C100" s="347">
        <v>11124847</v>
      </c>
      <c r="D100" s="347">
        <v>12253374</v>
      </c>
      <c r="E100" s="347">
        <v>13131695</v>
      </c>
      <c r="F100" s="347">
        <v>13386993</v>
      </c>
      <c r="G100" s="347">
        <v>15501122</v>
      </c>
      <c r="H100" s="347">
        <v>17399850</v>
      </c>
      <c r="I100" s="347">
        <v>18315894</v>
      </c>
      <c r="J100" s="347">
        <v>19826617</v>
      </c>
      <c r="K100" s="347">
        <v>22994097</v>
      </c>
      <c r="L100" s="347">
        <v>25195278</v>
      </c>
      <c r="M100" s="347">
        <v>28499058</v>
      </c>
      <c r="N100" s="347">
        <v>45400177</v>
      </c>
      <c r="O100" s="347">
        <v>41724006</v>
      </c>
      <c r="P100" s="347">
        <v>78910758</v>
      </c>
      <c r="Q100" s="347">
        <v>83795510</v>
      </c>
      <c r="R100" s="347">
        <v>97987378</v>
      </c>
      <c r="S100" s="347">
        <v>87546230</v>
      </c>
      <c r="T100" s="347">
        <v>91012206</v>
      </c>
      <c r="U100" s="347">
        <v>113509444</v>
      </c>
      <c r="V100" s="347">
        <v>156795902</v>
      </c>
      <c r="W100" s="347">
        <v>132502225</v>
      </c>
      <c r="X100" s="347">
        <v>135962752</v>
      </c>
    </row>
    <row r="101" spans="1:24" x14ac:dyDescent="0.3">
      <c r="A101" s="513" t="s">
        <v>1060</v>
      </c>
      <c r="B101" s="347">
        <v>54426516</v>
      </c>
      <c r="C101" s="347">
        <v>60933331</v>
      </c>
      <c r="D101" s="347">
        <v>64526987</v>
      </c>
      <c r="E101" s="347">
        <v>73769794</v>
      </c>
      <c r="F101" s="347">
        <v>76442047</v>
      </c>
      <c r="G101" s="347">
        <v>88774270</v>
      </c>
      <c r="H101" s="347">
        <v>103771884</v>
      </c>
      <c r="I101" s="347">
        <v>107800771</v>
      </c>
      <c r="J101" s="347">
        <v>104193818</v>
      </c>
      <c r="K101" s="347">
        <v>109895780</v>
      </c>
      <c r="L101" s="347">
        <v>111682839</v>
      </c>
      <c r="M101" s="347">
        <v>116998417</v>
      </c>
      <c r="N101" s="347">
        <v>138107566</v>
      </c>
      <c r="O101" s="347">
        <v>149551077</v>
      </c>
      <c r="P101" s="347">
        <v>176410700</v>
      </c>
      <c r="Q101" s="347">
        <v>203518330</v>
      </c>
      <c r="R101" s="347">
        <v>196523320</v>
      </c>
      <c r="S101" s="347">
        <v>200305946</v>
      </c>
      <c r="T101" s="347">
        <v>240485373</v>
      </c>
      <c r="U101" s="347">
        <v>278939726</v>
      </c>
      <c r="V101" s="347">
        <v>355236758</v>
      </c>
      <c r="W101" s="347">
        <v>376915310</v>
      </c>
      <c r="X101" s="347">
        <v>324534036</v>
      </c>
    </row>
    <row r="102" spans="1:24" x14ac:dyDescent="0.3">
      <c r="A102" s="513" t="s">
        <v>1061</v>
      </c>
      <c r="B102" s="347">
        <v>48703912</v>
      </c>
      <c r="C102" s="347">
        <v>55412881</v>
      </c>
      <c r="D102" s="347">
        <v>62204809</v>
      </c>
      <c r="E102" s="347">
        <v>69559553</v>
      </c>
      <c r="F102" s="347">
        <v>77800399</v>
      </c>
      <c r="G102" s="347">
        <v>81854072</v>
      </c>
      <c r="H102" s="347">
        <v>89120858</v>
      </c>
      <c r="I102" s="347">
        <v>95835936</v>
      </c>
      <c r="J102" s="347">
        <v>91278743</v>
      </c>
      <c r="K102" s="347">
        <v>97455153</v>
      </c>
      <c r="L102" s="347">
        <v>95974831</v>
      </c>
      <c r="M102" s="347">
        <v>118313314</v>
      </c>
      <c r="N102" s="347">
        <v>102597027</v>
      </c>
      <c r="O102" s="347">
        <v>124374654</v>
      </c>
      <c r="P102" s="347">
        <v>180915617</v>
      </c>
      <c r="Q102" s="347">
        <v>180567040</v>
      </c>
      <c r="R102" s="347">
        <v>227969214</v>
      </c>
      <c r="S102" s="347">
        <v>219254135</v>
      </c>
      <c r="T102" s="347">
        <v>255386391</v>
      </c>
      <c r="U102" s="347">
        <v>241795026</v>
      </c>
      <c r="V102" s="347">
        <v>293737067</v>
      </c>
      <c r="W102" s="347">
        <v>363658263</v>
      </c>
      <c r="X102" s="347">
        <v>291519033</v>
      </c>
    </row>
    <row r="103" spans="1:24" x14ac:dyDescent="0.3">
      <c r="A103" s="513" t="s">
        <v>1069</v>
      </c>
      <c r="B103" s="347"/>
      <c r="C103" s="347"/>
      <c r="D103" s="347"/>
      <c r="E103" s="347"/>
      <c r="F103" s="347"/>
      <c r="G103" s="347"/>
      <c r="H103" s="347"/>
      <c r="I103" s="347"/>
      <c r="J103" s="347">
        <v>5827983</v>
      </c>
      <c r="K103" s="347">
        <v>7976656</v>
      </c>
      <c r="L103" s="347">
        <v>14637215</v>
      </c>
      <c r="M103" s="347">
        <v>8478633</v>
      </c>
      <c r="N103" s="347">
        <v>5582984</v>
      </c>
      <c r="O103" s="347">
        <v>6490493</v>
      </c>
      <c r="P103" s="347">
        <v>5137676</v>
      </c>
      <c r="Q103" s="347">
        <v>5144290</v>
      </c>
      <c r="R103" s="347">
        <v>5893530</v>
      </c>
      <c r="S103" s="347">
        <v>7160735</v>
      </c>
      <c r="T103" s="347">
        <v>9644346</v>
      </c>
      <c r="U103" s="347">
        <v>7979143</v>
      </c>
      <c r="V103" s="347">
        <v>19965503</v>
      </c>
      <c r="W103" s="347">
        <v>35857776</v>
      </c>
      <c r="X103" s="347">
        <v>10540675</v>
      </c>
    </row>
    <row r="104" spans="1:24" x14ac:dyDescent="0.3">
      <c r="A104" s="513" t="s">
        <v>1062</v>
      </c>
      <c r="B104" s="347">
        <v>1095079</v>
      </c>
      <c r="C104" s="347">
        <v>1191781</v>
      </c>
      <c r="D104" s="347">
        <v>1499020</v>
      </c>
      <c r="E104" s="347">
        <v>1500559</v>
      </c>
      <c r="F104" s="347">
        <v>1554492</v>
      </c>
      <c r="G104" s="347">
        <v>1870076</v>
      </c>
      <c r="H104" s="347">
        <v>1889058</v>
      </c>
      <c r="I104" s="347">
        <v>1982330</v>
      </c>
      <c r="J104" s="347">
        <v>2048336</v>
      </c>
      <c r="K104" s="347">
        <v>2036451</v>
      </c>
      <c r="L104" s="347">
        <v>2069670</v>
      </c>
      <c r="M104" s="347">
        <v>2210647</v>
      </c>
      <c r="N104" s="347">
        <v>2624089</v>
      </c>
      <c r="O104" s="347" t="s">
        <v>1101</v>
      </c>
      <c r="P104" s="347">
        <v>2881343</v>
      </c>
      <c r="Q104" s="347">
        <v>3336475</v>
      </c>
      <c r="R104" s="347">
        <v>3828201</v>
      </c>
      <c r="S104" s="347">
        <v>4193111</v>
      </c>
      <c r="T104" s="347">
        <v>4477114</v>
      </c>
      <c r="U104" s="347">
        <v>5010809</v>
      </c>
      <c r="V104" s="347">
        <v>5051356</v>
      </c>
      <c r="W104" s="347">
        <v>5656577</v>
      </c>
      <c r="X104" s="347">
        <v>6500940</v>
      </c>
    </row>
    <row r="105" spans="1:24" x14ac:dyDescent="0.3">
      <c r="A105" s="513" t="s">
        <v>1063</v>
      </c>
      <c r="B105" s="347">
        <v>1115765</v>
      </c>
      <c r="C105" s="347">
        <v>905953</v>
      </c>
      <c r="D105" s="347">
        <v>1051069</v>
      </c>
      <c r="E105" s="347">
        <v>2676579</v>
      </c>
      <c r="F105" s="347">
        <v>2287161</v>
      </c>
      <c r="G105" s="347">
        <v>2822000</v>
      </c>
      <c r="H105" s="347">
        <v>4899553</v>
      </c>
      <c r="I105" s="347">
        <v>40733715</v>
      </c>
      <c r="J105" s="347">
        <v>35602195</v>
      </c>
      <c r="K105" s="347">
        <v>56331068</v>
      </c>
      <c r="L105" s="347">
        <v>55063984</v>
      </c>
      <c r="M105" s="347">
        <v>31553165</v>
      </c>
      <c r="N105" s="347">
        <v>52499544</v>
      </c>
      <c r="O105" s="347">
        <v>63454614</v>
      </c>
      <c r="P105" s="347">
        <v>31648809</v>
      </c>
      <c r="Q105" s="347">
        <v>40569932</v>
      </c>
      <c r="R105" s="347">
        <v>30869251</v>
      </c>
      <c r="S105" s="347">
        <v>18625794</v>
      </c>
      <c r="T105" s="347">
        <v>10166724</v>
      </c>
      <c r="U105" s="347">
        <v>30477237</v>
      </c>
      <c r="V105" s="347">
        <v>73462935</v>
      </c>
      <c r="W105" s="347">
        <v>24825418</v>
      </c>
      <c r="X105" s="347">
        <v>39281536</v>
      </c>
    </row>
    <row r="106" spans="1:24" ht="15.6" x14ac:dyDescent="0.3">
      <c r="A106" s="515" t="s">
        <v>868</v>
      </c>
      <c r="B106" s="517">
        <f t="shared" ref="B106:G106" si="20">+SUM(B107:B108)</f>
        <v>21598176</v>
      </c>
      <c r="C106" s="517">
        <f t="shared" si="20"/>
        <v>21659759</v>
      </c>
      <c r="D106" s="517">
        <f t="shared" si="20"/>
        <v>85927709</v>
      </c>
      <c r="E106" s="517">
        <f t="shared" si="20"/>
        <v>34752400</v>
      </c>
      <c r="F106" s="517">
        <f t="shared" si="20"/>
        <v>26074311</v>
      </c>
      <c r="G106" s="517">
        <f t="shared" si="20"/>
        <v>25236701</v>
      </c>
      <c r="H106" s="517">
        <f>+SUM(H107:H108)</f>
        <v>43509558</v>
      </c>
      <c r="I106" s="517">
        <f t="shared" ref="I106:X106" si="21">+SUM(I107:I108)</f>
        <v>37380416</v>
      </c>
      <c r="J106" s="517">
        <f t="shared" si="21"/>
        <v>49323460</v>
      </c>
      <c r="K106" s="517">
        <f t="shared" si="21"/>
        <v>61958380</v>
      </c>
      <c r="L106" s="517">
        <f t="shared" si="21"/>
        <v>59620148</v>
      </c>
      <c r="M106" s="517">
        <f t="shared" si="21"/>
        <v>185930936</v>
      </c>
      <c r="N106" s="517">
        <f t="shared" si="21"/>
        <v>73409694</v>
      </c>
      <c r="O106" s="517">
        <f t="shared" si="21"/>
        <v>93639730</v>
      </c>
      <c r="P106" s="517">
        <f t="shared" si="21"/>
        <v>86928440</v>
      </c>
      <c r="Q106" s="517">
        <f t="shared" si="21"/>
        <v>98521411</v>
      </c>
      <c r="R106" s="517">
        <f t="shared" si="21"/>
        <v>115461411</v>
      </c>
      <c r="S106" s="517">
        <f t="shared" si="21"/>
        <v>126154972</v>
      </c>
      <c r="T106" s="517">
        <f t="shared" si="21"/>
        <v>137486737</v>
      </c>
      <c r="U106" s="517">
        <f t="shared" si="21"/>
        <v>374618011</v>
      </c>
      <c r="V106" s="517">
        <f t="shared" si="21"/>
        <v>363004973</v>
      </c>
      <c r="W106" s="517">
        <f t="shared" si="21"/>
        <v>219758904</v>
      </c>
      <c r="X106" s="517">
        <f t="shared" si="21"/>
        <v>205114246</v>
      </c>
    </row>
    <row r="107" spans="1:24" x14ac:dyDescent="0.3">
      <c r="A107" s="513" t="s">
        <v>1064</v>
      </c>
      <c r="B107" s="347">
        <v>9794163</v>
      </c>
      <c r="C107" s="347">
        <v>10667421</v>
      </c>
      <c r="D107" s="347">
        <v>12941618</v>
      </c>
      <c r="E107" s="347">
        <v>664064</v>
      </c>
      <c r="F107" s="347">
        <v>664270</v>
      </c>
      <c r="G107" s="347" t="s">
        <v>1096</v>
      </c>
      <c r="H107" s="347" t="s">
        <v>1097</v>
      </c>
      <c r="I107" s="347">
        <v>753622</v>
      </c>
      <c r="J107" s="347">
        <v>0</v>
      </c>
      <c r="K107" s="347">
        <v>0</v>
      </c>
      <c r="L107" s="347">
        <v>0</v>
      </c>
      <c r="M107" s="347">
        <v>0</v>
      </c>
      <c r="N107" s="360">
        <v>0</v>
      </c>
      <c r="O107" s="347">
        <v>0</v>
      </c>
      <c r="P107" s="347">
        <v>0</v>
      </c>
      <c r="Q107" s="347">
        <v>0</v>
      </c>
      <c r="R107" s="347">
        <v>0</v>
      </c>
      <c r="S107" s="347">
        <v>0</v>
      </c>
      <c r="T107" s="347">
        <v>0</v>
      </c>
      <c r="U107" s="347">
        <v>0</v>
      </c>
      <c r="V107" s="347">
        <v>0</v>
      </c>
      <c r="W107" s="347">
        <v>0</v>
      </c>
      <c r="X107" s="347">
        <v>0</v>
      </c>
    </row>
    <row r="108" spans="1:24" ht="15" thickBot="1" x14ac:dyDescent="0.35">
      <c r="A108" s="518" t="s">
        <v>1065</v>
      </c>
      <c r="B108" s="503">
        <v>11804013</v>
      </c>
      <c r="C108" s="503">
        <v>10992338</v>
      </c>
      <c r="D108" s="503">
        <v>72986091</v>
      </c>
      <c r="E108" s="503">
        <v>34088336</v>
      </c>
      <c r="F108" s="503">
        <v>25410041</v>
      </c>
      <c r="G108" s="503">
        <v>25236701</v>
      </c>
      <c r="H108" s="503">
        <v>43509558</v>
      </c>
      <c r="I108" s="503">
        <v>36626794</v>
      </c>
      <c r="J108" s="503">
        <v>49323460</v>
      </c>
      <c r="K108" s="503">
        <v>61958380</v>
      </c>
      <c r="L108" s="503">
        <v>59620148</v>
      </c>
      <c r="M108" s="503">
        <v>185930936</v>
      </c>
      <c r="N108" s="519">
        <v>73409694</v>
      </c>
      <c r="O108" s="503">
        <v>93639730</v>
      </c>
      <c r="P108" s="503">
        <v>86928440</v>
      </c>
      <c r="Q108" s="503">
        <v>98521411</v>
      </c>
      <c r="R108" s="503">
        <v>115461411</v>
      </c>
      <c r="S108" s="503">
        <v>126154972</v>
      </c>
      <c r="T108" s="503">
        <v>137486737</v>
      </c>
      <c r="U108" s="503">
        <v>374618011</v>
      </c>
      <c r="V108" s="503">
        <v>363004973</v>
      </c>
      <c r="W108" s="503">
        <v>219758904</v>
      </c>
      <c r="X108" s="503">
        <v>205114246</v>
      </c>
    </row>
    <row r="109" spans="1:24" ht="15.6" x14ac:dyDescent="0.3">
      <c r="A109" s="359" t="s">
        <v>865</v>
      </c>
      <c r="B109" s="517">
        <f t="shared" ref="B109:G109" si="22">+B93+B95+B99+B106</f>
        <v>169159144</v>
      </c>
      <c r="C109" s="517">
        <f>+C93+C95+C99+C106</f>
        <v>190494993</v>
      </c>
      <c r="D109" s="517">
        <f t="shared" si="22"/>
        <v>271933420</v>
      </c>
      <c r="E109" s="517">
        <f t="shared" si="22"/>
        <v>256791727</v>
      </c>
      <c r="F109" s="517">
        <f t="shared" si="22"/>
        <v>261034355</v>
      </c>
      <c r="G109" s="517">
        <f t="shared" si="22"/>
        <v>307469364</v>
      </c>
      <c r="H109" s="517">
        <f>+H93+H95+H99+H106</f>
        <v>400632813</v>
      </c>
      <c r="I109" s="517">
        <f t="shared" ref="I109:X109" si="23">+I93+I95+I99+I106</f>
        <v>524960450</v>
      </c>
      <c r="J109" s="517">
        <f t="shared" si="23"/>
        <v>577176900</v>
      </c>
      <c r="K109" s="517">
        <f t="shared" si="23"/>
        <v>737219005</v>
      </c>
      <c r="L109" s="517">
        <f t="shared" si="23"/>
        <v>841129532</v>
      </c>
      <c r="M109" s="517">
        <f t="shared" si="23"/>
        <v>848704457</v>
      </c>
      <c r="N109" s="517">
        <f t="shared" si="23"/>
        <v>884976326</v>
      </c>
      <c r="O109" s="517">
        <f t="shared" si="23"/>
        <v>874546603</v>
      </c>
      <c r="P109" s="517">
        <f t="shared" si="23"/>
        <v>971248958</v>
      </c>
      <c r="Q109" s="517">
        <f t="shared" si="23"/>
        <v>1040733886</v>
      </c>
      <c r="R109" s="517">
        <f t="shared" si="23"/>
        <v>1282342114</v>
      </c>
      <c r="S109" s="517">
        <f t="shared" si="23"/>
        <v>1221885498</v>
      </c>
      <c r="T109" s="517">
        <f t="shared" si="23"/>
        <v>1208712734</v>
      </c>
      <c r="U109" s="517">
        <f t="shared" si="23"/>
        <v>1577872731</v>
      </c>
      <c r="V109" s="517">
        <f t="shared" si="23"/>
        <v>1897075550</v>
      </c>
      <c r="W109" s="517">
        <f t="shared" si="23"/>
        <v>1877571937</v>
      </c>
      <c r="X109" s="517">
        <f t="shared" si="23"/>
        <v>1815105994</v>
      </c>
    </row>
    <row r="110" spans="1:24" ht="15" thickBot="1" x14ac:dyDescent="0.35"/>
    <row r="111" spans="1:24" ht="15" thickBot="1" x14ac:dyDescent="0.35">
      <c r="A111" s="615" t="s">
        <v>880</v>
      </c>
      <c r="B111" s="616">
        <f>+'c-499'!B24</f>
        <v>0.84734548335974647</v>
      </c>
      <c r="C111" s="616">
        <f>+'c-499'!C24</f>
        <v>0.85237717908082411</v>
      </c>
      <c r="D111" s="616">
        <f>+'c-499'!D24</f>
        <v>0.89753660768761445</v>
      </c>
      <c r="E111" s="616">
        <f>+'c-499'!E24</f>
        <v>0.93985127660353862</v>
      </c>
      <c r="F111" s="616">
        <f>+'c-499'!F24</f>
        <v>0.96353624550918304</v>
      </c>
      <c r="G111" s="616">
        <f>+'c-499'!G24</f>
        <v>0.98882855894651434</v>
      </c>
      <c r="H111" s="616">
        <f>+'c-499'!H24</f>
        <v>1</v>
      </c>
      <c r="I111" s="616">
        <f>+'c-499'!I24</f>
        <v>1.0438604000799019</v>
      </c>
      <c r="J111" s="616">
        <f>+'c-499'!J24</f>
        <v>1.0626145854552862</v>
      </c>
      <c r="K111" s="616">
        <f>+'c-499'!K24</f>
        <v>1.0751396921870404</v>
      </c>
      <c r="L111" s="616">
        <f>+'c-499'!L24</f>
        <v>1.1187210443435196</v>
      </c>
      <c r="M111" s="616">
        <f>+'c-499'!M24</f>
        <v>1.164369124404536</v>
      </c>
      <c r="N111" s="616">
        <f>+'c-499'!N24</f>
        <v>1.2253082185068307</v>
      </c>
      <c r="O111" s="616">
        <f>+'c-499'!O24</f>
        <v>1.3009642633690333</v>
      </c>
      <c r="P111" s="616">
        <f>+'c-499'!P24</f>
        <v>1.33475269110233</v>
      </c>
      <c r="Q111" s="616">
        <f>+'c-499'!Q24</f>
        <v>1.380702521498324</v>
      </c>
      <c r="R111" s="616">
        <f>+'c-499'!R24</f>
        <v>1.4256653962577832</v>
      </c>
      <c r="S111" s="616">
        <f>+'c-499'!S24</f>
        <v>1.4608349111341843</v>
      </c>
      <c r="T111" s="616">
        <f>+'c-499'!T24</f>
        <v>1.4876179245283019</v>
      </c>
      <c r="U111" s="616">
        <f>+'c-499'!U24</f>
        <v>1.5121136400673583</v>
      </c>
      <c r="V111" s="616">
        <f>+'c-499'!V24</f>
        <v>1.5611805618398769</v>
      </c>
      <c r="W111" s="616">
        <f>+'c-499'!W24</f>
        <v>1.6374434902006503</v>
      </c>
      <c r="X111" s="616">
        <f>+'c-499'!X24</f>
        <v>1.6966659157467898</v>
      </c>
    </row>
    <row r="113" spans="1:24" ht="16.2" thickBot="1" x14ac:dyDescent="0.35">
      <c r="A113" s="619" t="s">
        <v>879</v>
      </c>
      <c r="B113" s="351">
        <v>2001</v>
      </c>
      <c r="C113" s="351">
        <v>2002</v>
      </c>
      <c r="D113" s="351">
        <v>2003</v>
      </c>
      <c r="E113" s="351">
        <v>2004</v>
      </c>
      <c r="F113" s="351">
        <v>2005</v>
      </c>
      <c r="G113" s="351">
        <v>2006</v>
      </c>
      <c r="H113" s="351">
        <v>2007</v>
      </c>
      <c r="I113" s="351">
        <v>2008</v>
      </c>
      <c r="J113" s="351">
        <v>2009</v>
      </c>
      <c r="K113" s="351">
        <v>2010</v>
      </c>
      <c r="L113" s="351">
        <v>2011</v>
      </c>
      <c r="M113" s="351">
        <v>2012</v>
      </c>
      <c r="N113" s="351">
        <v>2013</v>
      </c>
      <c r="O113" s="351">
        <v>2014</v>
      </c>
      <c r="P113" s="351">
        <v>2015</v>
      </c>
      <c r="Q113" s="351">
        <v>2016</v>
      </c>
      <c r="R113" s="351">
        <v>2017</v>
      </c>
      <c r="S113" s="351">
        <v>2018</v>
      </c>
      <c r="T113" s="351">
        <v>2019</v>
      </c>
      <c r="U113" s="351">
        <v>2020</v>
      </c>
      <c r="V113" s="351">
        <v>2021</v>
      </c>
      <c r="W113" s="351">
        <v>2022</v>
      </c>
      <c r="X113" s="351">
        <v>2023</v>
      </c>
    </row>
    <row r="114" spans="1:24" x14ac:dyDescent="0.3">
      <c r="A114" s="357" t="s">
        <v>864</v>
      </c>
      <c r="B114" s="347">
        <f>B93/B111</f>
        <v>1388333.3576471687</v>
      </c>
      <c r="C114" s="347">
        <f t="shared" ref="C114:X114" si="24">C93/C111</f>
        <v>968582.9469182858</v>
      </c>
      <c r="D114" s="347">
        <f t="shared" si="24"/>
        <v>3553926.349832179</v>
      </c>
      <c r="E114" s="347">
        <f t="shared" si="24"/>
        <v>1234350.6136337062</v>
      </c>
      <c r="F114" s="347">
        <f t="shared" si="24"/>
        <v>969919.92190821341</v>
      </c>
      <c r="G114" s="347">
        <f t="shared" si="24"/>
        <v>21905711.363228984</v>
      </c>
      <c r="H114" s="347">
        <f t="shared" si="24"/>
        <v>66654796</v>
      </c>
      <c r="I114" s="347">
        <f t="shared" si="24"/>
        <v>125976119.97728266</v>
      </c>
      <c r="J114" s="347">
        <f t="shared" si="24"/>
        <v>120441561.55184396</v>
      </c>
      <c r="K114" s="347">
        <f t="shared" si="24"/>
        <v>192742520.34957832</v>
      </c>
      <c r="L114" s="347">
        <f t="shared" si="24"/>
        <v>245022989.76672313</v>
      </c>
      <c r="M114" s="347">
        <f t="shared" si="24"/>
        <v>174798303.84895006</v>
      </c>
      <c r="N114" s="347">
        <f t="shared" si="24"/>
        <v>193387117.96837509</v>
      </c>
      <c r="O114" s="347">
        <f t="shared" si="24"/>
        <v>89681776.267903864</v>
      </c>
      <c r="P114" s="347">
        <f t="shared" si="24"/>
        <v>84416925.136104941</v>
      </c>
      <c r="Q114" s="347">
        <f t="shared" si="24"/>
        <v>66162244.63823498</v>
      </c>
      <c r="R114" s="347">
        <f t="shared" si="24"/>
        <v>181251397.19199333</v>
      </c>
      <c r="S114" s="347">
        <f t="shared" si="24"/>
        <v>120608438.13159408</v>
      </c>
      <c r="T114" s="347">
        <f t="shared" si="24"/>
        <v>42016784.66587396</v>
      </c>
      <c r="U114" s="347">
        <f t="shared" si="24"/>
        <v>26859177.725683905</v>
      </c>
      <c r="V114" s="347">
        <f t="shared" si="24"/>
        <v>41269161.027773641</v>
      </c>
      <c r="W114" s="347">
        <f t="shared" si="24"/>
        <v>45764152.746924669</v>
      </c>
      <c r="X114" s="347">
        <f t="shared" si="24"/>
        <v>95613009.31102702</v>
      </c>
    </row>
    <row r="115" spans="1:24" x14ac:dyDescent="0.3">
      <c r="A115" s="358" t="s">
        <v>866</v>
      </c>
      <c r="B115" s="347">
        <f>B95/B111</f>
        <v>36719508.879225694</v>
      </c>
      <c r="C115" s="347">
        <f>C95/C111</f>
        <v>45098395.33884912</v>
      </c>
      <c r="D115" s="347">
        <f t="shared" ref="D115:X115" si="25">D95/D111</f>
        <v>45993302.831796743</v>
      </c>
      <c r="E115" s="347">
        <f t="shared" si="25"/>
        <v>64096354.922983982</v>
      </c>
      <c r="F115" s="347">
        <f t="shared" si="25"/>
        <v>64921687.473150507</v>
      </c>
      <c r="G115" s="347">
        <f t="shared" si="25"/>
        <v>70538142.703231514</v>
      </c>
      <c r="H115" s="347">
        <f t="shared" si="25"/>
        <v>73387256</v>
      </c>
      <c r="I115" s="347">
        <f t="shared" si="25"/>
        <v>87569089.691498086</v>
      </c>
      <c r="J115" s="347">
        <f t="shared" si="25"/>
        <v>132778892.67776953</v>
      </c>
      <c r="K115" s="347">
        <f t="shared" si="25"/>
        <v>159371184.27043539</v>
      </c>
      <c r="L115" s="347">
        <f t="shared" si="25"/>
        <v>181254471.8142761</v>
      </c>
      <c r="M115" s="347">
        <f t="shared" si="25"/>
        <v>131565270.65963072</v>
      </c>
      <c r="N115" s="347">
        <f t="shared" si="25"/>
        <v>185909485.10701606</v>
      </c>
      <c r="O115" s="347">
        <f t="shared" si="25"/>
        <v>214179013.86347368</v>
      </c>
      <c r="P115" s="347">
        <f t="shared" si="25"/>
        <v>221569058.42666462</v>
      </c>
      <c r="Q115" s="347">
        <f t="shared" si="25"/>
        <v>241855515.43544811</v>
      </c>
      <c r="R115" s="347">
        <f t="shared" si="25"/>
        <v>242277020.19467762</v>
      </c>
      <c r="S115" s="347">
        <f t="shared" si="25"/>
        <v>261806145.98200119</v>
      </c>
      <c r="T115" s="347">
        <f t="shared" si="25"/>
        <v>267238592.95124853</v>
      </c>
      <c r="U115" s="347">
        <f t="shared" si="25"/>
        <v>320696271.19982761</v>
      </c>
      <c r="V115" s="347">
        <f t="shared" si="25"/>
        <v>362156984.15670496</v>
      </c>
      <c r="W115" s="347">
        <f t="shared" si="25"/>
        <v>392966996.32739758</v>
      </c>
      <c r="X115" s="347">
        <f t="shared" si="25"/>
        <v>376874101.18011022</v>
      </c>
    </row>
    <row r="116" spans="1:24" x14ac:dyDescent="0.3">
      <c r="A116" s="357" t="s">
        <v>867</v>
      </c>
      <c r="B116" s="347">
        <f>B99/B111</f>
        <v>136037144.54575208</v>
      </c>
      <c r="C116" s="347">
        <f t="shared" ref="C116:X116" si="26">C99/C111</f>
        <v>152008754.0819931</v>
      </c>
      <c r="D116" s="347">
        <f t="shared" si="26"/>
        <v>157693020.86145216</v>
      </c>
      <c r="E116" s="347">
        <f t="shared" si="26"/>
        <v>170918722.99255562</v>
      </c>
      <c r="F116" s="347">
        <f t="shared" si="26"/>
        <v>177960188.62724328</v>
      </c>
      <c r="G116" s="347">
        <f t="shared" si="26"/>
        <v>192977375.37364304</v>
      </c>
      <c r="H116" s="347">
        <f t="shared" si="26"/>
        <v>217081203</v>
      </c>
      <c r="I116" s="347">
        <f t="shared" si="26"/>
        <v>253547932.25199562</v>
      </c>
      <c r="J116" s="347">
        <f t="shared" si="26"/>
        <v>243529211.38300064</v>
      </c>
      <c r="K116" s="347">
        <f t="shared" si="26"/>
        <v>275954098.94734442</v>
      </c>
      <c r="L116" s="347">
        <f t="shared" si="26"/>
        <v>272296492.98208857</v>
      </c>
      <c r="M116" s="347">
        <f t="shared" si="26"/>
        <v>262848977.68696597</v>
      </c>
      <c r="N116" s="347">
        <f t="shared" si="26"/>
        <v>283040121.46643955</v>
      </c>
      <c r="O116" s="347">
        <f t="shared" si="26"/>
        <v>296391572.66429973</v>
      </c>
      <c r="P116" s="347">
        <f t="shared" si="26"/>
        <v>356549124.17293215</v>
      </c>
      <c r="Q116" s="347">
        <f t="shared" si="26"/>
        <v>374397503.409374</v>
      </c>
      <c r="R116" s="347">
        <f t="shared" si="26"/>
        <v>394953048.22435892</v>
      </c>
      <c r="S116" s="347">
        <f t="shared" si="26"/>
        <v>367656842.60859388</v>
      </c>
      <c r="T116" s="347">
        <f t="shared" si="26"/>
        <v>410839466.18470073</v>
      </c>
      <c r="U116" s="347">
        <f t="shared" si="26"/>
        <v>448188130.20548564</v>
      </c>
      <c r="V116" s="347">
        <f t="shared" si="26"/>
        <v>579208800.76442099</v>
      </c>
      <c r="W116" s="347">
        <f t="shared" si="26"/>
        <v>573708695.6722306</v>
      </c>
      <c r="X116" s="347">
        <f t="shared" si="26"/>
        <v>476427895.73232424</v>
      </c>
    </row>
    <row r="117" spans="1:24" ht="15" thickBot="1" x14ac:dyDescent="0.35">
      <c r="A117" s="502" t="s">
        <v>868</v>
      </c>
      <c r="B117" s="503">
        <f>B106/B111</f>
        <v>25489220.659279</v>
      </c>
      <c r="C117" s="503">
        <f t="shared" ref="C117:X117" si="27">C106/C111</f>
        <v>25411002.935762759</v>
      </c>
      <c r="D117" s="503">
        <f t="shared" si="27"/>
        <v>95737274.96350427</v>
      </c>
      <c r="E117" s="503">
        <f t="shared" si="27"/>
        <v>36976488.584012158</v>
      </c>
      <c r="F117" s="503">
        <f t="shared" si="27"/>
        <v>27061058.804509185</v>
      </c>
      <c r="G117" s="503">
        <f t="shared" si="27"/>
        <v>25521816.468252968</v>
      </c>
      <c r="H117" s="503">
        <f t="shared" si="27"/>
        <v>43509558</v>
      </c>
      <c r="I117" s="503">
        <f t="shared" si="27"/>
        <v>35809784.524002187</v>
      </c>
      <c r="J117" s="503">
        <f t="shared" si="27"/>
        <v>46417074.144401044</v>
      </c>
      <c r="K117" s="503">
        <f t="shared" si="27"/>
        <v>57628213.75700935</v>
      </c>
      <c r="L117" s="503">
        <f t="shared" si="27"/>
        <v>53293131.743120015</v>
      </c>
      <c r="M117" s="503">
        <f t="shared" si="27"/>
        <v>159683842.60883418</v>
      </c>
      <c r="N117" s="503">
        <f t="shared" si="27"/>
        <v>59911206.740666099</v>
      </c>
      <c r="O117" s="503">
        <f t="shared" si="27"/>
        <v>71977173.114276409</v>
      </c>
      <c r="P117" s="503">
        <f t="shared" si="27"/>
        <v>65127001.113748312</v>
      </c>
      <c r="Q117" s="503">
        <f t="shared" si="27"/>
        <v>71356001.358703673</v>
      </c>
      <c r="R117" s="503">
        <f t="shared" si="27"/>
        <v>80987734.781999797</v>
      </c>
      <c r="S117" s="503">
        <f t="shared" si="27"/>
        <v>86358130.57209453</v>
      </c>
      <c r="T117" s="503">
        <f t="shared" si="27"/>
        <v>92420731.649623469</v>
      </c>
      <c r="U117" s="503">
        <f t="shared" si="27"/>
        <v>247744614.60668549</v>
      </c>
      <c r="V117" s="503">
        <f t="shared" si="27"/>
        <v>232519531.61150861</v>
      </c>
      <c r="W117" s="503">
        <f t="shared" si="27"/>
        <v>134208542.34980105</v>
      </c>
      <c r="X117" s="503">
        <f t="shared" si="27"/>
        <v>120892536.41293235</v>
      </c>
    </row>
    <row r="118" spans="1:24" ht="15.6" x14ac:dyDescent="0.3">
      <c r="A118" s="617" t="s">
        <v>865</v>
      </c>
      <c r="B118" s="618">
        <f>B109/B111</f>
        <v>199634207.44190395</v>
      </c>
      <c r="C118" s="618">
        <f t="shared" ref="C118:X118" si="28">C109/C111</f>
        <v>223486735.30352327</v>
      </c>
      <c r="D118" s="618">
        <f t="shared" si="28"/>
        <v>302977525.00658536</v>
      </c>
      <c r="E118" s="618">
        <f t="shared" si="28"/>
        <v>273225917.11318547</v>
      </c>
      <c r="F118" s="618">
        <f t="shared" si="28"/>
        <v>270912854.82681119</v>
      </c>
      <c r="G118" s="618">
        <f t="shared" si="28"/>
        <v>310943045.90835649</v>
      </c>
      <c r="H118" s="618">
        <f t="shared" si="28"/>
        <v>400632813</v>
      </c>
      <c r="I118" s="618">
        <f t="shared" si="28"/>
        <v>502902926.44477856</v>
      </c>
      <c r="J118" s="618">
        <f t="shared" si="28"/>
        <v>543166739.75701523</v>
      </c>
      <c r="K118" s="618">
        <f t="shared" si="28"/>
        <v>685696017.32436752</v>
      </c>
      <c r="L118" s="618">
        <f t="shared" si="28"/>
        <v>751867086.30620778</v>
      </c>
      <c r="M118" s="618">
        <f t="shared" si="28"/>
        <v>728896394.80438089</v>
      </c>
      <c r="N118" s="618">
        <f t="shared" si="28"/>
        <v>722247931.28249681</v>
      </c>
      <c r="O118" s="618">
        <f t="shared" si="28"/>
        <v>672229535.90995371</v>
      </c>
      <c r="P118" s="618">
        <f t="shared" si="28"/>
        <v>727662108.84944999</v>
      </c>
      <c r="Q118" s="618">
        <f t="shared" si="28"/>
        <v>753771264.84176075</v>
      </c>
      <c r="R118" s="618">
        <f t="shared" si="28"/>
        <v>899469200.39302957</v>
      </c>
      <c r="S118" s="618">
        <f t="shared" si="28"/>
        <v>836429557.29428363</v>
      </c>
      <c r="T118" s="618">
        <f t="shared" si="28"/>
        <v>812515575.45144665</v>
      </c>
      <c r="U118" s="618">
        <f t="shared" si="28"/>
        <v>1043488193.7376826</v>
      </c>
      <c r="V118" s="618">
        <f t="shared" si="28"/>
        <v>1215154477.5604081</v>
      </c>
      <c r="W118" s="618">
        <f t="shared" si="28"/>
        <v>1146648387.096354</v>
      </c>
      <c r="X118" s="618">
        <f t="shared" si="28"/>
        <v>1069807542.6363938</v>
      </c>
    </row>
    <row r="121" spans="1:24" x14ac:dyDescent="0.3">
      <c r="A121" s="620" t="s">
        <v>1035</v>
      </c>
      <c r="B121" s="620" t="s">
        <v>865</v>
      </c>
    </row>
    <row r="122" spans="1:24" x14ac:dyDescent="0.3">
      <c r="A122" s="345">
        <v>2001</v>
      </c>
      <c r="B122" s="347">
        <f>+B118</f>
        <v>199634207.44190395</v>
      </c>
    </row>
    <row r="123" spans="1:24" x14ac:dyDescent="0.3">
      <c r="A123" s="345">
        <v>2002</v>
      </c>
      <c r="B123" s="347">
        <f>+C118</f>
        <v>223486735.30352327</v>
      </c>
    </row>
    <row r="124" spans="1:24" x14ac:dyDescent="0.3">
      <c r="A124" s="345">
        <v>2003</v>
      </c>
      <c r="B124" s="347">
        <f>+D118</f>
        <v>302977525.00658536</v>
      </c>
    </row>
    <row r="125" spans="1:24" x14ac:dyDescent="0.3">
      <c r="A125" s="345">
        <v>2004</v>
      </c>
      <c r="B125" s="347">
        <f>+E118</f>
        <v>273225917.11318547</v>
      </c>
    </row>
    <row r="126" spans="1:24" x14ac:dyDescent="0.3">
      <c r="A126" s="345">
        <v>2005</v>
      </c>
      <c r="B126" s="347">
        <f>+F118</f>
        <v>270912854.82681119</v>
      </c>
    </row>
    <row r="127" spans="1:24" x14ac:dyDescent="0.3">
      <c r="A127" s="345">
        <v>2006</v>
      </c>
      <c r="B127" s="347">
        <f>+G118</f>
        <v>310943045.90835649</v>
      </c>
    </row>
    <row r="128" spans="1:24" x14ac:dyDescent="0.3">
      <c r="A128" s="345">
        <v>2007</v>
      </c>
      <c r="B128" s="347">
        <f>+H118</f>
        <v>400632813</v>
      </c>
    </row>
    <row r="129" spans="1:2" x14ac:dyDescent="0.3">
      <c r="A129" s="345">
        <v>2008</v>
      </c>
      <c r="B129" s="347">
        <f>+I118</f>
        <v>502902926.44477856</v>
      </c>
    </row>
    <row r="130" spans="1:2" x14ac:dyDescent="0.3">
      <c r="A130" s="345">
        <v>2009</v>
      </c>
      <c r="B130" s="347">
        <f>+J118</f>
        <v>543166739.75701523</v>
      </c>
    </row>
    <row r="131" spans="1:2" x14ac:dyDescent="0.3">
      <c r="A131" s="345">
        <v>2010</v>
      </c>
      <c r="B131" s="347">
        <f>+K118</f>
        <v>685696017.32436752</v>
      </c>
    </row>
    <row r="132" spans="1:2" x14ac:dyDescent="0.3">
      <c r="A132" s="345">
        <v>2011</v>
      </c>
      <c r="B132" s="347">
        <f>+L118</f>
        <v>751867086.30620778</v>
      </c>
    </row>
    <row r="133" spans="1:2" x14ac:dyDescent="0.3">
      <c r="A133" s="345">
        <v>2012</v>
      </c>
      <c r="B133" s="347">
        <f>+M118</f>
        <v>728896394.80438089</v>
      </c>
    </row>
    <row r="134" spans="1:2" x14ac:dyDescent="0.3">
      <c r="A134" s="345">
        <v>2013</v>
      </c>
      <c r="B134" s="347">
        <f>+N118</f>
        <v>722247931.28249681</v>
      </c>
    </row>
    <row r="135" spans="1:2" x14ac:dyDescent="0.3">
      <c r="A135" s="345">
        <v>2014</v>
      </c>
      <c r="B135" s="347">
        <f>+O118</f>
        <v>672229535.90995371</v>
      </c>
    </row>
    <row r="136" spans="1:2" x14ac:dyDescent="0.3">
      <c r="A136" s="345">
        <v>2015</v>
      </c>
      <c r="B136" s="347">
        <f>+P118</f>
        <v>727662108.84944999</v>
      </c>
    </row>
    <row r="137" spans="1:2" x14ac:dyDescent="0.3">
      <c r="A137" s="345">
        <v>2016</v>
      </c>
      <c r="B137" s="347">
        <f>+Q118</f>
        <v>753771264.84176075</v>
      </c>
    </row>
    <row r="138" spans="1:2" x14ac:dyDescent="0.3">
      <c r="A138" s="345">
        <v>2017</v>
      </c>
      <c r="B138" s="347">
        <f>+R118</f>
        <v>899469200.39302957</v>
      </c>
    </row>
    <row r="139" spans="1:2" x14ac:dyDescent="0.3">
      <c r="A139" s="345">
        <v>2018</v>
      </c>
      <c r="B139" s="347">
        <f>+S118</f>
        <v>836429557.29428363</v>
      </c>
    </row>
    <row r="140" spans="1:2" x14ac:dyDescent="0.3">
      <c r="A140" s="345">
        <v>2019</v>
      </c>
      <c r="B140" s="347">
        <f>+T118</f>
        <v>812515575.45144665</v>
      </c>
    </row>
    <row r="141" spans="1:2" x14ac:dyDescent="0.3">
      <c r="A141" s="345">
        <v>2020</v>
      </c>
      <c r="B141" s="347">
        <f>+U118</f>
        <v>1043488193.7376826</v>
      </c>
    </row>
    <row r="142" spans="1:2" x14ac:dyDescent="0.3">
      <c r="A142" s="345">
        <v>2021</v>
      </c>
      <c r="B142" s="347">
        <f>+V118</f>
        <v>1215154477.5604081</v>
      </c>
    </row>
    <row r="143" spans="1:2" x14ac:dyDescent="0.3">
      <c r="A143" s="345">
        <v>2022</v>
      </c>
      <c r="B143" s="347">
        <f>+W118</f>
        <v>1146648387.096354</v>
      </c>
    </row>
    <row r="144" spans="1:2" x14ac:dyDescent="0.3">
      <c r="A144" s="345">
        <v>2023</v>
      </c>
      <c r="B144" s="347">
        <f>+X118</f>
        <v>1069807542.6363938</v>
      </c>
    </row>
    <row r="147" spans="1:7" ht="14.4" customHeight="1" x14ac:dyDescent="0.3">
      <c r="A147" s="564" t="s">
        <v>1088</v>
      </c>
      <c r="B147" s="564"/>
      <c r="C147" s="564"/>
      <c r="D147" s="564"/>
      <c r="E147" s="564"/>
      <c r="F147" s="564"/>
    </row>
    <row r="148" spans="1:7" ht="14.4" customHeight="1" x14ac:dyDescent="0.3">
      <c r="A148" s="564"/>
      <c r="B148" s="564"/>
      <c r="C148" s="564"/>
      <c r="D148" s="564"/>
      <c r="E148" s="564"/>
      <c r="F148" s="564"/>
    </row>
    <row r="149" spans="1:7" ht="14.4" customHeight="1" x14ac:dyDescent="0.3">
      <c r="A149" t="s">
        <v>1080</v>
      </c>
    </row>
    <row r="150" spans="1:7" ht="14.4" customHeight="1" x14ac:dyDescent="0.3"/>
    <row r="151" spans="1:7" ht="15" thickBot="1" x14ac:dyDescent="0.35">
      <c r="A151" s="351" t="s">
        <v>849</v>
      </c>
      <c r="B151" s="475" t="s">
        <v>1076</v>
      </c>
      <c r="C151" s="363" t="s">
        <v>1077</v>
      </c>
      <c r="D151" s="363" t="s">
        <v>875</v>
      </c>
      <c r="E151" s="363" t="s">
        <v>1015</v>
      </c>
      <c r="F151" s="350" t="s">
        <v>860</v>
      </c>
      <c r="G151" s="350" t="s">
        <v>862</v>
      </c>
    </row>
    <row r="152" spans="1:7" x14ac:dyDescent="0.3">
      <c r="A152" s="352">
        <v>2001</v>
      </c>
      <c r="B152" s="529">
        <v>182527</v>
      </c>
      <c r="C152" s="529">
        <v>223580</v>
      </c>
      <c r="D152" s="528">
        <f>B152/C152</f>
        <v>0.81638339744163158</v>
      </c>
      <c r="E152" s="612">
        <v>591.4</v>
      </c>
      <c r="F152" s="509">
        <f t="shared" ref="F152:F174" si="29">E152/D152</f>
        <v>724.41453593167046</v>
      </c>
      <c r="G152" s="509">
        <f>F152*12</f>
        <v>8692.9744311800459</v>
      </c>
    </row>
    <row r="153" spans="1:7" x14ac:dyDescent="0.3">
      <c r="A153" s="352">
        <v>2002</v>
      </c>
      <c r="B153" s="529">
        <v>192691</v>
      </c>
      <c r="C153" s="529">
        <v>235773</v>
      </c>
      <c r="D153" s="528">
        <f t="shared" ref="D153:D174" si="30">B153/C153</f>
        <v>0.81727339432420165</v>
      </c>
      <c r="E153" s="612">
        <v>662.3</v>
      </c>
      <c r="F153" s="509">
        <f t="shared" si="29"/>
        <v>810.37753657410042</v>
      </c>
      <c r="G153" s="509">
        <f t="shared" ref="G153:G174" si="31">F153*12</f>
        <v>9724.5304388892055</v>
      </c>
    </row>
    <row r="154" spans="1:7" x14ac:dyDescent="0.3">
      <c r="A154" s="352">
        <v>2003</v>
      </c>
      <c r="B154" s="529">
        <v>204337</v>
      </c>
      <c r="C154" s="529">
        <v>245593</v>
      </c>
      <c r="D154" s="528">
        <f t="shared" si="30"/>
        <v>0.83201475612089926</v>
      </c>
      <c r="E154" s="612">
        <v>571.6</v>
      </c>
      <c r="F154" s="509">
        <f t="shared" si="29"/>
        <v>687.00704620308602</v>
      </c>
      <c r="G154" s="509">
        <f t="shared" si="31"/>
        <v>8244.0845544370313</v>
      </c>
    </row>
    <row r="155" spans="1:7" x14ac:dyDescent="0.3">
      <c r="A155" s="352">
        <v>2004</v>
      </c>
      <c r="B155" s="529">
        <v>227935</v>
      </c>
      <c r="C155" s="529">
        <v>257770</v>
      </c>
      <c r="D155" s="528">
        <f t="shared" si="30"/>
        <v>0.88425728362493694</v>
      </c>
      <c r="E155" s="612">
        <v>533.1</v>
      </c>
      <c r="F155" s="509">
        <f t="shared" si="29"/>
        <v>602.87883387807926</v>
      </c>
      <c r="G155" s="509">
        <f t="shared" si="31"/>
        <v>7234.5460065369516</v>
      </c>
    </row>
    <row r="156" spans="1:7" x14ac:dyDescent="0.3">
      <c r="A156" s="352">
        <v>2005</v>
      </c>
      <c r="B156" s="529">
        <v>250749</v>
      </c>
      <c r="C156" s="529">
        <v>273971</v>
      </c>
      <c r="D156" s="528">
        <f t="shared" si="30"/>
        <v>0.91523920414934423</v>
      </c>
      <c r="E156" s="612">
        <v>503.8</v>
      </c>
      <c r="F156" s="509">
        <f t="shared" si="29"/>
        <v>550.45718946037675</v>
      </c>
      <c r="G156" s="509">
        <f t="shared" si="31"/>
        <v>6605.4862735245206</v>
      </c>
    </row>
    <row r="157" spans="1:7" x14ac:dyDescent="0.3">
      <c r="A157" s="352">
        <v>2006</v>
      </c>
      <c r="B157" s="529">
        <v>290271</v>
      </c>
      <c r="C157" s="529">
        <v>294598</v>
      </c>
      <c r="D157" s="528">
        <f t="shared" si="30"/>
        <v>0.98531218813433896</v>
      </c>
      <c r="E157" s="612">
        <v>538.5</v>
      </c>
      <c r="F157" s="509">
        <f t="shared" si="29"/>
        <v>546.52729001519276</v>
      </c>
      <c r="G157" s="509">
        <f t="shared" si="31"/>
        <v>6558.3274801823136</v>
      </c>
    </row>
    <row r="158" spans="1:7" x14ac:dyDescent="0.3">
      <c r="A158" s="352">
        <v>2007</v>
      </c>
      <c r="B158" s="505">
        <v>319693</v>
      </c>
      <c r="C158" s="505">
        <v>319693</v>
      </c>
      <c r="D158" s="528">
        <f t="shared" si="30"/>
        <v>1</v>
      </c>
      <c r="E158" s="347">
        <v>589.98056264908018</v>
      </c>
      <c r="F158" s="509">
        <f t="shared" si="29"/>
        <v>589.98056264908018</v>
      </c>
      <c r="G158" s="509">
        <f t="shared" si="31"/>
        <v>7079.7667517889622</v>
      </c>
    </row>
    <row r="159" spans="1:7" x14ac:dyDescent="0.3">
      <c r="A159" s="352">
        <v>2008</v>
      </c>
      <c r="B159" s="505">
        <v>352719</v>
      </c>
      <c r="C159" s="505">
        <v>348870</v>
      </c>
      <c r="D159" s="528">
        <f t="shared" si="30"/>
        <v>1.0110327629202855</v>
      </c>
      <c r="E159" s="347">
        <v>636.54969312244373</v>
      </c>
      <c r="F159" s="509">
        <f t="shared" si="29"/>
        <v>629.60342777005758</v>
      </c>
      <c r="G159" s="509">
        <f t="shared" si="31"/>
        <v>7555.2411332406909</v>
      </c>
    </row>
    <row r="160" spans="1:7" x14ac:dyDescent="0.3">
      <c r="A160" s="352">
        <v>2009</v>
      </c>
      <c r="B160" s="505">
        <v>363943</v>
      </c>
      <c r="C160" s="505">
        <v>352693</v>
      </c>
      <c r="D160" s="528">
        <f t="shared" si="30"/>
        <v>1.0318974292089722</v>
      </c>
      <c r="E160" s="347">
        <v>670.74808627763127</v>
      </c>
      <c r="F160" s="509">
        <f t="shared" si="29"/>
        <v>650.01430112274886</v>
      </c>
      <c r="G160" s="509">
        <f t="shared" si="31"/>
        <v>7800.1716134729868</v>
      </c>
    </row>
    <row r="161" spans="1:7" x14ac:dyDescent="0.3">
      <c r="A161" s="352">
        <v>2010</v>
      </c>
      <c r="B161" s="505">
        <v>416784</v>
      </c>
      <c r="C161" s="505">
        <v>382081</v>
      </c>
      <c r="D161" s="528">
        <f t="shared" si="30"/>
        <v>1.0908262907603361</v>
      </c>
      <c r="E161" s="347">
        <v>707.57224627458675</v>
      </c>
      <c r="F161" s="509">
        <f t="shared" si="29"/>
        <v>648.65712558265284</v>
      </c>
      <c r="G161" s="509">
        <f t="shared" si="31"/>
        <v>7783.8855069918336</v>
      </c>
    </row>
    <row r="162" spans="1:7" x14ac:dyDescent="0.3">
      <c r="A162" s="352">
        <v>2011</v>
      </c>
      <c r="B162" s="505">
        <v>473049</v>
      </c>
      <c r="C162" s="505">
        <v>406256</v>
      </c>
      <c r="D162" s="528">
        <f t="shared" si="30"/>
        <v>1.1644111102359103</v>
      </c>
      <c r="E162" s="347">
        <v>750.4283777281837</v>
      </c>
      <c r="F162" s="509">
        <f t="shared" si="29"/>
        <v>644.47030016412896</v>
      </c>
      <c r="G162" s="509">
        <f t="shared" si="31"/>
        <v>7733.6436019695475</v>
      </c>
    </row>
    <row r="163" spans="1:7" x14ac:dyDescent="0.3">
      <c r="A163" s="352">
        <v>2012</v>
      </c>
      <c r="B163" s="505">
        <v>508131</v>
      </c>
      <c r="C163" s="505">
        <v>431199</v>
      </c>
      <c r="D163" s="528">
        <f t="shared" si="30"/>
        <v>1.1784141428899417</v>
      </c>
      <c r="E163" s="347">
        <v>843.5792042155681</v>
      </c>
      <c r="F163" s="509">
        <f t="shared" si="29"/>
        <v>715.85970798583196</v>
      </c>
      <c r="G163" s="509">
        <f t="shared" si="31"/>
        <v>8590.316495829984</v>
      </c>
    </row>
    <row r="164" spans="1:7" x14ac:dyDescent="0.3">
      <c r="A164" s="352">
        <v>2013</v>
      </c>
      <c r="B164" s="505">
        <v>543556</v>
      </c>
      <c r="C164" s="505">
        <v>456435</v>
      </c>
      <c r="D164" s="528">
        <f t="shared" si="30"/>
        <v>1.1908727420114584</v>
      </c>
      <c r="E164" s="347">
        <v>835.43904673665929</v>
      </c>
      <c r="F164" s="509">
        <f t="shared" si="29"/>
        <v>701.53511560399863</v>
      </c>
      <c r="G164" s="509">
        <f t="shared" si="31"/>
        <v>8418.4213872479831</v>
      </c>
    </row>
    <row r="165" spans="1:7" x14ac:dyDescent="0.3">
      <c r="A165" s="352">
        <v>2014</v>
      </c>
      <c r="B165" s="505">
        <v>570041</v>
      </c>
      <c r="C165" s="505">
        <v>467308</v>
      </c>
      <c r="D165" s="528">
        <f t="shared" si="30"/>
        <v>1.2198400198584232</v>
      </c>
      <c r="E165" s="347">
        <v>906.02700397810838</v>
      </c>
      <c r="F165" s="509">
        <f t="shared" si="29"/>
        <v>742.74248198814098</v>
      </c>
      <c r="G165" s="509">
        <f t="shared" si="31"/>
        <v>8912.9097838576927</v>
      </c>
    </row>
    <row r="166" spans="1:7" x14ac:dyDescent="0.3">
      <c r="A166" s="352">
        <v>2015</v>
      </c>
      <c r="B166" s="505">
        <v>604416</v>
      </c>
      <c r="C166" s="505">
        <v>482506</v>
      </c>
      <c r="D166" s="528">
        <f t="shared" si="30"/>
        <v>1.2526600705483455</v>
      </c>
      <c r="E166" s="347">
        <v>999.99532539319091</v>
      </c>
      <c r="F166" s="509">
        <f t="shared" si="29"/>
        <v>798.29743831097619</v>
      </c>
      <c r="G166" s="509">
        <f t="shared" si="31"/>
        <v>9579.5692597317138</v>
      </c>
    </row>
    <row r="167" spans="1:7" x14ac:dyDescent="0.3">
      <c r="A167" s="352">
        <v>2016</v>
      </c>
      <c r="B167" s="505">
        <v>647668</v>
      </c>
      <c r="C167" s="505">
        <v>501581</v>
      </c>
      <c r="D167" s="528">
        <f t="shared" si="30"/>
        <v>1.2912530578311379</v>
      </c>
      <c r="E167" s="347">
        <v>1117.1223410745474</v>
      </c>
      <c r="F167" s="509">
        <f t="shared" si="29"/>
        <v>865.14594044867522</v>
      </c>
      <c r="G167" s="509">
        <f t="shared" si="31"/>
        <v>10381.751285384104</v>
      </c>
    </row>
    <row r="168" spans="1:7" x14ac:dyDescent="0.3">
      <c r="A168" s="352">
        <v>2017</v>
      </c>
      <c r="B168" s="505">
        <v>687989</v>
      </c>
      <c r="C168" s="505">
        <v>514215</v>
      </c>
      <c r="D168" s="528">
        <f t="shared" si="30"/>
        <v>1.337940355687796</v>
      </c>
      <c r="E168" s="347">
        <v>1113.1837939566296</v>
      </c>
      <c r="F168" s="509">
        <f t="shared" si="29"/>
        <v>832.01301853577354</v>
      </c>
      <c r="G168" s="509">
        <f t="shared" si="31"/>
        <v>9984.1562224292829</v>
      </c>
    </row>
    <row r="169" spans="1:7" x14ac:dyDescent="0.3">
      <c r="A169" s="352">
        <v>2018</v>
      </c>
      <c r="B169" s="505">
        <v>731588</v>
      </c>
      <c r="C169" s="505">
        <v>534626</v>
      </c>
      <c r="D169" s="528">
        <f t="shared" si="30"/>
        <v>1.3684108142888673</v>
      </c>
      <c r="E169" s="347">
        <v>1189.6735742127591</v>
      </c>
      <c r="F169" s="509">
        <f t="shared" si="29"/>
        <v>869.38334730349675</v>
      </c>
      <c r="G169" s="509">
        <f t="shared" si="31"/>
        <v>10432.600167641962</v>
      </c>
    </row>
    <row r="170" spans="1:7" x14ac:dyDescent="0.3">
      <c r="A170" s="352">
        <v>2019</v>
      </c>
      <c r="B170" s="505">
        <v>761984</v>
      </c>
      <c r="C170" s="505">
        <v>546605</v>
      </c>
      <c r="D170" s="528">
        <f t="shared" si="30"/>
        <v>1.3940304241637014</v>
      </c>
      <c r="E170" s="347">
        <v>1203.5992444078374</v>
      </c>
      <c r="F170" s="509">
        <f t="shared" si="29"/>
        <v>863.39524844294101</v>
      </c>
      <c r="G170" s="509">
        <f t="shared" si="31"/>
        <v>10360.742981315292</v>
      </c>
    </row>
    <row r="171" spans="1:7" x14ac:dyDescent="0.3">
      <c r="A171" s="352">
        <v>2020</v>
      </c>
      <c r="B171" s="505">
        <v>703915</v>
      </c>
      <c r="C171" s="505">
        <v>486843</v>
      </c>
      <c r="D171" s="528">
        <f t="shared" si="30"/>
        <v>1.4458768021723636</v>
      </c>
      <c r="E171" s="347">
        <v>1159.5982197649239</v>
      </c>
      <c r="F171" s="509">
        <f t="shared" si="29"/>
        <v>802.00347500055386</v>
      </c>
      <c r="G171" s="509">
        <f t="shared" si="31"/>
        <v>9624.0417000066464</v>
      </c>
    </row>
    <row r="172" spans="1:7" x14ac:dyDescent="0.3">
      <c r="A172" s="352">
        <v>2021</v>
      </c>
      <c r="B172" s="505">
        <v>878281</v>
      </c>
      <c r="C172" s="505">
        <v>551898</v>
      </c>
      <c r="D172" s="528">
        <f t="shared" si="30"/>
        <v>1.5913828279863309</v>
      </c>
      <c r="E172" s="347">
        <v>1233.2296442011746</v>
      </c>
      <c r="F172" s="509">
        <f t="shared" si="29"/>
        <v>774.94215880263812</v>
      </c>
      <c r="G172" s="509">
        <f t="shared" si="31"/>
        <v>9299.3059056316579</v>
      </c>
    </row>
    <row r="173" spans="1:7" x14ac:dyDescent="0.3">
      <c r="A173" s="352">
        <v>2022</v>
      </c>
      <c r="B173" s="505">
        <v>943706</v>
      </c>
      <c r="C173" s="505">
        <v>567401</v>
      </c>
      <c r="D173" s="528">
        <f t="shared" si="30"/>
        <v>1.6632082072467267</v>
      </c>
      <c r="E173" s="347">
        <v>1417.2</v>
      </c>
      <c r="F173" s="509">
        <f t="shared" si="29"/>
        <v>852.08814736793033</v>
      </c>
      <c r="G173" s="509">
        <f t="shared" si="31"/>
        <v>10225.057768415165</v>
      </c>
    </row>
    <row r="174" spans="1:7" x14ac:dyDescent="0.3">
      <c r="A174" s="352">
        <v>2023</v>
      </c>
      <c r="B174" s="505">
        <v>999447</v>
      </c>
      <c r="C174" s="505">
        <v>565113</v>
      </c>
      <c r="D174" s="528">
        <f t="shared" si="30"/>
        <v>1.7685790275573203</v>
      </c>
      <c r="E174" s="347">
        <v>1476.7</v>
      </c>
      <c r="F174" s="509">
        <f t="shared" si="29"/>
        <v>834.96410224854355</v>
      </c>
      <c r="G174" s="509">
        <f t="shared" si="31"/>
        <v>10019.569226982523</v>
      </c>
    </row>
  </sheetData>
  <mergeCells count="5">
    <mergeCell ref="A31:F32"/>
    <mergeCell ref="A35:D35"/>
    <mergeCell ref="A61:G62"/>
    <mergeCell ref="A88:G89"/>
    <mergeCell ref="A147:F148"/>
  </mergeCells>
  <pageMargins left="0.7" right="0.7" top="0.75" bottom="0.75" header="0.3" footer="0.3"/>
  <ignoredErrors>
    <ignoredError sqref="B6:B27" calculatedColumn="1"/>
    <ignoredError sqref="E65:E85" formulaRange="1"/>
  </ignoredErrors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407</vt:i4>
      </vt:variant>
      <vt:variant>
        <vt:lpstr>Rangos con nombre</vt:lpstr>
      </vt:variant>
      <vt:variant>
        <vt:i4>127</vt:i4>
      </vt:variant>
    </vt:vector>
  </HeadingPairs>
  <TitlesOfParts>
    <vt:vector size="534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c-504</vt:lpstr>
      <vt:lpstr>c-505</vt:lpstr>
      <vt:lpstr>Tabla_5</vt:lpstr>
      <vt:lpstr>Tabla_6</vt:lpstr>
      <vt:lpstr>c-506</vt:lpstr>
      <vt:lpstr>empleo_informal</vt:lpstr>
      <vt:lpstr>poblacion_rural</vt:lpstr>
      <vt:lpstr>data_panel</vt:lpstr>
      <vt:lpstr>La_Libertad</vt:lpstr>
      <vt:lpstr>Piura</vt:lpstr>
      <vt:lpstr>Lambayeque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2025-06-20T07:39:32Z</dcterms:modified>
</cp:coreProperties>
</file>