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7EB044C9-24C9-4EA9-8D86-6788AB356880}" xr6:coauthVersionLast="47" xr6:coauthVersionMax="47" xr10:uidLastSave="{00000000-0000-0000-0000-000000000000}"/>
  <bookViews>
    <workbookView xWindow="-108" yWindow="-108" windowWidth="23256" windowHeight="12456" firstSheet="396" activeTab="400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  <sheet name="c-504" sheetId="580" r:id="rId397"/>
    <sheet name="c-505" sheetId="581" r:id="rId398"/>
    <sheet name="Tabla_5" sheetId="582" r:id="rId399"/>
    <sheet name="Tabla_6" sheetId="583" r:id="rId400"/>
    <sheet name="c-506" sheetId="584" r:id="rId401"/>
    <sheet name="SS_Basicos" sheetId="585" r:id="rId402"/>
    <sheet name="empleo_informal" sheetId="586" r:id="rId403"/>
    <sheet name="poblacion_rural" sheetId="587" r:id="rId404"/>
    <sheet name="inver_pub_percap" sheetId="588" r:id="rId405"/>
  </sheets>
  <externalReferences>
    <externalReference r:id="rId406"/>
    <externalReference r:id="rId407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" i="584" l="1"/>
  <c r="G8" i="584"/>
  <c r="G9" i="584"/>
  <c r="G10" i="584"/>
  <c r="G11" i="584"/>
  <c r="G12" i="584"/>
  <c r="G13" i="584"/>
  <c r="G14" i="584"/>
  <c r="G15" i="584"/>
  <c r="G16" i="584"/>
  <c r="G17" i="584"/>
  <c r="G18" i="584"/>
  <c r="G19" i="584"/>
  <c r="G20" i="584"/>
  <c r="G21" i="584"/>
  <c r="G22" i="584"/>
  <c r="G6" i="584"/>
  <c r="F7" i="588"/>
  <c r="F8" i="588"/>
  <c r="F9" i="588"/>
  <c r="F10" i="588"/>
  <c r="F11" i="588"/>
  <c r="F12" i="588"/>
  <c r="F13" i="588"/>
  <c r="F14" i="588"/>
  <c r="F15" i="588"/>
  <c r="F16" i="588"/>
  <c r="F17" i="588"/>
  <c r="F18" i="588"/>
  <c r="F19" i="588"/>
  <c r="F20" i="588"/>
  <c r="F21" i="588"/>
  <c r="F22" i="588"/>
  <c r="F6" i="588"/>
  <c r="E7" i="588"/>
  <c r="E8" i="588"/>
  <c r="E9" i="588"/>
  <c r="E10" i="588"/>
  <c r="E11" i="588"/>
  <c r="E12" i="588"/>
  <c r="E13" i="588"/>
  <c r="E14" i="588"/>
  <c r="E15" i="588"/>
  <c r="E16" i="588"/>
  <c r="E17" i="588"/>
  <c r="E18" i="588"/>
  <c r="E19" i="588"/>
  <c r="E20" i="588"/>
  <c r="E21" i="588"/>
  <c r="E22" i="588"/>
  <c r="E6" i="588"/>
  <c r="D6" i="588"/>
  <c r="D7" i="588"/>
  <c r="D8" i="588"/>
  <c r="D9" i="588"/>
  <c r="D10" i="588"/>
  <c r="D11" i="588"/>
  <c r="D12" i="588"/>
  <c r="D13" i="588"/>
  <c r="D14" i="588"/>
  <c r="D15" i="588"/>
  <c r="D16" i="588"/>
  <c r="D17" i="588"/>
  <c r="D18" i="588"/>
  <c r="D19" i="588"/>
  <c r="D20" i="588"/>
  <c r="D21" i="588"/>
  <c r="D22" i="588"/>
  <c r="B6" i="588"/>
  <c r="B7" i="588"/>
  <c r="B8" i="588"/>
  <c r="B9" i="588"/>
  <c r="B10" i="588"/>
  <c r="B11" i="588"/>
  <c r="B12" i="588"/>
  <c r="B13" i="588"/>
  <c r="B14" i="588"/>
  <c r="B15" i="588"/>
  <c r="B16" i="588"/>
  <c r="B17" i="588"/>
  <c r="B18" i="588"/>
  <c r="B19" i="588"/>
  <c r="B20" i="588"/>
  <c r="B21" i="588"/>
  <c r="B22" i="588"/>
  <c r="J16" i="584"/>
  <c r="J17" i="584"/>
  <c r="J18" i="584"/>
  <c r="J19" i="584"/>
  <c r="J20" i="584"/>
  <c r="J21" i="584"/>
  <c r="J22" i="584"/>
  <c r="J7" i="584"/>
  <c r="J8" i="584"/>
  <c r="J9" i="584"/>
  <c r="J10" i="584"/>
  <c r="J11" i="584"/>
  <c r="J12" i="584"/>
  <c r="J13" i="584"/>
  <c r="J14" i="584"/>
  <c r="J15" i="584"/>
  <c r="J6" i="584"/>
  <c r="C22" i="587"/>
  <c r="B22" i="587"/>
  <c r="C18" i="587"/>
  <c r="C19" i="587" s="1"/>
  <c r="C20" i="587" s="1"/>
  <c r="C17" i="587"/>
  <c r="B18" i="587"/>
  <c r="B19" i="587" s="1"/>
  <c r="B20" i="587" s="1"/>
  <c r="B17" i="587"/>
  <c r="L10" i="587"/>
  <c r="K10" i="587"/>
  <c r="C6" i="587"/>
  <c r="D11" i="581"/>
  <c r="D12" i="581"/>
  <c r="D10" i="581"/>
  <c r="I22" i="584" l="1"/>
  <c r="BQ8" i="586"/>
  <c r="BM8" i="586"/>
  <c r="I21" i="584" s="1"/>
  <c r="BI8" i="586"/>
  <c r="I20" i="584" s="1"/>
  <c r="BE8" i="586"/>
  <c r="I19" i="584" s="1"/>
  <c r="BA8" i="586"/>
  <c r="I18" i="584" s="1"/>
  <c r="AW8" i="586"/>
  <c r="I17" i="584" s="1"/>
  <c r="AS8" i="586"/>
  <c r="I16" i="584" s="1"/>
  <c r="AO8" i="586"/>
  <c r="I15" i="584" s="1"/>
  <c r="AK8" i="586"/>
  <c r="I14" i="584" s="1"/>
  <c r="AG8" i="586"/>
  <c r="I13" i="584" s="1"/>
  <c r="AC8" i="586"/>
  <c r="I12" i="584" s="1"/>
  <c r="Y8" i="586"/>
  <c r="I11" i="584" s="1"/>
  <c r="U8" i="586"/>
  <c r="I10" i="584" s="1"/>
  <c r="Q8" i="586"/>
  <c r="I9" i="584" s="1"/>
  <c r="M8" i="586"/>
  <c r="I8" i="584" s="1"/>
  <c r="I8" i="586"/>
  <c r="I7" i="584" s="1"/>
  <c r="E8" i="586"/>
  <c r="I6" i="584" s="1"/>
  <c r="H22" i="584"/>
  <c r="H21" i="584"/>
  <c r="H20" i="584"/>
  <c r="H19" i="584"/>
  <c r="H18" i="584"/>
  <c r="H17" i="584"/>
  <c r="H16" i="584"/>
  <c r="H15" i="584"/>
  <c r="H14" i="584"/>
  <c r="H13" i="584"/>
  <c r="H12" i="584"/>
  <c r="H11" i="584"/>
  <c r="H10" i="584"/>
  <c r="H9" i="584"/>
  <c r="H8" i="584"/>
  <c r="H7" i="584"/>
  <c r="H6" i="584"/>
  <c r="C11" i="585"/>
  <c r="D11" i="585"/>
  <c r="E11" i="585"/>
  <c r="F11" i="585"/>
  <c r="G11" i="585"/>
  <c r="H11" i="585"/>
  <c r="I11" i="585"/>
  <c r="J11" i="585"/>
  <c r="K11" i="585"/>
  <c r="L11" i="585"/>
  <c r="M11" i="585"/>
  <c r="N11" i="585"/>
  <c r="O11" i="585"/>
  <c r="P11" i="585"/>
  <c r="Q11" i="585"/>
  <c r="R11" i="585"/>
  <c r="B11" i="585"/>
  <c r="C8" i="584"/>
  <c r="E7" i="571"/>
  <c r="E8" i="571"/>
  <c r="E9" i="571"/>
  <c r="E10" i="571"/>
  <c r="E11" i="571"/>
  <c r="E12" i="571"/>
  <c r="E13" i="571"/>
  <c r="E14" i="571"/>
  <c r="E15" i="571"/>
  <c r="E16" i="571"/>
  <c r="E17" i="571"/>
  <c r="E18" i="571"/>
  <c r="E19" i="571"/>
  <c r="E20" i="571"/>
  <c r="E21" i="571"/>
  <c r="E22" i="571"/>
  <c r="E6" i="571"/>
  <c r="J22" i="571"/>
  <c r="J21" i="571"/>
  <c r="K22" i="571"/>
  <c r="K9" i="571"/>
  <c r="K10" i="571"/>
  <c r="K11" i="571"/>
  <c r="K12" i="571"/>
  <c r="K13" i="571"/>
  <c r="K14" i="571"/>
  <c r="K15" i="571"/>
  <c r="K16" i="571"/>
  <c r="K17" i="571"/>
  <c r="K18" i="571"/>
  <c r="K19" i="571"/>
  <c r="K20" i="571"/>
  <c r="K8" i="571"/>
  <c r="K7" i="571"/>
  <c r="E20" i="576"/>
  <c r="E19" i="576"/>
  <c r="E17" i="576"/>
  <c r="E16" i="576"/>
  <c r="E13" i="576"/>
  <c r="D11" i="576"/>
  <c r="D10" i="576"/>
  <c r="D11" i="584"/>
  <c r="D12" i="584"/>
  <c r="D10" i="584"/>
  <c r="E12" i="576"/>
  <c r="E11" i="576"/>
  <c r="E10" i="576"/>
  <c r="B7" i="571"/>
  <c r="B8" i="571"/>
  <c r="B9" i="571"/>
  <c r="B10" i="571"/>
  <c r="B11" i="571"/>
  <c r="B12" i="571"/>
  <c r="B13" i="571"/>
  <c r="B14" i="571"/>
  <c r="B15" i="571"/>
  <c r="B16" i="571"/>
  <c r="B17" i="571"/>
  <c r="B18" i="571"/>
  <c r="B19" i="571"/>
  <c r="B20" i="571"/>
  <c r="B21" i="571"/>
  <c r="B22" i="571"/>
  <c r="B6" i="571"/>
  <c r="D10" i="571"/>
  <c r="D11" i="571"/>
  <c r="D12" i="571"/>
  <c r="D13" i="571"/>
  <c r="D14" i="571"/>
  <c r="D15" i="571"/>
  <c r="D16" i="571"/>
  <c r="D17" i="571"/>
  <c r="D18" i="571"/>
  <c r="D19" i="571"/>
  <c r="D20" i="571"/>
  <c r="D9" i="571"/>
  <c r="D8" i="571"/>
  <c r="D7" i="571"/>
  <c r="D6" i="571"/>
  <c r="I7" i="571"/>
  <c r="I8" i="571"/>
  <c r="I9" i="571"/>
  <c r="I10" i="571"/>
  <c r="I11" i="571"/>
  <c r="I12" i="571"/>
  <c r="I13" i="571"/>
  <c r="I14" i="571"/>
  <c r="I15" i="571"/>
  <c r="I16" i="571"/>
  <c r="I17" i="571"/>
  <c r="I18" i="571"/>
  <c r="I19" i="571"/>
  <c r="I20" i="571"/>
  <c r="I21" i="571"/>
  <c r="I22" i="571"/>
  <c r="I6" i="571"/>
  <c r="H7" i="571"/>
  <c r="H8" i="571"/>
  <c r="H9" i="571"/>
  <c r="H10" i="571"/>
  <c r="H11" i="571"/>
  <c r="H12" i="571"/>
  <c r="H13" i="571"/>
  <c r="H14" i="571"/>
  <c r="H15" i="571"/>
  <c r="H16" i="571"/>
  <c r="H17" i="571"/>
  <c r="H18" i="571"/>
  <c r="H19" i="571"/>
  <c r="H20" i="571"/>
  <c r="H21" i="571"/>
  <c r="H22" i="571"/>
  <c r="H6" i="571"/>
  <c r="G7" i="571"/>
  <c r="G8" i="571"/>
  <c r="G9" i="571"/>
  <c r="G10" i="571"/>
  <c r="G11" i="571"/>
  <c r="G12" i="571"/>
  <c r="G13" i="571"/>
  <c r="G14" i="571"/>
  <c r="G15" i="571"/>
  <c r="G16" i="571"/>
  <c r="G17" i="571"/>
  <c r="G18" i="571"/>
  <c r="G19" i="571"/>
  <c r="G20" i="571"/>
  <c r="G21" i="571"/>
  <c r="G22" i="571"/>
  <c r="G6" i="571"/>
  <c r="O22" i="573"/>
  <c r="O23" i="573"/>
  <c r="O24" i="573"/>
  <c r="O21" i="573"/>
  <c r="C9" i="573"/>
  <c r="C8" i="573"/>
  <c r="C7" i="573"/>
  <c r="B9" i="573"/>
  <c r="B10" i="573" s="1"/>
  <c r="B8" i="573"/>
  <c r="B7" i="573"/>
  <c r="D10" i="573"/>
  <c r="E10" i="573"/>
  <c r="F10" i="573"/>
  <c r="G10" i="573"/>
  <c r="H10" i="573"/>
  <c r="I10" i="573"/>
  <c r="J10" i="573"/>
  <c r="K10" i="573"/>
  <c r="M10" i="573"/>
  <c r="N10" i="573"/>
  <c r="O10" i="573"/>
  <c r="P10" i="573"/>
  <c r="Q10" i="573"/>
  <c r="R10" i="573"/>
  <c r="C10" i="573" l="1"/>
  <c r="B22" i="572"/>
  <c r="B21" i="572"/>
  <c r="B20" i="572"/>
  <c r="B19" i="572"/>
  <c r="B18" i="572"/>
  <c r="B17" i="572"/>
  <c r="B15" i="572"/>
  <c r="B14" i="572"/>
  <c r="B13" i="572"/>
  <c r="B12" i="572"/>
  <c r="B11" i="572"/>
  <c r="B10" i="572"/>
  <c r="B9" i="572"/>
  <c r="B8" i="572"/>
  <c r="B7" i="572"/>
  <c r="B6" i="572"/>
  <c r="D6" i="584"/>
  <c r="D9" i="584"/>
  <c r="D13" i="584"/>
  <c r="D14" i="584"/>
  <c r="D15" i="584"/>
  <c r="D16" i="584"/>
  <c r="D17" i="584"/>
  <c r="D18" i="584"/>
  <c r="D19" i="584"/>
  <c r="D20" i="584"/>
  <c r="D21" i="584"/>
  <c r="D22" i="584"/>
  <c r="C22" i="584"/>
  <c r="C21" i="584"/>
  <c r="C20" i="584"/>
  <c r="C19" i="584"/>
  <c r="C18" i="584"/>
  <c r="C17" i="584"/>
  <c r="C16" i="584"/>
  <c r="C15" i="584"/>
  <c r="C14" i="584"/>
  <c r="C13" i="584"/>
  <c r="C12" i="584"/>
  <c r="C11" i="584"/>
  <c r="C10" i="584"/>
  <c r="C9" i="584"/>
  <c r="C7" i="584"/>
  <c r="C6" i="584"/>
  <c r="B22" i="584"/>
  <c r="B21" i="584"/>
  <c r="B20" i="584"/>
  <c r="B19" i="584"/>
  <c r="B18" i="584"/>
  <c r="B17" i="584"/>
  <c r="B16" i="584"/>
  <c r="B15" i="584"/>
  <c r="B14" i="584"/>
  <c r="B13" i="584"/>
  <c r="B12" i="584"/>
  <c r="B11" i="584"/>
  <c r="B10" i="584"/>
  <c r="B9" i="584"/>
  <c r="B8" i="584"/>
  <c r="B7" i="584"/>
  <c r="B6" i="584"/>
  <c r="C37" i="583"/>
  <c r="G8" i="583" s="1"/>
  <c r="H8" i="583" s="1"/>
  <c r="D37" i="583" s="1"/>
  <c r="C38" i="583"/>
  <c r="G10" i="583" s="1"/>
  <c r="H10" i="583" s="1"/>
  <c r="D38" i="583" s="1"/>
  <c r="C39" i="583"/>
  <c r="G12" i="583" s="1"/>
  <c r="H12" i="583" s="1"/>
  <c r="D39" i="583" s="1"/>
  <c r="C40" i="583"/>
  <c r="G14" i="583" s="1"/>
  <c r="H14" i="583" s="1"/>
  <c r="D40" i="583" s="1"/>
  <c r="C41" i="583"/>
  <c r="G16" i="583" s="1"/>
  <c r="H16" i="583" s="1"/>
  <c r="D41" i="583" s="1"/>
  <c r="C42" i="583"/>
  <c r="C43" i="583"/>
  <c r="G20" i="583" s="1"/>
  <c r="H20" i="583" s="1"/>
  <c r="D43" i="583" s="1"/>
  <c r="C44" i="583"/>
  <c r="G22" i="583" s="1"/>
  <c r="H22" i="583" s="1"/>
  <c r="D44" i="583" s="1"/>
  <c r="C45" i="583"/>
  <c r="G24" i="583" s="1"/>
  <c r="H24" i="583" s="1"/>
  <c r="D45" i="583" s="1"/>
  <c r="C46" i="583"/>
  <c r="C47" i="583"/>
  <c r="F47" i="583"/>
  <c r="F46" i="583"/>
  <c r="F45" i="583"/>
  <c r="F44" i="583"/>
  <c r="F43" i="583"/>
  <c r="F42" i="583"/>
  <c r="F41" i="583"/>
  <c r="F40" i="583"/>
  <c r="F39" i="583"/>
  <c r="F38" i="583"/>
  <c r="F37" i="583"/>
  <c r="E38" i="583"/>
  <c r="E39" i="583"/>
  <c r="E40" i="583"/>
  <c r="E41" i="583"/>
  <c r="E42" i="583"/>
  <c r="E43" i="583"/>
  <c r="E44" i="583"/>
  <c r="E45" i="583"/>
  <c r="E46" i="583"/>
  <c r="E47" i="583"/>
  <c r="E37" i="583"/>
  <c r="E36" i="583"/>
  <c r="G28" i="583"/>
  <c r="H28" i="583" s="1"/>
  <c r="D47" i="583" s="1"/>
  <c r="G26" i="583"/>
  <c r="H26" i="583" s="1"/>
  <c r="D46" i="583" s="1"/>
  <c r="G18" i="583"/>
  <c r="H18" i="583" s="1"/>
  <c r="D42" i="583" s="1"/>
  <c r="F36" i="583"/>
  <c r="G33" i="583"/>
  <c r="E29" i="583"/>
  <c r="E28" i="583"/>
  <c r="E27" i="583"/>
  <c r="E26" i="583"/>
  <c r="E25" i="583"/>
  <c r="E24" i="583"/>
  <c r="E23" i="583"/>
  <c r="E22" i="583"/>
  <c r="E21" i="583"/>
  <c r="E20" i="583"/>
  <c r="E19" i="583"/>
  <c r="E18" i="583"/>
  <c r="E17" i="583"/>
  <c r="E16" i="583"/>
  <c r="E15" i="583"/>
  <c r="E14" i="583"/>
  <c r="E13" i="583"/>
  <c r="E12" i="583"/>
  <c r="E11" i="583"/>
  <c r="E10" i="583"/>
  <c r="E9" i="583"/>
  <c r="E8" i="583"/>
  <c r="E7" i="583"/>
  <c r="E6" i="583"/>
  <c r="B8" i="583"/>
  <c r="B10" i="583"/>
  <c r="B12" i="583"/>
  <c r="B14" i="583"/>
  <c r="B16" i="583"/>
  <c r="B18" i="583"/>
  <c r="B20" i="583"/>
  <c r="B22" i="583"/>
  <c r="B24" i="583"/>
  <c r="B26" i="583"/>
  <c r="B28" i="583"/>
  <c r="B6" i="583"/>
  <c r="B12" i="582"/>
  <c r="D6" i="581"/>
  <c r="D9" i="581"/>
  <c r="D13" i="581"/>
  <c r="D14" i="581"/>
  <c r="D15" i="581"/>
  <c r="D16" i="581"/>
  <c r="D17" i="581"/>
  <c r="D18" i="581"/>
  <c r="D19" i="581"/>
  <c r="D20" i="581"/>
  <c r="D21" i="581"/>
  <c r="D22" i="581"/>
  <c r="D5" i="581"/>
  <c r="C6" i="581"/>
  <c r="D6" i="582" s="1"/>
  <c r="C7" i="581"/>
  <c r="C8" i="581"/>
  <c r="F8" i="581" s="1"/>
  <c r="C9" i="581"/>
  <c r="C10" i="581"/>
  <c r="C11" i="581"/>
  <c r="C12" i="581"/>
  <c r="C13" i="581"/>
  <c r="C14" i="581"/>
  <c r="C15" i="581"/>
  <c r="F15" i="581" s="1"/>
  <c r="C16" i="581"/>
  <c r="F16" i="581" s="1"/>
  <c r="C17" i="581"/>
  <c r="F17" i="581" s="1"/>
  <c r="C18" i="581"/>
  <c r="C19" i="581"/>
  <c r="C20" i="581"/>
  <c r="C21" i="581"/>
  <c r="C22" i="581"/>
  <c r="D7" i="582" s="1"/>
  <c r="C5" i="581"/>
  <c r="B6" i="581"/>
  <c r="C6" i="582" s="1"/>
  <c r="B7" i="581"/>
  <c r="B8" i="581"/>
  <c r="E8" i="581" s="1"/>
  <c r="B9" i="581"/>
  <c r="E9" i="581" s="1"/>
  <c r="B10" i="581"/>
  <c r="B11" i="581"/>
  <c r="E11" i="581" s="1"/>
  <c r="B12" i="581"/>
  <c r="B13" i="581"/>
  <c r="B14" i="581"/>
  <c r="B15" i="581"/>
  <c r="B16" i="581"/>
  <c r="E16" i="581" s="1"/>
  <c r="B17" i="581"/>
  <c r="B18" i="581"/>
  <c r="B19" i="581"/>
  <c r="E19" i="581" s="1"/>
  <c r="B20" i="581"/>
  <c r="B21" i="581"/>
  <c r="B22" i="581"/>
  <c r="C7" i="582" s="1"/>
  <c r="B5" i="581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E13" i="581" l="1"/>
  <c r="E20" i="581"/>
  <c r="E12" i="581"/>
  <c r="E10" i="581"/>
  <c r="E15" i="581"/>
  <c r="E18" i="581"/>
  <c r="F13" i="581"/>
  <c r="F14" i="581"/>
  <c r="F21" i="581"/>
  <c r="F20" i="581"/>
  <c r="F12" i="581"/>
  <c r="D12" i="582"/>
  <c r="F18" i="581"/>
  <c r="F10" i="581"/>
  <c r="F7" i="581"/>
  <c r="E21" i="581"/>
  <c r="E17" i="581"/>
  <c r="C12" i="582"/>
  <c r="E7" i="581"/>
  <c r="E22" i="581"/>
  <c r="E14" i="581"/>
  <c r="F22" i="581"/>
  <c r="F19" i="581"/>
  <c r="F11" i="581"/>
  <c r="F9" i="581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6" i="584" s="1"/>
  <c r="E16" i="572"/>
  <c r="E17" i="572"/>
  <c r="E18" i="572"/>
  <c r="F18" i="572" s="1"/>
  <c r="E18" i="584" s="1"/>
  <c r="E19" i="572"/>
  <c r="E20" i="572"/>
  <c r="E21" i="572"/>
  <c r="F21" i="572" s="1"/>
  <c r="E21" i="584" s="1"/>
  <c r="E22" i="572"/>
  <c r="E15" i="572"/>
  <c r="E14" i="572"/>
  <c r="F14" i="572" s="1"/>
  <c r="E14" i="584" s="1"/>
  <c r="E13" i="572"/>
  <c r="F13" i="572" s="1"/>
  <c r="E13" i="584" s="1"/>
  <c r="E12" i="572"/>
  <c r="E11" i="572"/>
  <c r="F11" i="572" s="1"/>
  <c r="E11" i="584" s="1"/>
  <c r="E10" i="572"/>
  <c r="F10" i="572" s="1"/>
  <c r="E10" i="584" s="1"/>
  <c r="E9" i="572"/>
  <c r="F9" i="572" s="1"/>
  <c r="E9" i="584" s="1"/>
  <c r="E8" i="572"/>
  <c r="E7" i="572"/>
  <c r="F7" i="572"/>
  <c r="E7" i="584" s="1"/>
  <c r="F15" i="572"/>
  <c r="E15" i="584" s="1"/>
  <c r="F8" i="572"/>
  <c r="E8" i="584" s="1"/>
  <c r="F12" i="572"/>
  <c r="E12" i="584" s="1"/>
  <c r="F17" i="572"/>
  <c r="E17" i="584" s="1"/>
  <c r="F19" i="572"/>
  <c r="E19" i="584" s="1"/>
  <c r="F20" i="572"/>
  <c r="E20" i="584" s="1"/>
  <c r="F22" i="572"/>
  <c r="E22" i="584" s="1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F15" i="571"/>
  <c r="F16" i="571"/>
  <c r="F7" i="584"/>
  <c r="F8" i="584"/>
  <c r="F9" i="584"/>
  <c r="F10" i="584"/>
  <c r="F11" i="584"/>
  <c r="F14" i="584"/>
  <c r="F15" i="584"/>
  <c r="F16" i="584"/>
  <c r="F17" i="584"/>
  <c r="F18" i="584"/>
  <c r="F19" i="584"/>
  <c r="F6" i="584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E12" i="582" l="1"/>
  <c r="G6" i="582" s="1"/>
  <c r="H6" i="582" s="1"/>
  <c r="F22" i="583"/>
  <c r="F20" i="583"/>
  <c r="F18" i="583"/>
  <c r="F8" i="583"/>
  <c r="F16" i="583"/>
  <c r="F14" i="583"/>
  <c r="F28" i="583"/>
  <c r="F12" i="583"/>
  <c r="F10" i="583"/>
  <c r="F24" i="583"/>
  <c r="F26" i="583"/>
  <c r="F19" i="571"/>
  <c r="F11" i="571"/>
  <c r="F13" i="571"/>
  <c r="F13" i="584"/>
  <c r="F18" i="571"/>
  <c r="F20" i="571"/>
  <c r="F20" i="584"/>
  <c r="F12" i="571"/>
  <c r="F12" i="584"/>
  <c r="F17" i="571"/>
  <c r="F10" i="571"/>
  <c r="F9" i="571"/>
  <c r="F8" i="571"/>
  <c r="F7" i="571"/>
  <c r="E6" i="582"/>
  <c r="F6" i="583"/>
  <c r="F6" i="582"/>
  <c r="C36" i="583"/>
  <c r="G6" i="583" s="1"/>
  <c r="H6" i="583" s="1"/>
  <c r="D36" i="583" s="1"/>
  <c r="G21" i="572"/>
  <c r="G18" i="572"/>
  <c r="G19" i="572"/>
  <c r="G22" i="572"/>
  <c r="G15" i="572"/>
  <c r="G12" i="572"/>
  <c r="G9" i="572"/>
  <c r="G8" i="572"/>
  <c r="G13" i="572"/>
  <c r="G11" i="572"/>
  <c r="G14" i="572"/>
  <c r="G7" i="572"/>
  <c r="G20" i="572"/>
  <c r="G10" i="572"/>
  <c r="F14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  <c r="L10" i="573"/>
  <c r="L19" i="573" s="1"/>
  <c r="B16" i="572" l="1"/>
  <c r="F16" i="572" s="1"/>
  <c r="E16" i="584" l="1"/>
  <c r="G16" i="572"/>
  <c r="G17" i="572"/>
  <c r="H3" i="571"/>
  <c r="D22" i="571" l="1"/>
  <c r="D21" i="571"/>
  <c r="F21" i="584" l="1"/>
  <c r="F21" i="571"/>
  <c r="F22" i="571"/>
  <c r="F22" i="584"/>
  <c r="K9" i="587"/>
  <c r="B7" i="587" s="1"/>
  <c r="B8" i="587" s="1"/>
  <c r="B9" i="587" s="1"/>
  <c r="B10" i="587" s="1"/>
  <c r="B11" i="587" s="1"/>
  <c r="B12" i="587" s="1"/>
  <c r="B13" i="587" s="1"/>
  <c r="B14" i="587" s="1"/>
  <c r="B15" i="587" s="1"/>
  <c r="C16" i="587"/>
  <c r="L9" i="587" s="1"/>
  <c r="C7" i="587" s="1"/>
  <c r="C8" i="587" s="1"/>
  <c r="C9" i="587" s="1"/>
  <c r="C10" i="587" s="1"/>
  <c r="C11" i="587" s="1"/>
  <c r="C12" i="587" s="1"/>
  <c r="C13" i="587" s="1"/>
  <c r="C14" i="587" s="1"/>
  <c r="C15" i="587" s="1"/>
  <c r="E7" i="576"/>
  <c r="E8" i="576"/>
  <c r="D7" i="581"/>
  <c r="D8" i="581"/>
  <c r="D7" i="584"/>
  <c r="D8" i="584"/>
</calcChain>
</file>

<file path=xl/sharedStrings.xml><?xml version="1.0" encoding="utf-8"?>
<sst xmlns="http://schemas.openxmlformats.org/spreadsheetml/2006/main" count="17015" uniqueCount="1070">
  <si>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</si>
  <si>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</si>
  <si>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</si>
  <si>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</si>
  <si>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</si>
  <si>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</si>
  <si>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</si>
  <si>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</si>
  <si>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</si>
  <si>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</si>
  <si>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</si>
  <si>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</si>
  <si>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</si>
  <si>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</si>
  <si>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</si>
  <si>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</si>
  <si>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</si>
  <si>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</si>
  <si>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</si>
  <si>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</si>
  <si>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</si>
  <si>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</si>
  <si>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</si>
  <si>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</si>
  <si>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</si>
  <si>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</si>
  <si>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</si>
  <si>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</si>
  <si>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</si>
  <si>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</si>
  <si>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</si>
  <si>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</si>
  <si>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</si>
  <si>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</si>
  <si>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</si>
  <si>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</si>
  <si>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</si>
  <si>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</si>
  <si>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</si>
  <si>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</si>
  <si>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</si>
  <si>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</si>
  <si>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</si>
  <si>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</si>
  <si>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</si>
  <si>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</si>
  <si>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</si>
  <si>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</si>
  <si>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</si>
  <si>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</si>
  <si>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</si>
  <si>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</si>
  <si>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</si>
  <si>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</si>
  <si>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</si>
  <si>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</si>
  <si>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</si>
  <si>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</si>
  <si>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</si>
  <si>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</si>
  <si>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</si>
  <si>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</si>
  <si>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</si>
  <si>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</si>
  <si>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</si>
  <si>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</si>
  <si>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</si>
  <si>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</si>
  <si>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</si>
  <si>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</si>
  <si>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</si>
  <si>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</si>
  <si>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</si>
  <si>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</si>
  <si>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</si>
  <si>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</si>
  <si>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</si>
  <si>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</si>
  <si>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</si>
  <si>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</si>
  <si>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</si>
  <si>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</si>
  <si>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</si>
  <si>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</si>
  <si>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</si>
  <si>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</si>
  <si>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</si>
  <si>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</si>
  <si>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</si>
  <si>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</si>
  <si>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</si>
  <si>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</si>
  <si>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</si>
  <si>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</si>
  <si>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</si>
  <si>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</si>
  <si>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</si>
  <si>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</si>
  <si>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</si>
  <si>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</si>
  <si>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</si>
  <si>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</si>
  <si>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</si>
  <si>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</si>
  <si>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</si>
  <si>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</si>
  <si>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</si>
  <si>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</si>
  <si>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</si>
  <si>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</si>
  <si>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</si>
  <si>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</si>
  <si>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</si>
  <si>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</si>
  <si>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</si>
  <si>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</si>
  <si>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</si>
  <si>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</si>
  <si>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</si>
  <si>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</si>
  <si>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</si>
  <si>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</si>
  <si>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</si>
  <si>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</si>
  <si>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</si>
  <si>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</si>
  <si>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</si>
  <si>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</si>
  <si>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</si>
  <si>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</si>
  <si>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</si>
  <si>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</si>
  <si>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</si>
  <si>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</si>
  <si>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</si>
  <si>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</si>
  <si>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</si>
  <si>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</si>
  <si>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</si>
  <si>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</si>
  <si>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</si>
  <si>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</si>
  <si>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</si>
  <si>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</si>
  <si>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</si>
  <si>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</si>
  <si>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</si>
  <si>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</si>
  <si>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</si>
  <si>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</si>
  <si>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</si>
  <si>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</si>
  <si>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</si>
  <si>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</si>
  <si>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</si>
  <si>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</si>
  <si>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</si>
  <si>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</si>
  <si>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</si>
  <si>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</si>
  <si>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</si>
  <si>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</si>
  <si>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</si>
  <si>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</si>
  <si>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</si>
  <si>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</si>
  <si>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</si>
  <si>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</si>
  <si>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</si>
  <si>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</si>
  <si>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</si>
  <si>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</si>
  <si>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</si>
  <si>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</si>
  <si>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</si>
  <si>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</si>
  <si>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</si>
  <si>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</si>
  <si>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</si>
  <si>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</si>
  <si>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</si>
  <si>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</si>
  <si>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</si>
  <si>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</si>
  <si>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</si>
  <si>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</si>
  <si>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</si>
  <si>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</si>
  <si>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</si>
  <si>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</si>
  <si>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</si>
  <si>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</si>
  <si>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</si>
  <si>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</si>
  <si>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</si>
  <si>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</si>
  <si>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</si>
  <si>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</si>
  <si>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</si>
  <si>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</si>
  <si>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</si>
  <si>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</si>
  <si>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</si>
  <si>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</si>
  <si>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</si>
  <si>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</si>
  <si>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</si>
  <si>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</si>
  <si>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</si>
  <si>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</si>
  <si>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</si>
  <si>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</si>
  <si>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</si>
  <si>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</si>
  <si>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</si>
  <si>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</si>
  <si>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</si>
  <si>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</si>
  <si>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</si>
  <si>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</si>
  <si>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</si>
  <si>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</si>
  <si>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</si>
  <si>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</si>
  <si>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</si>
  <si>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</si>
  <si>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</si>
  <si>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</si>
  <si>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</si>
  <si>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</si>
  <si>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</si>
  <si>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</si>
  <si>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</si>
  <si>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</si>
  <si>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</si>
  <si>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</si>
  <si>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</si>
  <si>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</si>
  <si>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</si>
  <si>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</si>
  <si>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</si>
  <si>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</si>
  <si>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</si>
  <si>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</si>
  <si>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</si>
  <si>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</si>
  <si>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</si>
  <si>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</si>
  <si>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</si>
  <si>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</si>
  <si>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</si>
  <si>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</si>
  <si>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</si>
  <si>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</si>
  <si>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</si>
  <si>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</si>
  <si>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</si>
  <si>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</si>
  <si>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</si>
  <si>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</si>
  <si>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</si>
  <si>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</si>
  <si>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</si>
  <si>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</si>
  <si>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</si>
  <si>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</si>
  <si>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</si>
  <si>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</si>
  <si>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</si>
  <si>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</si>
  <si>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</si>
  <si>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</si>
  <si>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</si>
  <si>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</si>
  <si>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</si>
  <si>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</si>
  <si>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</si>
  <si>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</si>
  <si>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</si>
  <si>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</si>
  <si>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</si>
  <si>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</si>
  <si>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</si>
  <si>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</si>
  <si>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</si>
  <si>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</si>
  <si>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</si>
  <si>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</si>
  <si>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</si>
  <si>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</si>
  <si>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</si>
  <si>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</si>
  <si>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</si>
  <si>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</si>
  <si>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</si>
  <si>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</si>
  <si>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</si>
  <si>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</si>
  <si>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</si>
  <si>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</si>
  <si>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</si>
  <si>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</si>
  <si>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</si>
  <si>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</si>
  <si>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</si>
  <si>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</si>
  <si>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</si>
  <si>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</si>
  <si>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</si>
  <si>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</si>
  <si>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</si>
  <si>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</si>
  <si>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</si>
  <si>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</si>
  <si>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</si>
  <si>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</si>
  <si>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</si>
  <si>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</si>
  <si>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</si>
  <si>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</si>
  <si>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</si>
  <si>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</si>
  <si>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</si>
  <si>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</si>
  <si>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</si>
  <si>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</si>
  <si>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</si>
  <si>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</si>
  <si>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</si>
  <si>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</si>
  <si>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</si>
  <si>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</si>
  <si>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</si>
  <si>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</si>
  <si>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</si>
  <si>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</si>
  <si>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</si>
  <si>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</si>
  <si>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</si>
  <si>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</si>
  <si>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</si>
  <si>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</si>
  <si>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</si>
  <si>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</si>
  <si>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</si>
  <si>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</si>
  <si>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</si>
  <si>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</si>
  <si>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</si>
  <si>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</si>
  <si>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</si>
  <si>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</si>
  <si>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</si>
  <si>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</si>
  <si>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</si>
  <si>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</si>
  <si>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</si>
  <si>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</si>
  <si>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</si>
  <si>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</si>
  <si>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</si>
  <si>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</si>
  <si>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</si>
  <si>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</si>
  <si>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</si>
  <si>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</si>
  <si>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</si>
  <si>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</si>
  <si>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</si>
  <si>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</si>
  <si>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</si>
  <si>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</si>
  <si>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</si>
  <si>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</si>
  <si>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</si>
  <si>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</si>
  <si>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</si>
  <si>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</si>
  <si>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</si>
  <si>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</si>
  <si>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</si>
  <si>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</si>
  <si>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</si>
  <si>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</si>
  <si>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</si>
  <si>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</si>
  <si>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</si>
  <si>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</si>
  <si>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</si>
  <si>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</si>
  <si>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</si>
  <si>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</si>
  <si>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</si>
  <si>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</si>
  <si>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</si>
  <si>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</si>
  <si>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</si>
  <si>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</si>
  <si>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</si>
  <si>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</si>
  <si>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</si>
  <si>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</si>
  <si>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</si>
  <si>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</si>
  <si>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</si>
  <si>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</si>
  <si>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</si>
  <si>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</si>
  <si>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</si>
  <si>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</si>
  <si>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</si>
  <si>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</si>
  <si>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</si>
  <si>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</si>
  <si>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</si>
  <si>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</si>
  <si>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</si>
  <si>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</si>
  <si>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</si>
  <si>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</si>
  <si>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</si>
  <si>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</si>
  <si>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</si>
  <si>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</si>
  <si>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</si>
  <si>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</si>
  <si>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</si>
  <si>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</si>
  <si>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</si>
  <si>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</si>
  <si>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</si>
  <si>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</si>
  <si>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</si>
  <si>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</si>
  <si>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</si>
  <si>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</si>
  <si>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</si>
  <si>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</si>
  <si>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</si>
  <si>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</si>
  <si>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</si>
  <si>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</si>
  <si>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</si>
  <si>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</si>
  <si>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</si>
  <si>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</si>
  <si>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</si>
  <si>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</si>
  <si>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</si>
  <si>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</si>
  <si>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</si>
  <si>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</si>
  <si>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</si>
  <si>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</si>
  <si>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</si>
  <si>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</si>
  <si>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</si>
  <si>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</si>
  <si>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</si>
  <si>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</si>
  <si>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</si>
  <si>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</si>
  <si>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</si>
  <si>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</si>
  <si>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</si>
  <si>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</si>
  <si>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</si>
  <si>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</si>
  <si>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</si>
  <si>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</si>
  <si>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</si>
  <si>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</si>
  <si>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</si>
  <si>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</si>
  <si>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</si>
  <si>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</si>
  <si>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</si>
  <si>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</si>
  <si>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</si>
  <si>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</si>
  <si>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</si>
  <si>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</si>
  <si>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</si>
  <si>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</si>
  <si>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</si>
  <si>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</si>
  <si>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</si>
  <si>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</si>
  <si>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</si>
  <si>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</si>
  <si>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</si>
  <si>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</si>
  <si>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</si>
  <si>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</si>
  <si>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</si>
  <si>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</si>
  <si>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</si>
  <si>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</si>
  <si>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</si>
  <si>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</si>
  <si>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</si>
  <si>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</si>
  <si>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</si>
  <si>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</si>
  <si>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</si>
  <si>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</si>
  <si>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</si>
  <si>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</si>
  <si>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</si>
  <si>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</si>
  <si>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</si>
  <si>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</si>
  <si>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</si>
  <si>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</si>
  <si>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</si>
  <si>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</si>
  <si>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</si>
  <si>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</si>
  <si>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</si>
  <si>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</si>
  <si>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</si>
  <si>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</si>
  <si>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</si>
  <si>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</si>
  <si>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</si>
  <si>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</si>
  <si>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</si>
  <si>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</si>
  <si>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</si>
  <si>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</si>
  <si>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</si>
  <si>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</si>
  <si>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</si>
  <si>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</si>
  <si>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</si>
  <si>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</si>
  <si>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</si>
  <si>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</si>
  <si>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</si>
  <si>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</si>
  <si>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</si>
  <si>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</si>
  <si>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</si>
  <si>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</si>
  <si>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</si>
  <si>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</si>
  <si>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</si>
  <si>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</si>
  <si>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</si>
  <si>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</si>
  <si>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</si>
  <si>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</si>
  <si>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</si>
  <si>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</si>
  <si>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</si>
  <si>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</si>
  <si>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</si>
  <si>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</si>
  <si>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</si>
  <si>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</si>
  <si>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</si>
  <si>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</si>
  <si>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</si>
  <si>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</si>
  <si>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</si>
  <si>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</si>
  <si>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</si>
  <si>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</si>
  <si>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</si>
  <si>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</si>
  <si>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</si>
  <si>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</si>
  <si>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</si>
  <si>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</si>
  <si>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</si>
  <si>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</si>
  <si>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</si>
  <si>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</si>
  <si>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</si>
  <si>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</si>
  <si>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</si>
  <si>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</si>
  <si>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</si>
  <si>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</si>
  <si>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</si>
  <si>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</si>
  <si>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</si>
  <si>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</si>
  <si>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</si>
  <si>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</si>
  <si>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</si>
  <si>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</si>
  <si>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</si>
  <si>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</si>
  <si>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</si>
  <si>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</si>
  <si>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</si>
  <si>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</si>
  <si>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</si>
  <si>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</si>
  <si>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</si>
  <si>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</si>
  <si>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</si>
  <si>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</si>
  <si>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</si>
  <si>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</si>
  <si>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</si>
  <si>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</si>
  <si>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</si>
  <si>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</si>
  <si>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</si>
  <si>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</si>
  <si>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</si>
  <si>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</si>
  <si>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</si>
  <si>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</si>
  <si>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</si>
  <si>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</si>
  <si>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</si>
  <si>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</si>
  <si>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</si>
  <si>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</si>
  <si>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</si>
  <si>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</si>
  <si>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</si>
  <si>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</si>
  <si>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</si>
  <si>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</si>
  <si>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</si>
  <si>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</si>
  <si>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</si>
  <si>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</si>
  <si>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</si>
  <si>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</si>
  <si>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</si>
  <si>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</si>
  <si>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</si>
  <si>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</si>
  <si>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</si>
  <si>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</si>
  <si>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</si>
  <si>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</si>
  <si>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</si>
  <si>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</si>
  <si>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</si>
  <si>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</si>
  <si>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</si>
  <si>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</si>
  <si>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</si>
  <si>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</si>
  <si>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</si>
  <si>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</si>
  <si>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</si>
  <si>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</si>
  <si>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</si>
  <si>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</si>
  <si>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</si>
  <si>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</si>
  <si>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</si>
  <si>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</si>
  <si>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</si>
  <si>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</si>
  <si>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</si>
  <si>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</si>
  <si>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</si>
  <si>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</si>
  <si>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</si>
  <si>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</si>
  <si>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</si>
  <si>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</si>
  <si>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</si>
  <si>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</si>
  <si>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</si>
  <si>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</si>
  <si>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</si>
  <si>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</si>
  <si>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</si>
  <si>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</si>
  <si>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</si>
  <si>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</si>
  <si>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</si>
  <si>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</si>
  <si>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</si>
  <si>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</si>
  <si>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</si>
  <si>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</si>
  <si>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</si>
  <si>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</si>
  <si>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</si>
  <si>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</si>
  <si>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</si>
  <si>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</si>
  <si>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</si>
  <si>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</si>
  <si>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</si>
  <si>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</si>
  <si>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</si>
  <si>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</si>
  <si>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</si>
  <si>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</si>
  <si>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</si>
  <si>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</si>
  <si>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</si>
  <si>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</si>
  <si>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</si>
  <si>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</si>
  <si>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</si>
  <si>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</si>
  <si>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</si>
  <si>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</si>
  <si>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</si>
  <si>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</si>
  <si>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</si>
  <si>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</si>
  <si>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</si>
  <si>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</si>
  <si>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</si>
  <si>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</si>
  <si>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</si>
  <si>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</si>
  <si>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</si>
  <si>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</si>
  <si>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</si>
  <si>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</si>
  <si>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</si>
  <si>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</si>
  <si>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</si>
  <si>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</si>
  <si>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</si>
  <si>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</si>
  <si>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</si>
  <si>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</si>
  <si>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</si>
  <si>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</si>
  <si>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</si>
  <si>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</si>
  <si>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</si>
  <si>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</si>
  <si>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</si>
  <si>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</si>
  <si>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</si>
  <si>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</si>
  <si>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</si>
  <si>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</si>
  <si>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</si>
  <si>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</si>
  <si>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</si>
  <si>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</si>
  <si>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</si>
  <si>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</si>
  <si>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</si>
  <si>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</si>
  <si>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</si>
  <si>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</si>
  <si>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</si>
  <si>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</si>
  <si>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</si>
  <si>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</si>
  <si>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</si>
  <si>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</si>
  <si>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</si>
  <si>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</si>
  <si>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</si>
  <si>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</si>
  <si>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</si>
  <si>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</si>
  <si>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</si>
  <si>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</si>
  <si>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</si>
  <si>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</si>
  <si>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</si>
  <si>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</si>
  <si>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</si>
  <si>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</si>
  <si>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</si>
  <si>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</si>
  <si>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</si>
  <si>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</si>
  <si>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</si>
  <si>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</si>
  <si>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</si>
  <si>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</si>
  <si>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</si>
  <si>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</si>
  <si>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</si>
  <si>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</si>
  <si>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</si>
  <si>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</si>
  <si>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</si>
  <si>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</si>
  <si>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</si>
  <si>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</si>
  <si>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</si>
  <si>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</si>
  <si>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</si>
  <si>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</si>
  <si>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</si>
  <si>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</si>
  <si>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</si>
  <si>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</si>
  <si>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</si>
  <si>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</si>
  <si>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</si>
  <si>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</si>
  <si>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</si>
  <si>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</si>
  <si>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</si>
  <si>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</si>
  <si>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</si>
  <si>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</si>
  <si>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</si>
  <si>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</si>
  <si>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</si>
  <si>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</si>
  <si>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</si>
  <si>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</si>
  <si>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</si>
  <si>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</si>
  <si>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</si>
  <si>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</si>
  <si>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</si>
  <si>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</si>
  <si>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</si>
  <si>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</si>
  <si>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</si>
  <si>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</si>
  <si>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</si>
  <si>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</si>
  <si>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</si>
  <si>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</si>
  <si>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</si>
  <si>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</si>
  <si>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</si>
  <si>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</si>
  <si>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</si>
  <si>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</si>
  <si>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</si>
  <si>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</si>
  <si>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</si>
  <si>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</si>
  <si>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</si>
  <si>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</si>
  <si>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</si>
  <si>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</si>
  <si>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</si>
  <si>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</si>
  <si>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</si>
  <si>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</si>
  <si>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</si>
  <si>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</si>
  <si>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</si>
  <si>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</si>
  <si>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</si>
  <si>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</si>
  <si>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</si>
  <si>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</si>
  <si>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</si>
  <si>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</si>
  <si>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</si>
  <si>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</si>
  <si>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</si>
  <si>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</si>
  <si>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</si>
  <si>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</si>
  <si>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</si>
  <si>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</si>
  <si>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</si>
  <si>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</si>
  <si>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</si>
  <si>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</si>
  <si>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</si>
  <si>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</si>
  <si>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</si>
  <si>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</si>
  <si>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</si>
  <si>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</si>
  <si>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</si>
  <si>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</si>
  <si>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</si>
  <si>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</si>
  <si>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</si>
  <si>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</si>
  <si>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</si>
  <si>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</si>
  <si>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</si>
  <si>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</si>
  <si>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</si>
  <si>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</si>
  <si>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</si>
  <si>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</si>
  <si>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</si>
  <si>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</si>
  <si>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</si>
  <si>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</si>
  <si>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</si>
  <si>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</si>
  <si>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</si>
  <si>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</si>
  <si>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</si>
  <si>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</si>
  <si>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</si>
  <si>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</si>
  <si>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</si>
  <si>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</si>
  <si>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</si>
  <si>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</si>
  <si>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</si>
  <si>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</si>
  <si>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</si>
  <si>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</si>
  <si>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</si>
  <si>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</si>
  <si>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</si>
  <si>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</si>
  <si>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</si>
  <si>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</si>
  <si>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</si>
  <si>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</si>
  <si>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</si>
  <si>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</si>
  <si>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</si>
  <si>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</si>
  <si>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</si>
  <si>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</si>
  <si>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</si>
  <si>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</si>
  <si>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</si>
  <si>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</si>
  <si>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</si>
  <si>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</si>
  <si>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</si>
  <si>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</si>
  <si>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</si>
  <si>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</si>
  <si>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</si>
  <si>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</si>
  <si>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</si>
  <si>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</si>
  <si>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</si>
  <si>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</si>
  <si>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</si>
  <si>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</si>
  <si>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</si>
  <si>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</si>
  <si>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</si>
  <si>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</si>
  <si>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</si>
  <si>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</si>
  <si>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</si>
  <si>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</si>
  <si>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</si>
  <si>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</si>
  <si>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</si>
  <si>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</si>
  <si>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</si>
  <si>
    <t>Cuadro Nº 504</t>
  </si>
  <si>
    <t>GRÁFICA N° 15 EVOLUCIÓN DE LAS CARENCIAS SOCIALES DE LA LIBERTAD 2007-2023</t>
  </si>
  <si>
    <t>porcentaje respecto al total de la población</t>
  </si>
  <si>
    <t>viviendas_inadecuadas</t>
  </si>
  <si>
    <t>viviendas_con_hacinamiento</t>
  </si>
  <si>
    <t>inasistencia_escolar_niños</t>
  </si>
  <si>
    <t>viviendas_sin_servicios_h</t>
  </si>
  <si>
    <t>alta_dependencia_económica</t>
  </si>
  <si>
    <t>Cuadro Nº 505</t>
  </si>
  <si>
    <t>precios constantes 2007 en nuevos soles - porcentaje respecto al total de la población</t>
  </si>
  <si>
    <t>PERÚ: EVOLUCIÓN DE LA INCIDENCIA DE LA POBREZA TOTAL, POBREZA EXTREMA</t>
  </si>
  <si>
    <t>GRÁFICA N° 16: PBI per cápita real y pobreza periodo 2007-2023</t>
  </si>
  <si>
    <t>Tabla N° 5: ELASTICIDAD POBREZA - CRECIMIENTO PROMEDIO ANUAL 2007-2023</t>
  </si>
  <si>
    <t>anual(x)</t>
  </si>
  <si>
    <t>Pobreza</t>
  </si>
  <si>
    <t>Var% pobreza</t>
  </si>
  <si>
    <t>anual(y)</t>
  </si>
  <si>
    <t>Elasticidad(Y/X)</t>
  </si>
  <si>
    <t>Tipo</t>
  </si>
  <si>
    <t>crec_pbi</t>
  </si>
  <si>
    <t>crec_pobreza_total</t>
  </si>
  <si>
    <t>CAGR PBI per</t>
  </si>
  <si>
    <t>CAGR pobreza</t>
  </si>
  <si>
    <t>CALCULO DE CAGR: tasa de crecimiento anual compuesta</t>
  </si>
  <si>
    <t>Elasticidad pobreza - crecimiento</t>
  </si>
  <si>
    <t>N° Años</t>
  </si>
  <si>
    <t>Tipo de crecimiento</t>
  </si>
  <si>
    <t>Interpretación</t>
  </si>
  <si>
    <t>Elasticidad (ε)</t>
  </si>
  <si>
    <t>Pro-pobre fuerte</t>
  </si>
  <si>
    <t>La pobreza cae más que proporcionalmente al crecimiento económico</t>
  </si>
  <si>
    <t>Pro-pobre débil</t>
  </si>
  <si>
    <t>Neutro</t>
  </si>
  <si>
    <t>Por goteo (Trickle-down)</t>
  </si>
  <si>
    <t>Empobrecedor</t>
  </si>
  <si>
    <t>pbi_per_cap</t>
  </si>
  <si>
    <t>Var% pbi_per_cap</t>
  </si>
  <si>
    <t>ε&lt;−1</t>
  </si>
  <si>
    <t>−1&lt;ε&lt;0</t>
  </si>
  <si>
    <t>ε=0</t>
  </si>
  <si>
    <t>ε&gt;0 y crecimiento económico</t>
  </si>
  <si>
    <t>ε&gt;0 y caída del ingreso</t>
  </si>
  <si>
    <t>La pobreza cae, pero menos que proporcionalmente al crecimiento</t>
  </si>
  <si>
    <t>La pobreza no cambia pese al crecimiento económico</t>
  </si>
  <si>
    <t>La pobreza aumenta a pesar del crecimiento económico</t>
  </si>
  <si>
    <t>El ingreso cae y la pobreza aumenta más que proporcionalmente</t>
  </si>
  <si>
    <t>Tabla N° 5: ELASTICIDAD POBREZA - CRECIMIENTO PROMEDIO ANUAL 2007-2018, POR PROVINCIAS.</t>
  </si>
  <si>
    <t>Clasificación del crecimiento según Wodon(2000)</t>
  </si>
  <si>
    <t>Provincia</t>
  </si>
  <si>
    <t>CALCULO DE CAGR: TASA DE CRECIMIENTO ANUAL COMPUESTA</t>
  </si>
  <si>
    <t>Años: 2007-2018</t>
  </si>
  <si>
    <t>Elasticidad pobreza - crecimiento (2007-2018)</t>
  </si>
  <si>
    <t>Cuadro Nº 506</t>
  </si>
  <si>
    <t>La Libertad: pbi per cápita, pobreza total, gasto social, ingreso proveniente del trabajo anual</t>
  </si>
  <si>
    <t xml:space="preserve"> La Libertad: Ingreso promedio mensual y anual proveniente del trabajo, pbi per cápita</t>
  </si>
  <si>
    <t>pbi_percapita</t>
  </si>
  <si>
    <t>crec_percapita</t>
  </si>
  <si>
    <t>LA LIBERTAD: PBI per cápita real y pobreza periodo 2007-2023</t>
  </si>
  <si>
    <t>Evolución de los componentes del Gasto Social en La Libertad 2007-2023</t>
  </si>
  <si>
    <t xml:space="preserve"> valores a precios corrientes(soles)</t>
  </si>
  <si>
    <t>pbi_corriente</t>
  </si>
  <si>
    <t>pbi_constante_2007</t>
  </si>
  <si>
    <t>ingreso_trabajo_corriente</t>
  </si>
  <si>
    <t>tas.crec 2021-2020</t>
  </si>
  <si>
    <t>tasa_crec_promedio</t>
  </si>
  <si>
    <t>Hogares con agua por red pública (%)</t>
  </si>
  <si>
    <t>Hogares con red pública de alcantarillado (%)</t>
  </si>
  <si>
    <t>Hogares con energía eléctrica por red pública (%)</t>
  </si>
  <si>
    <t>servicios_basicos_promedio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</si>
  <si>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</si>
  <si>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</si>
  <si>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</si>
  <si>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</si>
  <si>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</si>
  <si>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</si>
  <si>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</si>
  <si>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</si>
  <si>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</si>
  <si>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</si>
  <si>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</si>
  <si>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</si>
  <si>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</si>
  <si>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</si>
  <si>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</si>
  <si>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</si>
  <si>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</si>
  <si>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Perú: Perfil de la pobreza por Dominios geográficos 2004-2013</t>
  </si>
  <si>
    <t xml:space="preserve"> Usa los valores para hogares pobres, ya que estás tratando de modelar cómo los factores estructurales (como el acceso a servicios) afectan directamente a los pobres.</t>
  </si>
  <si>
    <t>Servicios_basicos_pobres/Año</t>
  </si>
  <si>
    <t>Servicios básicos(Sólo hogares (%) de hogares pobres</t>
  </si>
  <si>
    <t>Perú: Perfil de la pobreza por Dominios geográficos 2013-2023</t>
  </si>
  <si>
    <t>empleo_informal(%)</t>
  </si>
  <si>
    <t xml:space="preserve"> (Miles de personas)</t>
  </si>
  <si>
    <t>Empleo total</t>
  </si>
  <si>
    <t>Empleo formal</t>
  </si>
  <si>
    <t>empleo informal</t>
  </si>
  <si>
    <t>Característica geográfica/Año</t>
  </si>
  <si>
    <t>Departamento</t>
  </si>
  <si>
    <t>PERÚ: PEA OCUPADA POR EMPLEO “FORMAL” Y EMPLEO INFORMAL DENTRO Y FUERA DEL SECTOR INFORMAL, SEGÚN CARACTERÍSTICAS GEOGRÁFICAS, 2007-2021, 2022-2023</t>
  </si>
  <si>
    <t>poblacion_rural</t>
  </si>
  <si>
    <t>empleo_informal</t>
  </si>
  <si>
    <t>Tasa de crecimiento
promedio anual</t>
  </si>
  <si>
    <t>Urbana</t>
  </si>
  <si>
    <t>Rural</t>
  </si>
  <si>
    <t>%_pob_urbana</t>
  </si>
  <si>
    <t>%_pob_rural</t>
  </si>
  <si>
    <t>PERÚ: POBLACIÓN CENSADA URBANA, SEGÚN DEPARTAMENTO, 2007 Y 2017</t>
  </si>
  <si>
    <t>(porcentaje)</t>
  </si>
  <si>
    <t>2018-2022</t>
  </si>
  <si>
    <t>2007-2017</t>
  </si>
  <si>
    <t>año</t>
  </si>
  <si>
    <t>acceso_servicios_basicos</t>
  </si>
  <si>
    <t>inver_pub_percap</t>
  </si>
  <si>
    <t>inver_pub_real</t>
  </si>
  <si>
    <t>invers_pub_corriente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</si>
</sst>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  <numFmt numFmtId="170" formatCode="0.0000000"/>
    <numFmt numFmtId="171" formatCode="0.00000"/>
    <numFmt numFmtId="172" formatCode="_-[$S/-280A]\ * #,##0_-;\-[$S/-280A]\ * #,##0_-;_-[$S/-280A]\ * &quot;-&quot;??_-;_-@_-"/>
    <numFmt numFmtId="173" formatCode="_-[$S/-280A]\ * #,##0.0_-;\-[$S/-280A]\ * #,##0.0_-;_-[$S/-280A]\ * &quot;-&quot;??_-;_-@_-"/>
  </numFmts>
  <fonts count="9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  <font>
      <sz val="10"/>
      <name val="Arial Narrow"/>
      <family val="2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</fills>
  <borders count="55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 style="medium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27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</cellStyleXfs>
  <cellXfs count="583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165" fontId="0" fillId="0" borderId="0" xfId="0" applyNumberFormat="1" applyFill="1"/>
    <xf numFmtId="0" fontId="0" fillId="0" borderId="0" xfId="0" applyFill="1"/>
    <xf numFmtId="4" fontId="0" fillId="0" borderId="0" xfId="0" applyNumberFormat="1"/>
    <xf numFmtId="0" fontId="0" fillId="0" borderId="0" xfId="0" applyAlignment="1">
      <alignment horizontal="left" vertical="center" wrapText="1"/>
    </xf>
    <xf numFmtId="165" fontId="94" fillId="0" borderId="0" xfId="26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5" fontId="94" fillId="0" borderId="0" xfId="26" applyNumberFormat="1" applyFont="1" applyFill="1" applyAlignment="1">
      <alignment horizontal="left" vertical="center" wrapText="1"/>
    </xf>
    <xf numFmtId="170" fontId="0" fillId="0" borderId="0" xfId="0" applyNumberFormat="1"/>
    <xf numFmtId="0" fontId="82" fillId="0" borderId="0" xfId="0" applyFont="1" applyAlignment="1">
      <alignment horizontal="left" wrapText="1"/>
    </xf>
    <xf numFmtId="0" fontId="91" fillId="0" borderId="0" xfId="0" applyFont="1" applyAlignment="1">
      <alignment vertical="center" wrapText="1"/>
    </xf>
    <xf numFmtId="171" fontId="0" fillId="0" borderId="0" xfId="0" applyNumberFormat="1" applyAlignment="1">
      <alignment horizontal="center" vertical="center" wrapText="1"/>
    </xf>
    <xf numFmtId="166" fontId="82" fillId="0" borderId="0" xfId="0" applyNumberFormat="1" applyFont="1" applyAlignment="1">
      <alignment horizontal="center" vertical="center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90" fillId="0" borderId="20" xfId="0" applyFont="1" applyBorder="1" applyAlignment="1">
      <alignment horizontal="center" wrapText="1"/>
    </xf>
    <xf numFmtId="172" fontId="90" fillId="0" borderId="20" xfId="0" applyNumberFormat="1" applyFont="1" applyBorder="1" applyAlignment="1">
      <alignment horizontal="left" wrapText="1"/>
    </xf>
    <xf numFmtId="0" fontId="90" fillId="0" borderId="21" xfId="0" applyFont="1" applyBorder="1" applyAlignment="1">
      <alignment horizontal="center" wrapText="1"/>
    </xf>
    <xf numFmtId="0" fontId="90" fillId="0" borderId="27" xfId="0" applyFont="1" applyBorder="1" applyAlignment="1">
      <alignment horizontal="left" wrapText="1"/>
    </xf>
    <xf numFmtId="0" fontId="90" fillId="0" borderId="29" xfId="0" applyFont="1" applyBorder="1" applyAlignment="1">
      <alignment horizontal="left" wrapText="1"/>
    </xf>
    <xf numFmtId="172" fontId="90" fillId="0" borderId="21" xfId="0" applyNumberFormat="1" applyFont="1" applyBorder="1" applyAlignment="1">
      <alignment horizontal="left" wrapText="1"/>
    </xf>
    <xf numFmtId="0" fontId="82" fillId="0" borderId="12" xfId="0" applyFont="1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7" xfId="0" applyBorder="1"/>
    <xf numFmtId="0" fontId="0" fillId="0" borderId="29" xfId="0" applyBorder="1"/>
    <xf numFmtId="0" fontId="0" fillId="0" borderId="21" xfId="0" applyBorder="1" applyAlignment="1">
      <alignment horizontal="center" vertical="center" wrapText="1"/>
    </xf>
    <xf numFmtId="0" fontId="0" fillId="0" borderId="37" xfId="0" applyBorder="1"/>
    <xf numFmtId="0" fontId="0" fillId="0" borderId="38" xfId="0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90" fillId="0" borderId="0" xfId="0" applyFont="1" applyBorder="1" applyAlignment="1">
      <alignment horizontal="left" wrapText="1"/>
    </xf>
    <xf numFmtId="172" fontId="90" fillId="0" borderId="0" xfId="0" applyNumberFormat="1" applyFont="1" applyBorder="1" applyAlignment="1">
      <alignment horizontal="left" wrapText="1"/>
    </xf>
    <xf numFmtId="0" fontId="90" fillId="0" borderId="0" xfId="0" applyFont="1" applyBorder="1" applyAlignment="1">
      <alignment horizontal="center" wrapText="1"/>
    </xf>
    <xf numFmtId="166" fontId="90" fillId="0" borderId="0" xfId="0" applyNumberFormat="1" applyFont="1" applyBorder="1" applyAlignment="1">
      <alignment horizontal="center"/>
    </xf>
    <xf numFmtId="166" fontId="89" fillId="0" borderId="0" xfId="0" applyNumberFormat="1" applyFont="1" applyBorder="1" applyAlignment="1">
      <alignment horizontal="center" wrapText="1"/>
    </xf>
    <xf numFmtId="0" fontId="89" fillId="0" borderId="0" xfId="0" applyFont="1" applyBorder="1" applyAlignment="1">
      <alignment horizontal="left" wrapText="1"/>
    </xf>
    <xf numFmtId="0" fontId="62" fillId="0" borderId="0" xfId="0" applyFont="1" applyBorder="1" applyAlignment="1">
      <alignment horizontal="center" vertical="center" wrapText="1"/>
    </xf>
    <xf numFmtId="0" fontId="88" fillId="0" borderId="37" xfId="0" applyFont="1" applyBorder="1" applyAlignment="1">
      <alignment horizontal="left" wrapText="1"/>
    </xf>
    <xf numFmtId="172" fontId="88" fillId="0" borderId="20" xfId="0" applyNumberFormat="1" applyFont="1" applyBorder="1" applyAlignment="1">
      <alignment horizontal="left" wrapText="1"/>
    </xf>
    <xf numFmtId="0" fontId="88" fillId="0" borderId="29" xfId="0" applyFont="1" applyBorder="1" applyAlignment="1">
      <alignment horizontal="left" wrapText="1"/>
    </xf>
    <xf numFmtId="172" fontId="88" fillId="0" borderId="21" xfId="0" applyNumberFormat="1" applyFont="1" applyBorder="1" applyAlignment="1">
      <alignment horizontal="left" wrapText="1"/>
    </xf>
    <xf numFmtId="165" fontId="88" fillId="0" borderId="20" xfId="0" applyNumberFormat="1" applyFont="1" applyBorder="1" applyAlignment="1">
      <alignment horizontal="center" wrapText="1"/>
    </xf>
    <xf numFmtId="165" fontId="88" fillId="0" borderId="21" xfId="0" applyNumberFormat="1" applyFont="1" applyBorder="1" applyAlignment="1">
      <alignment horizontal="center" wrapText="1"/>
    </xf>
    <xf numFmtId="0" fontId="91" fillId="0" borderId="0" xfId="0" applyFont="1" applyBorder="1" applyAlignment="1">
      <alignment wrapText="1"/>
    </xf>
    <xf numFmtId="0" fontId="82" fillId="0" borderId="17" xfId="0" applyFont="1" applyBorder="1" applyAlignment="1">
      <alignment horizontal="left" wrapText="1"/>
    </xf>
    <xf numFmtId="0" fontId="82" fillId="0" borderId="24" xfId="0" applyFont="1" applyBorder="1" applyAlignment="1">
      <alignment horizontal="left" wrapText="1"/>
    </xf>
    <xf numFmtId="171" fontId="0" fillId="0" borderId="0" xfId="0" applyNumberFormat="1" applyBorder="1" applyAlignment="1">
      <alignment horizontal="left" vertical="center" wrapText="1"/>
    </xf>
    <xf numFmtId="171" fontId="0" fillId="0" borderId="26" xfId="0" applyNumberFormat="1" applyBorder="1" applyAlignment="1">
      <alignment horizontal="left" vertical="center" wrapText="1"/>
    </xf>
    <xf numFmtId="171" fontId="0" fillId="0" borderId="8" xfId="0" applyNumberFormat="1" applyBorder="1" applyAlignment="1">
      <alignment horizontal="left" vertical="center" wrapText="1"/>
    </xf>
    <xf numFmtId="171" fontId="0" fillId="0" borderId="46" xfId="0" applyNumberFormat="1" applyBorder="1" applyAlignment="1">
      <alignment horizontal="left" vertical="center" wrapText="1"/>
    </xf>
    <xf numFmtId="0" fontId="82" fillId="9" borderId="23" xfId="0" applyFont="1" applyFill="1" applyBorder="1"/>
    <xf numFmtId="0" fontId="82" fillId="9" borderId="17" xfId="0" applyFont="1" applyFill="1" applyBorder="1" applyAlignment="1">
      <alignment vertical="center" wrapText="1"/>
    </xf>
    <xf numFmtId="0" fontId="82" fillId="9" borderId="24" xfId="0" applyFont="1" applyFill="1" applyBorder="1" applyAlignment="1">
      <alignment horizontal="center" wrapText="1"/>
    </xf>
    <xf numFmtId="166" fontId="82" fillId="0" borderId="20" xfId="0" applyNumberFormat="1" applyFont="1" applyBorder="1" applyAlignment="1">
      <alignment horizontal="center" vertical="center" wrapText="1"/>
    </xf>
    <xf numFmtId="0" fontId="92" fillId="0" borderId="27" xfId="0" applyFont="1" applyBorder="1"/>
    <xf numFmtId="0" fontId="0" fillId="0" borderId="28" xfId="0" applyBorder="1"/>
    <xf numFmtId="0" fontId="92" fillId="0" borderId="29" xfId="0" applyFont="1" applyBorder="1"/>
    <xf numFmtId="166" fontId="82" fillId="0" borderId="21" xfId="0" applyNumberFormat="1" applyFont="1" applyBorder="1" applyAlignment="1">
      <alignment horizontal="center" vertical="center" wrapText="1"/>
    </xf>
    <xf numFmtId="0" fontId="0" fillId="0" borderId="30" xfId="0" applyBorder="1"/>
    <xf numFmtId="0" fontId="87" fillId="0" borderId="10" xfId="0" applyFont="1" applyBorder="1" applyAlignment="1">
      <alignment horizontal="left"/>
    </xf>
    <xf numFmtId="0" fontId="87" fillId="0" borderId="11" xfId="0" applyFont="1" applyBorder="1"/>
    <xf numFmtId="0" fontId="87" fillId="0" borderId="8" xfId="0" applyFont="1" applyBorder="1"/>
    <xf numFmtId="172" fontId="0" fillId="0" borderId="0" xfId="0" applyNumberFormat="1"/>
    <xf numFmtId="0" fontId="0" fillId="0" borderId="8" xfId="0" applyBorder="1" applyAlignment="1">
      <alignment horizontal="center" vertical="center" wrapText="1"/>
    </xf>
    <xf numFmtId="165" fontId="0" fillId="7" borderId="0" xfId="0" applyNumberFormat="1" applyFill="1"/>
    <xf numFmtId="0" fontId="62" fillId="0" borderId="0" xfId="0" applyFont="1" applyFill="1" applyBorder="1"/>
    <xf numFmtId="165" fontId="0" fillId="10" borderId="0" xfId="0" applyNumberFormat="1" applyFill="1"/>
    <xf numFmtId="0" fontId="0" fillId="10" borderId="0" xfId="0" applyFill="1"/>
    <xf numFmtId="0" fontId="0" fillId="0" borderId="0" xfId="0" applyFill="1" applyBorder="1" applyAlignment="1">
      <alignment horizontal="left"/>
    </xf>
    <xf numFmtId="10" fontId="0" fillId="0" borderId="0" xfId="24" applyNumberFormat="1" applyFont="1"/>
    <xf numFmtId="168" fontId="82" fillId="0" borderId="0" xfId="24" applyNumberFormat="1" applyFont="1"/>
    <xf numFmtId="0" fontId="82" fillId="0" borderId="0" xfId="0" applyFont="1"/>
    <xf numFmtId="0" fontId="91" fillId="0" borderId="0" xfId="0" applyFont="1"/>
    <xf numFmtId="0" fontId="62" fillId="0" borderId="0" xfId="0" applyFont="1"/>
    <xf numFmtId="2" fontId="82" fillId="0" borderId="0" xfId="0" applyNumberFormat="1" applyFont="1"/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5" xfId="0" applyBorder="1"/>
    <xf numFmtId="0" fontId="91" fillId="11" borderId="48" xfId="0" applyFont="1" applyFill="1" applyBorder="1"/>
    <xf numFmtId="0" fontId="82" fillId="7" borderId="46" xfId="0" applyFont="1" applyFill="1" applyBorder="1" applyAlignment="1">
      <alignment horizontal="center"/>
    </xf>
    <xf numFmtId="2" fontId="82" fillId="7" borderId="46" xfId="0" applyNumberFormat="1" applyFont="1" applyFill="1" applyBorder="1" applyAlignment="1">
      <alignment horizontal="center"/>
    </xf>
    <xf numFmtId="0" fontId="82" fillId="0" borderId="0" xfId="0" applyFont="1" applyAlignment="1">
      <alignment horizontal="center" vertical="center"/>
    </xf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0" fontId="0" fillId="0" borderId="34" xfId="0" applyBorder="1" applyAlignment="1">
      <alignment horizontal="left" wrapText="1"/>
    </xf>
    <xf numFmtId="0" fontId="0" fillId="0" borderId="35" xfId="0" applyBorder="1" applyAlignment="1">
      <alignment horizontal="left" wrapText="1"/>
    </xf>
    <xf numFmtId="0" fontId="0" fillId="0" borderId="36" xfId="0" applyBorder="1" applyAlignment="1">
      <alignment horizontal="left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89" fillId="8" borderId="24" xfId="0" applyFont="1" applyFill="1" applyBorder="1" applyAlignment="1">
      <alignment horizontal="left" wrapText="1"/>
    </xf>
    <xf numFmtId="0" fontId="89" fillId="8" borderId="26" xfId="0" applyFont="1" applyFill="1" applyBorder="1" applyAlignment="1">
      <alignment horizontal="left" wrapText="1"/>
    </xf>
    <xf numFmtId="0" fontId="89" fillId="0" borderId="28" xfId="0" applyFont="1" applyBorder="1" applyAlignment="1">
      <alignment horizontal="left" wrapText="1"/>
    </xf>
    <xf numFmtId="0" fontId="89" fillId="0" borderId="30" xfId="0" applyFont="1" applyBorder="1" applyAlignment="1">
      <alignment horizontal="left" wrapText="1"/>
    </xf>
    <xf numFmtId="0" fontId="91" fillId="0" borderId="8" xfId="0" applyFont="1" applyBorder="1" applyAlignment="1">
      <alignment horizontal="center" vertical="center" wrapText="1"/>
    </xf>
    <xf numFmtId="166" fontId="90" fillId="0" borderId="20" xfId="0" applyNumberFormat="1" applyFont="1" applyBorder="1" applyAlignment="1">
      <alignment horizontal="center"/>
    </xf>
    <xf numFmtId="166" fontId="90" fillId="0" borderId="21" xfId="0" applyNumberFormat="1" applyFont="1" applyBorder="1" applyAlignment="1">
      <alignment horizontal="center"/>
    </xf>
    <xf numFmtId="2" fontId="90" fillId="0" borderId="20" xfId="0" applyNumberFormat="1" applyFont="1" applyBorder="1" applyAlignment="1">
      <alignment horizontal="center"/>
    </xf>
    <xf numFmtId="2" fontId="90" fillId="0" borderId="21" xfId="0" applyNumberFormat="1" applyFont="1" applyBorder="1" applyAlignment="1">
      <alignment horizontal="center"/>
    </xf>
    <xf numFmtId="0" fontId="82" fillId="0" borderId="13" xfId="0" applyFont="1" applyBorder="1" applyAlignment="1">
      <alignment horizontal="center" vertical="center" wrapText="1"/>
    </xf>
    <xf numFmtId="0" fontId="82" fillId="0" borderId="14" xfId="0" applyFont="1" applyBorder="1" applyAlignment="1">
      <alignment horizontal="center" vertical="center" wrapText="1"/>
    </xf>
    <xf numFmtId="0" fontId="0" fillId="0" borderId="39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0" fillId="0" borderId="31" xfId="0" applyBorder="1" applyAlignment="1">
      <alignment horizontal="left" wrapText="1"/>
    </xf>
    <xf numFmtId="0" fontId="0" fillId="0" borderId="32" xfId="0" applyBorder="1" applyAlignment="1">
      <alignment horizontal="left" wrapText="1"/>
    </xf>
    <xf numFmtId="0" fontId="0" fillId="0" borderId="33" xfId="0" applyBorder="1" applyAlignment="1">
      <alignment horizontal="left" wrapText="1"/>
    </xf>
    <xf numFmtId="0" fontId="89" fillId="8" borderId="23" xfId="0" applyFont="1" applyFill="1" applyBorder="1" applyAlignment="1">
      <alignment horizontal="left" wrapText="1"/>
    </xf>
    <xf numFmtId="0" fontId="89" fillId="8" borderId="25" xfId="0" applyFont="1" applyFill="1" applyBorder="1" applyAlignment="1">
      <alignment horizontal="left" wrapText="1"/>
    </xf>
    <xf numFmtId="166" fontId="89" fillId="0" borderId="22" xfId="0" applyNumberFormat="1" applyFont="1" applyBorder="1" applyAlignment="1">
      <alignment horizontal="center" wrapText="1"/>
    </xf>
    <xf numFmtId="166" fontId="89" fillId="0" borderId="19" xfId="0" applyNumberFormat="1" applyFont="1" applyBorder="1" applyAlignment="1">
      <alignment horizontal="center" wrapText="1"/>
    </xf>
    <xf numFmtId="0" fontId="89" fillId="8" borderId="44" xfId="0" applyFont="1" applyFill="1" applyBorder="1" applyAlignment="1">
      <alignment horizontal="left" wrapText="1"/>
    </xf>
    <xf numFmtId="0" fontId="89" fillId="8" borderId="45" xfId="0" applyFont="1" applyFill="1" applyBorder="1" applyAlignment="1">
      <alignment horizontal="left" wrapText="1"/>
    </xf>
    <xf numFmtId="166" fontId="88" fillId="0" borderId="20" xfId="0" applyNumberFormat="1" applyFont="1" applyBorder="1" applyAlignment="1">
      <alignment horizontal="center"/>
    </xf>
    <xf numFmtId="166" fontId="88" fillId="0" borderId="21" xfId="0" applyNumberFormat="1" applyFont="1" applyBorder="1" applyAlignment="1">
      <alignment horizontal="center"/>
    </xf>
    <xf numFmtId="0" fontId="0" fillId="0" borderId="42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43" xfId="0" applyBorder="1" applyAlignment="1">
      <alignment horizontal="left" wrapText="1"/>
    </xf>
    <xf numFmtId="0" fontId="62" fillId="0" borderId="44" xfId="0" applyFont="1" applyBorder="1" applyAlignment="1">
      <alignment horizontal="center" wrapText="1"/>
    </xf>
    <xf numFmtId="0" fontId="62" fillId="0" borderId="45" xfId="0" applyFont="1" applyBorder="1" applyAlignment="1">
      <alignment horizontal="center" wrapText="1"/>
    </xf>
    <xf numFmtId="0" fontId="62" fillId="0" borderId="44" xfId="0" applyFont="1" applyBorder="1" applyAlignment="1">
      <alignment horizontal="left" wrapText="1"/>
    </xf>
    <xf numFmtId="0" fontId="62" fillId="0" borderId="47" xfId="0" applyFont="1" applyBorder="1" applyAlignment="1">
      <alignment horizontal="left" wrapText="1"/>
    </xf>
    <xf numFmtId="0" fontId="62" fillId="0" borderId="45" xfId="0" applyFont="1" applyBorder="1" applyAlignment="1">
      <alignment horizontal="left" wrapText="1"/>
    </xf>
    <xf numFmtId="0" fontId="91" fillId="0" borderId="0" xfId="0" applyFont="1" applyBorder="1" applyAlignment="1">
      <alignment horizontal="left" wrapText="1"/>
    </xf>
    <xf numFmtId="0" fontId="62" fillId="0" borderId="44" xfId="0" applyFont="1" applyBorder="1" applyAlignment="1">
      <alignment horizontal="left"/>
    </xf>
    <xf numFmtId="0" fontId="62" fillId="0" borderId="47" xfId="0" applyFont="1" applyBorder="1" applyAlignment="1">
      <alignment horizontal="left"/>
    </xf>
    <xf numFmtId="0" fontId="91" fillId="11" borderId="12" xfId="0" applyFont="1" applyFill="1" applyBorder="1" applyAlignment="1">
      <alignment horizontal="center"/>
    </xf>
    <xf numFmtId="0" fontId="91" fillId="11" borderId="13" xfId="0" applyFont="1" applyFill="1" applyBorder="1" applyAlignment="1">
      <alignment horizontal="center"/>
    </xf>
    <xf numFmtId="0" fontId="91" fillId="11" borderId="14" xfId="0" applyFont="1" applyFill="1" applyBorder="1" applyAlignment="1">
      <alignment horizontal="center"/>
    </xf>
    <xf numFmtId="0" fontId="82" fillId="0" borderId="0" xfId="0" applyFont="1" applyAlignment="1">
      <alignment horizontal="center" vertical="center" wrapText="1"/>
    </xf>
    <xf numFmtId="0" fontId="95" fillId="12" borderId="50" xfId="0" applyFont="1" applyFill="1" applyBorder="1"/>
    <xf numFmtId="3" fontId="0" fillId="13" borderId="52" xfId="0" applyNumberFormat="1" applyFont="1" applyFill="1" applyBorder="1"/>
    <xf numFmtId="3" fontId="0" fillId="14" borderId="52" xfId="0" applyNumberFormat="1" applyFont="1" applyFill="1" applyBorder="1"/>
    <xf numFmtId="3" fontId="0" fillId="13" borderId="54" xfId="0" applyNumberFormat="1" applyFont="1" applyFill="1" applyBorder="1"/>
    <xf numFmtId="0" fontId="96" fillId="12" borderId="10" xfId="0" applyFont="1" applyFill="1" applyBorder="1" applyAlignment="1">
      <alignment horizontal="left"/>
    </xf>
    <xf numFmtId="0" fontId="0" fillId="13" borderId="51" xfId="0" applyFont="1" applyFill="1" applyBorder="1" applyAlignment="1">
      <alignment horizontal="left"/>
    </xf>
    <xf numFmtId="0" fontId="0" fillId="14" borderId="51" xfId="0" applyFont="1" applyFill="1" applyBorder="1" applyAlignment="1">
      <alignment horizontal="left"/>
    </xf>
    <xf numFmtId="0" fontId="0" fillId="13" borderId="53" xfId="0" applyFont="1" applyFill="1" applyBorder="1" applyAlignment="1">
      <alignment horizontal="left"/>
    </xf>
    <xf numFmtId="173" fontId="0" fillId="0" borderId="0" xfId="0" applyNumberFormat="1"/>
  </cellXfs>
  <cellStyles count="27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2_gastos7-12 2" xfId="26" xr:uid="{4217ED17-7478-4618-93A3-EB8DD081F6F9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24">
    <dxf>
      <numFmt numFmtId="173" formatCode="_-[$S/-280A]\ * #,##0.0_-;\-[$S/-280A]\ * #,##0.0_-;_-[$S/-280A]\ * &quot;-&quot;??_-;_-@_-"/>
    </dxf>
    <dxf>
      <numFmt numFmtId="2" formatCode="0.00"/>
    </dxf>
    <dxf>
      <numFmt numFmtId="172" formatCode="_-[$S/-280A]\ * #,##0_-;\-[$S/-280A]\ * #,##0_-;_-[$S/-280A]\ 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8"/>
          <bgColor theme="8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59999389629810485"/>
          <bgColor theme="8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59999389629810485"/>
          <bgColor theme="8" tint="0.59999389629810485"/>
        </patternFill>
      </fill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bottom style="medium">
          <color indexed="64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2" formatCode="0.00"/>
    </dxf>
    <dxf>
      <numFmt numFmtId="2" formatCode="0.00"/>
    </dxf>
    <dxf>
      <alignment horizontal="left" vertical="bottom" textRotation="0" wrapText="0" indent="0" justifyLastLine="0" shrinkToFit="0" readingOrder="0"/>
    </dxf>
    <dxf>
      <border outline="0">
        <bottom style="medium">
          <color indexed="64"/>
        </bottom>
      </border>
    </dxf>
    <dxf>
      <numFmt numFmtId="165" formatCode="0.0"/>
    </dxf>
    <dxf>
      <numFmt numFmtId="172" formatCode="_-[$S/-280A]\ * #,##0_-;\-[$S/-280A]\ * #,##0_-;_-[$S/-280A]\ * &quot;-&quot;??_-;_-@_-"/>
    </dxf>
    <dxf>
      <numFmt numFmtId="165" formatCode="0.0"/>
    </dxf>
    <dxf>
      <numFmt numFmtId="172" formatCode="_-[$S/-280A]\ * #,##0_-;\-[$S/-280A]\ * #,##0_-;_-[$S/-280A]\ * &quot;-&quot;??_-;_-@_-"/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medium">
          <color indexed="64"/>
        </bottom>
      </border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externalLink" Target="externalLinks/externalLink1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theme" Target="theme/theme1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styles" Target="styles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sharedStrings" Target="sharedStrings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calcChain" Target="calcChain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externalLink" Target="externalLinks/externalLink2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373380</xdr:colOff>
      <xdr:row>0</xdr:row>
      <xdr:rowOff>68580</xdr:rowOff>
    </xdr:from>
    <xdr:to>
      <xdr:col>9</xdr:col>
      <xdr:colOff>378883</xdr:colOff>
      <xdr:row>2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1399520" y="68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8</xdr:col>
      <xdr:colOff>333163</xdr:colOff>
      <xdr:row>6</xdr:row>
      <xdr:rowOff>74930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BFA0B-67F4-4B0A-AD51-C2E047FB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15340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9</xdr:col>
      <xdr:colOff>333163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4FAE6-C6A7-41D7-A03E-187953E2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46226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342900</xdr:colOff>
      <xdr:row>2</xdr:row>
      <xdr:rowOff>167640</xdr:rowOff>
    </xdr:from>
    <xdr:to>
      <xdr:col>9</xdr:col>
      <xdr:colOff>676063</xdr:colOff>
      <xdr:row>5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64268B-7F21-4A44-A359-B4383493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78440" y="6248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C9CD9A9-2409-4C15-A685-4A2E0528490A}" name="Tabla3" displayName="Tabla3" ref="A5:J22" totalsRowShown="0" headerRowBorderDxfId="23">
  <autoFilter ref="A5:J22" xr:uid="{8C9CD9A9-2409-4C15-A685-4A2E0528490A}"/>
  <tableColumns count="10">
    <tableColumn id="1" xr3:uid="{05B57301-DEE3-476C-87AE-14A4CF4CFCB3}" name="año" dataDxfId="22"/>
    <tableColumn id="2" xr3:uid="{034A72CC-35B9-4E45-B3FE-EC05189712A2}" name="pbi_percapita" dataDxfId="21">
      <calculatedColumnFormula>'c-497'!B6</calculatedColumnFormula>
    </tableColumn>
    <tableColumn id="3" xr3:uid="{6AABE267-FE79-4658-9B17-F95487675997}" name="pobreza_total_la_libertad">
      <calculatedColumnFormula>'c-502'!D6</calculatedColumnFormula>
    </tableColumn>
    <tableColumn id="4" xr3:uid="{2587F378-FFD5-445B-931A-8EF54A621E33}" name="pobreza_extrema_la_libertad" dataDxfId="20">
      <calculatedColumnFormula>+'c-502'!E6</calculatedColumnFormula>
    </tableColumn>
    <tableColumn id="5" xr3:uid="{92D20B92-BBFE-42F1-9356-DA43FA3B8400}" name="gasto_social_real" dataDxfId="19">
      <calculatedColumnFormula>+'c-498'!F6</calculatedColumnFormula>
    </tableColumn>
    <tableColumn id="6" xr3:uid="{6A624E41-F393-44C4-B680-6E1A4560678F}" name="ingreso_trabajo_anual" dataDxfId="2">
      <calculatedColumnFormula>+'c-497'!E6</calculatedColumnFormula>
    </tableColumn>
    <tableColumn id="7" xr3:uid="{D3CDEEB2-082A-4E46-B8B0-C53214AD0D9D}" name="inver_pub_percap" dataDxfId="0">
      <calculatedColumnFormula>+Tabla4[[#This Row],[inver_pub_percap]]</calculatedColumnFormula>
    </tableColumn>
    <tableColumn id="8" xr3:uid="{673C22D4-3861-497B-AE81-0565014C70BD}" name="acceso_servicios_basicos" dataDxfId="1"/>
    <tableColumn id="9" xr3:uid="{E093FE11-0E61-4493-8760-C6A6EE37F387}" name="empleo_informal" dataDxfId="18"/>
    <tableColumn id="10" xr3:uid="{478A8DDD-2239-40A2-B696-8ED2BB6D6A48}" name="poblacion_rural">
      <calculatedColumnFormula>+Tabla2[[#This Row],[%_pob_rural]]</calculatedColumnFormula>
    </tableColumn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3E9F31-733A-4D45-8D74-1D8B8E1A3DE6}" name="Tabla1" displayName="Tabla1" ref="A7:R11" totalsRowShown="0" headerRowBorderDxfId="17">
  <autoFilter ref="A7:R11" xr:uid="{AF3E9F31-733A-4D45-8D74-1D8B8E1A3DE6}"/>
  <tableColumns count="18">
    <tableColumn id="1" xr3:uid="{5FBCE48E-896F-4517-B270-E72893996791}" name="Servicios_basicos_pobres/Año"/>
    <tableColumn id="2" xr3:uid="{3C63E4DE-18E6-444C-9DD9-74050BC24FCA}" name="2007"/>
    <tableColumn id="3" xr3:uid="{34E33F81-0117-461C-B031-AB643D45AF15}" name="2008"/>
    <tableColumn id="4" xr3:uid="{229B1DB0-E071-4A48-8B87-B98BE4D92A2C}" name="2009"/>
    <tableColumn id="5" xr3:uid="{578BC85A-D342-408A-B6DB-35C90C7D0AD8}" name="2010"/>
    <tableColumn id="6" xr3:uid="{5C65612E-F728-43B5-8DDB-9ED98410274E}" name="2011"/>
    <tableColumn id="7" xr3:uid="{8839CE63-E1B0-42BF-A443-952EE1B492D8}" name="2012"/>
    <tableColumn id="8" xr3:uid="{FCB5D1A9-75C2-4E6B-9D25-B491AB02D8A6}" name="2013"/>
    <tableColumn id="9" xr3:uid="{B6337ABC-6D4E-498F-B4B6-B1315F2508BC}" name="2014"/>
    <tableColumn id="10" xr3:uid="{BD17232F-9089-498A-A69B-720C26927D97}" name="2015"/>
    <tableColumn id="11" xr3:uid="{2B80E871-6275-4179-B445-D54621985248}" name="2016"/>
    <tableColumn id="12" xr3:uid="{32142783-E7F5-4AD3-AD3B-68ECCE5EDE44}" name="2017"/>
    <tableColumn id="13" xr3:uid="{28FE3C00-D196-4E81-B65C-81169FCB4F9B}" name="2018"/>
    <tableColumn id="14" xr3:uid="{087ABF49-9D95-40A0-A15A-FA9A5A033EA6}" name="2019"/>
    <tableColumn id="15" xr3:uid="{6A4E91B9-CF5F-478E-B50D-3B78F048D029}" name="2020"/>
    <tableColumn id="16" xr3:uid="{2C282D80-64BA-4064-8362-8084938A339E}" name="2021"/>
    <tableColumn id="17" xr3:uid="{AEDF159F-7B42-4313-9144-BCBDA09CE1BB}" name="2022"/>
    <tableColumn id="18" xr3:uid="{FF1D7AE0-6A61-4DC2-B905-19DBCB0B147E}" name="2023"/>
  </tableColumns>
  <tableStyleInfo name="TableStyleMedium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891003-83FC-44D5-9776-44D3EE270927}" name="Tabla2" displayName="Tabla2" ref="A5:C22" totalsRowShown="0">
  <autoFilter ref="A5:C22" xr:uid="{9D891003-83FC-44D5-9776-44D3EE270927}"/>
  <tableColumns count="3">
    <tableColumn id="1" xr3:uid="{370249DD-7F75-4538-9FD5-E6FC0C6F6E17}" name="Año" dataDxfId="16"/>
    <tableColumn id="2" xr3:uid="{6672F7C6-DA81-4276-BCA2-E32B3089DAA0}" name="%_pob_urbana" dataDxfId="15">
      <calculatedColumnFormula>+B5+(B5*$K$10)</calculatedColumnFormula>
    </tableColumn>
    <tableColumn id="3" xr3:uid="{8AE48402-6D9D-4AFE-8BE6-DB1DEFDA8E5C}" name="%_pob_rural" dataDxfId="14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135771B-4C52-4C0D-B3E1-0A7BFD005420}" name="Tabla4" displayName="Tabla4" ref="A5:F22" totalsRowShown="0" headerRowDxfId="3" dataDxfId="4" headerRowBorderDxfId="9">
  <autoFilter ref="A5:F22" xr:uid="{F135771B-4C52-4C0D-B3E1-0A7BFD005420}"/>
  <tableColumns count="6">
    <tableColumn id="1" xr3:uid="{D9C1AADF-43D3-4F0C-8096-62CB51E2912B}" name="año" dataDxfId="8"/>
    <tableColumn id="2" xr3:uid="{3619E968-ADC3-492C-8071-413708D2C287}" name="pob_la_libertad" dataDxfId="7">
      <calculatedColumnFormula>+'c-496'!F6</calculatedColumnFormula>
    </tableColumn>
    <tableColumn id="3" xr3:uid="{FD445397-6D69-44D7-8517-DD5108279FB1}" name="invers_pub_corriente" dataDxfId="6"/>
    <tableColumn id="4" xr3:uid="{D47470C1-70F1-445A-9F13-DF6098A05058}" name="deflactor">
      <calculatedColumnFormula>+'c-498'!E6</calculatedColumnFormula>
    </tableColumn>
    <tableColumn id="5" xr3:uid="{A153C504-E5AE-4F85-8B06-1962D0AB4F1E}" name="inver_pub_real" dataDxfId="5">
      <calculatedColumnFormula>+C6/D6</calculatedColumnFormula>
    </tableColumn>
    <tableColumn id="6" xr3:uid="{2BDC7E22-A00C-4BA0-80F3-EE7B21E3FCA3}" name="inver_pub_percap">
      <calculatedColumnFormula>+E6/B6</calculatedColumnFormula>
    </tableColumn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23"/>
  <sheetViews>
    <sheetView topLeftCell="A502" workbookViewId="0">
      <selection activeCell="E523" sqref="E523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502" t="s">
        <v>301</v>
      </c>
      <c r="B1" s="324"/>
      <c r="C1" s="503" t="s">
        <v>328</v>
      </c>
      <c r="D1" s="503"/>
      <c r="E1" s="503"/>
      <c r="F1" s="503"/>
      <c r="G1" s="503"/>
      <c r="H1" s="503"/>
      <c r="I1" s="503"/>
      <c r="J1" s="503"/>
      <c r="K1" s="503"/>
      <c r="L1" s="503"/>
      <c r="M1" s="503"/>
    </row>
    <row r="2" spans="1:20" ht="2.25" customHeight="1" x14ac:dyDescent="0.35">
      <c r="A2" s="502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502"/>
      <c r="B3" s="324"/>
      <c r="C3" s="501" t="s">
        <v>302</v>
      </c>
      <c r="D3" s="501"/>
      <c r="E3" s="501"/>
      <c r="F3" s="501"/>
      <c r="G3" s="501"/>
      <c r="H3" s="501"/>
      <c r="I3" s="501"/>
      <c r="J3" s="501"/>
      <c r="K3" s="501"/>
      <c r="L3" s="501"/>
      <c r="M3" s="501"/>
      <c r="N3" s="501"/>
      <c r="O3" s="501"/>
    </row>
    <row r="4" spans="1:20" s="305" customFormat="1" x14ac:dyDescent="0.35">
      <c r="A4" s="502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502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502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502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502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502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502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502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502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502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502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502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502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502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502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502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502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502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502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502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502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501" t="s">
        <v>74</v>
      </c>
      <c r="D84" s="501"/>
      <c r="E84" s="501"/>
      <c r="F84" s="501"/>
      <c r="G84" s="501"/>
      <c r="H84" s="501"/>
      <c r="I84" s="501"/>
      <c r="J84" s="501"/>
      <c r="K84" s="501"/>
      <c r="L84" s="501"/>
      <c r="M84" s="501"/>
      <c r="N84" s="501"/>
      <c r="O84" s="501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501" t="s">
        <v>75</v>
      </c>
      <c r="D189" s="501"/>
      <c r="E189" s="501"/>
      <c r="F189" s="501"/>
      <c r="G189" s="501"/>
      <c r="H189" s="501"/>
      <c r="I189" s="501"/>
      <c r="J189" s="501"/>
      <c r="K189" s="501"/>
      <c r="L189" s="501"/>
      <c r="M189" s="501"/>
      <c r="N189" s="501"/>
      <c r="O189" s="501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501" t="s">
        <v>125</v>
      </c>
      <c r="D360" s="501"/>
      <c r="E360" s="501"/>
      <c r="F360" s="501"/>
      <c r="G360" s="501"/>
      <c r="H360" s="501"/>
      <c r="I360" s="501"/>
      <c r="J360" s="501"/>
      <c r="K360" s="501"/>
      <c r="L360" s="501"/>
      <c r="M360" s="501"/>
      <c r="N360" s="501"/>
      <c r="O360" s="501"/>
    </row>
    <row r="361" spans="3:20" ht="19.5" customHeight="1" x14ac:dyDescent="0.35">
      <c r="C361" s="501" t="s">
        <v>129</v>
      </c>
      <c r="D361" s="501"/>
      <c r="E361" s="501"/>
      <c r="F361" s="501"/>
      <c r="G361" s="501"/>
      <c r="H361" s="501"/>
      <c r="I361" s="501"/>
      <c r="J361" s="501"/>
      <c r="K361" s="501"/>
      <c r="L361" s="501"/>
      <c r="M361" s="501"/>
      <c r="N361" s="501"/>
      <c r="O361" s="501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501" t="s">
        <v>130</v>
      </c>
      <c r="D412" s="501"/>
      <c r="E412" s="501"/>
      <c r="F412" s="501"/>
      <c r="G412" s="501"/>
      <c r="H412" s="501"/>
      <c r="I412" s="501"/>
      <c r="J412" s="501"/>
      <c r="K412" s="501"/>
      <c r="L412" s="501"/>
      <c r="M412" s="501"/>
      <c r="N412" s="501"/>
      <c r="O412" s="501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  <row r="520" spans="3:15" x14ac:dyDescent="0.35">
      <c r="D520" s="316" t="s">
        <v>137</v>
      </c>
      <c r="E520" s="314">
        <v>502</v>
      </c>
      <c r="G520" s="327" t="s">
        <v>965</v>
      </c>
    </row>
    <row r="521" spans="3:15" x14ac:dyDescent="0.35">
      <c r="D521" s="316" t="s">
        <v>137</v>
      </c>
      <c r="E521" s="314">
        <v>503</v>
      </c>
      <c r="G521" s="327" t="s">
        <v>944</v>
      </c>
    </row>
    <row r="522" spans="3:15" x14ac:dyDescent="0.35">
      <c r="D522" s="316" t="s">
        <v>137</v>
      </c>
      <c r="E522" s="314">
        <v>504</v>
      </c>
      <c r="G522" s="327" t="s">
        <v>956</v>
      </c>
    </row>
    <row r="523" spans="3:15" x14ac:dyDescent="0.35">
      <c r="D523" s="316" t="s">
        <v>137</v>
      </c>
      <c r="E523" s="314">
        <v>505</v>
      </c>
      <c r="G523" s="327" t="s">
        <v>966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  <hyperlink ref="E520" location="'c-502'!A1" display="'c-502'!A1" xr:uid="{EDAC704A-440F-402D-AE3D-A2B6BAA491D7}"/>
    <hyperlink ref="E521" location="'c-503'!A1" display="'c-503'!A1" xr:uid="{17A21B33-A4DB-4394-8258-04FD6F8F52E7}"/>
    <hyperlink ref="E522" location="'c-504'!A1" display="'c-504'!A1" xr:uid="{02F1F354-3827-4F9D-8260-CFC96312F2D6}"/>
    <hyperlink ref="E523" location="'c-505'!A1" display="'c-505'!A1" xr:uid="{28629D9A-01E3-438F-92BA-2114AC3D1462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504"/>
      <c r="B1" s="504"/>
      <c r="C1" s="504"/>
      <c r="D1" s="504"/>
      <c r="E1" s="504"/>
      <c r="F1" s="504"/>
      <c r="G1" s="504"/>
      <c r="H1" s="105"/>
      <c r="I1" s="105"/>
      <c r="J1" s="218"/>
    </row>
    <row r="2" spans="1:12" ht="15.6" x14ac:dyDescent="0.3">
      <c r="A2" s="504"/>
      <c r="B2" s="504"/>
      <c r="C2" s="504"/>
      <c r="D2" s="504"/>
      <c r="E2" s="504"/>
      <c r="F2" s="504"/>
      <c r="G2" s="504"/>
      <c r="H2" s="105"/>
      <c r="I2" s="105"/>
      <c r="J2" s="218"/>
    </row>
    <row r="3" spans="1:12" ht="15.6" x14ac:dyDescent="0.3">
      <c r="A3" s="504"/>
      <c r="B3" s="504"/>
      <c r="C3" s="504"/>
      <c r="D3" s="504"/>
      <c r="E3" s="504"/>
      <c r="F3" s="504"/>
      <c r="G3" s="504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504"/>
      <c r="B36" s="504"/>
      <c r="C36" s="504"/>
      <c r="D36" s="504"/>
      <c r="E36" s="504"/>
      <c r="F36" s="504"/>
      <c r="G36" s="504"/>
      <c r="H36" s="504"/>
      <c r="I36" s="91"/>
    </row>
    <row r="37" spans="1:13" ht="15.6" x14ac:dyDescent="0.3">
      <c r="A37" s="505"/>
      <c r="B37" s="505"/>
      <c r="C37" s="505"/>
      <c r="D37" s="505"/>
      <c r="E37" s="505"/>
      <c r="F37" s="505"/>
      <c r="G37" s="505"/>
      <c r="H37" s="505"/>
      <c r="I37" s="106"/>
    </row>
    <row r="38" spans="1:13" ht="15.6" x14ac:dyDescent="0.3">
      <c r="A38" s="504"/>
      <c r="B38" s="504"/>
      <c r="C38" s="504"/>
      <c r="D38" s="504"/>
      <c r="E38" s="504"/>
      <c r="F38" s="504"/>
      <c r="G38" s="504"/>
      <c r="H38" s="504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2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2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04"/>
      <c r="B54" s="504"/>
      <c r="C54" s="504"/>
      <c r="D54" s="504"/>
      <c r="E54" s="504"/>
      <c r="F54" s="504"/>
      <c r="G54" s="504"/>
      <c r="H54" s="504"/>
      <c r="I54" s="504"/>
      <c r="J54" s="504"/>
    </row>
    <row r="55" spans="1:16" s="195" customFormat="1" ht="15.6" x14ac:dyDescent="0.3">
      <c r="A55" s="504"/>
      <c r="B55" s="504"/>
      <c r="C55" s="504"/>
      <c r="D55" s="504"/>
      <c r="E55" s="504"/>
      <c r="F55" s="504"/>
      <c r="G55" s="504"/>
      <c r="H55" s="504"/>
      <c r="I55" s="504"/>
      <c r="J55" s="504"/>
    </row>
    <row r="56" spans="1:16" s="195" customFormat="1" ht="15.6" x14ac:dyDescent="0.3">
      <c r="A56" s="504"/>
      <c r="B56" s="504"/>
      <c r="C56" s="504"/>
      <c r="D56" s="504"/>
      <c r="E56" s="504"/>
      <c r="F56" s="504"/>
      <c r="G56" s="504"/>
      <c r="H56" s="504"/>
      <c r="I56" s="504"/>
      <c r="J56" s="504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04"/>
      <c r="B54" s="504"/>
      <c r="C54" s="504"/>
      <c r="D54" s="504"/>
      <c r="E54" s="504"/>
      <c r="F54" s="504"/>
      <c r="G54" s="504"/>
      <c r="H54" s="504"/>
      <c r="I54" s="504"/>
      <c r="J54" s="504"/>
    </row>
    <row r="55" spans="1:12" s="195" customFormat="1" ht="15.6" x14ac:dyDescent="0.3">
      <c r="A55" s="507"/>
      <c r="B55" s="507"/>
      <c r="C55" s="507"/>
      <c r="D55" s="507"/>
      <c r="E55" s="507"/>
      <c r="F55" s="507"/>
      <c r="G55" s="507"/>
      <c r="H55" s="507"/>
      <c r="I55" s="507"/>
      <c r="J55" s="507"/>
    </row>
    <row r="56" spans="1:12" s="195" customFormat="1" ht="15.6" x14ac:dyDescent="0.3">
      <c r="A56" s="504"/>
      <c r="B56" s="504"/>
      <c r="C56" s="504"/>
      <c r="D56" s="504"/>
      <c r="E56" s="504"/>
      <c r="F56" s="504"/>
      <c r="G56" s="504"/>
      <c r="H56" s="504"/>
      <c r="I56" s="504"/>
      <c r="J56" s="504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04"/>
      <c r="B54" s="504"/>
      <c r="C54" s="504"/>
      <c r="D54" s="504"/>
      <c r="E54" s="504"/>
      <c r="F54" s="504"/>
      <c r="G54" s="504"/>
      <c r="H54" s="504"/>
      <c r="I54" s="504"/>
      <c r="J54" s="504"/>
    </row>
    <row r="55" spans="1:16" s="195" customFormat="1" ht="15.6" x14ac:dyDescent="0.3">
      <c r="A55" s="504"/>
      <c r="B55" s="504"/>
      <c r="C55" s="504"/>
      <c r="D55" s="504"/>
      <c r="E55" s="504"/>
      <c r="F55" s="504"/>
      <c r="G55" s="504"/>
      <c r="H55" s="504"/>
      <c r="I55" s="504"/>
      <c r="J55" s="504"/>
    </row>
    <row r="56" spans="1:16" s="195" customFormat="1" ht="15.6" x14ac:dyDescent="0.3">
      <c r="A56" s="504"/>
      <c r="B56" s="504"/>
      <c r="C56" s="504"/>
      <c r="D56" s="504"/>
      <c r="E56" s="504"/>
      <c r="F56" s="504"/>
      <c r="G56" s="504"/>
      <c r="H56" s="504"/>
      <c r="I56" s="504"/>
      <c r="J56" s="504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04"/>
      <c r="B54" s="504"/>
      <c r="C54" s="504"/>
      <c r="D54" s="504"/>
      <c r="E54" s="504"/>
      <c r="F54" s="504"/>
      <c r="G54" s="504"/>
      <c r="H54" s="504"/>
      <c r="I54" s="504"/>
      <c r="J54" s="504"/>
    </row>
    <row r="55" spans="1:12" s="195" customFormat="1" ht="15.6" x14ac:dyDescent="0.3">
      <c r="A55" s="507"/>
      <c r="B55" s="507"/>
      <c r="C55" s="507"/>
      <c r="D55" s="507"/>
      <c r="E55" s="507"/>
      <c r="F55" s="507"/>
      <c r="G55" s="507"/>
      <c r="H55" s="507"/>
      <c r="I55" s="507"/>
      <c r="J55" s="507"/>
    </row>
    <row r="56" spans="1:12" s="195" customFormat="1" ht="15.6" x14ac:dyDescent="0.3">
      <c r="A56" s="504"/>
      <c r="B56" s="504"/>
      <c r="C56" s="504"/>
      <c r="D56" s="504"/>
      <c r="E56" s="504"/>
      <c r="F56" s="504"/>
      <c r="G56" s="504"/>
      <c r="H56" s="504"/>
      <c r="I56" s="504"/>
      <c r="J56" s="504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04"/>
      <c r="B54" s="504"/>
      <c r="C54" s="504"/>
      <c r="D54" s="504"/>
      <c r="E54" s="504"/>
      <c r="F54" s="504"/>
      <c r="G54" s="504"/>
      <c r="H54" s="504"/>
      <c r="I54" s="504"/>
      <c r="J54" s="504"/>
    </row>
    <row r="55" spans="1:16" s="195" customFormat="1" ht="15.6" x14ac:dyDescent="0.3">
      <c r="A55" s="504"/>
      <c r="B55" s="504"/>
      <c r="C55" s="504"/>
      <c r="D55" s="504"/>
      <c r="E55" s="504"/>
      <c r="F55" s="504"/>
      <c r="G55" s="504"/>
      <c r="H55" s="504"/>
      <c r="I55" s="504"/>
      <c r="J55" s="504"/>
    </row>
    <row r="56" spans="1:16" s="195" customFormat="1" ht="15.6" x14ac:dyDescent="0.3">
      <c r="A56" s="504"/>
      <c r="B56" s="504"/>
      <c r="C56" s="504"/>
      <c r="D56" s="504"/>
      <c r="E56" s="504"/>
      <c r="F56" s="504"/>
      <c r="G56" s="504"/>
      <c r="H56" s="504"/>
      <c r="I56" s="504"/>
      <c r="J56" s="504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04"/>
      <c r="B54" s="504"/>
      <c r="C54" s="504"/>
      <c r="D54" s="504"/>
      <c r="E54" s="504"/>
      <c r="F54" s="504"/>
      <c r="G54" s="504"/>
      <c r="H54" s="504"/>
      <c r="I54" s="504"/>
      <c r="J54" s="504"/>
    </row>
    <row r="55" spans="1:12" s="195" customFormat="1" ht="15.6" x14ac:dyDescent="0.3">
      <c r="A55" s="507"/>
      <c r="B55" s="507"/>
      <c r="C55" s="507"/>
      <c r="D55" s="507"/>
      <c r="E55" s="507"/>
      <c r="F55" s="507"/>
      <c r="G55" s="507"/>
      <c r="H55" s="507"/>
      <c r="I55" s="507"/>
      <c r="J55" s="507"/>
    </row>
    <row r="56" spans="1:12" s="195" customFormat="1" ht="15.6" x14ac:dyDescent="0.3">
      <c r="A56" s="504"/>
      <c r="B56" s="504"/>
      <c r="C56" s="504"/>
      <c r="D56" s="504"/>
      <c r="E56" s="504"/>
      <c r="F56" s="504"/>
      <c r="G56" s="504"/>
      <c r="H56" s="504"/>
      <c r="I56" s="504"/>
      <c r="J56" s="504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13" priority="1" operator="lessThan">
      <formula>0</formula>
    </cfRule>
    <cfRule type="cellIs" dxfId="12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topLeftCell="A6" workbookViewId="0">
      <selection activeCell="D6" sqref="D6"/>
    </sheetView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>
      <selection activeCell="F20" sqref="F20"/>
    </sheetView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K22"/>
  <sheetViews>
    <sheetView topLeftCell="B1" workbookViewId="0">
      <selection activeCell="E25" sqref="E25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.6640625" customWidth="1"/>
    <col min="8" max="8" width="17.33203125" customWidth="1"/>
    <col min="9" max="9" width="16.33203125" customWidth="1"/>
    <col min="10" max="10" width="21.77734375" customWidth="1"/>
    <col min="11" max="11" width="18.21875" customWidth="1"/>
  </cols>
  <sheetData>
    <row r="1" spans="1:11" ht="18" x14ac:dyDescent="0.3">
      <c r="A1" s="229" t="s">
        <v>860</v>
      </c>
    </row>
    <row r="2" spans="1:11" ht="18" x14ac:dyDescent="0.3">
      <c r="A2" s="304" t="s">
        <v>1009</v>
      </c>
    </row>
    <row r="3" spans="1:11" x14ac:dyDescent="0.3">
      <c r="A3" s="231" t="s">
        <v>848</v>
      </c>
      <c r="G3" t="s">
        <v>1018</v>
      </c>
      <c r="H3" s="488">
        <f>+K22</f>
        <v>4.2898909299283416E-2</v>
      </c>
    </row>
    <row r="4" spans="1:11" x14ac:dyDescent="0.3">
      <c r="H4" s="349"/>
    </row>
    <row r="5" spans="1:11" ht="18.600000000000001" customHeight="1" thickBot="1" x14ac:dyDescent="0.35">
      <c r="A5" s="351" t="s">
        <v>849</v>
      </c>
      <c r="B5" s="353" t="s">
        <v>1010</v>
      </c>
      <c r="C5" s="350" t="s">
        <v>1011</v>
      </c>
      <c r="D5" s="350" t="s">
        <v>861</v>
      </c>
      <c r="E5" s="350" t="s">
        <v>863</v>
      </c>
      <c r="F5" s="350" t="s">
        <v>864</v>
      </c>
      <c r="G5" s="482" t="s">
        <v>1015</v>
      </c>
      <c r="H5" s="363" t="s">
        <v>1016</v>
      </c>
      <c r="I5" s="363" t="s">
        <v>876</v>
      </c>
      <c r="J5" s="363" t="s">
        <v>1017</v>
      </c>
      <c r="K5" s="487" t="s">
        <v>1019</v>
      </c>
    </row>
    <row r="6" spans="1:11" x14ac:dyDescent="0.3">
      <c r="A6" s="352">
        <v>2007</v>
      </c>
      <c r="B6" s="347">
        <f>+'c-496'!H6</f>
        <v>8803.1484016765935</v>
      </c>
      <c r="C6" s="345"/>
      <c r="D6" s="347">
        <f>+J6/I6</f>
        <v>819.21043320433716</v>
      </c>
      <c r="E6" s="347">
        <f>+D6*12</f>
        <v>9830.5251984520455</v>
      </c>
      <c r="F6" s="345"/>
      <c r="G6" s="331">
        <f>+'c-500'!B20</f>
        <v>319693</v>
      </c>
      <c r="H6" s="331">
        <f>+'c-501'!B64</f>
        <v>319693</v>
      </c>
      <c r="I6" s="416">
        <f>+G6/H6</f>
        <v>1</v>
      </c>
      <c r="J6" s="347">
        <v>819.21043320433716</v>
      </c>
    </row>
    <row r="7" spans="1:11" x14ac:dyDescent="0.3">
      <c r="A7" s="352">
        <v>2008</v>
      </c>
      <c r="B7" s="347">
        <f>+'c-496'!H7</f>
        <v>9337.0296606858574</v>
      </c>
      <c r="C7" s="355">
        <f>+(B7-B6)/B6</f>
        <v>6.0646627166660527E-2</v>
      </c>
      <c r="D7" s="347">
        <f>+J7/I7</f>
        <v>754.5372577247457</v>
      </c>
      <c r="E7" s="347">
        <f t="shared" ref="E7:E22" si="0">+D7*12</f>
        <v>9054.4470926969479</v>
      </c>
      <c r="F7" s="354">
        <f>+(E7-E6)/E6</f>
        <v>-7.8945741970866623E-2</v>
      </c>
      <c r="G7" s="331">
        <f>+'c-500'!B21</f>
        <v>352719</v>
      </c>
      <c r="H7" s="331">
        <f>+'c-501'!B65</f>
        <v>348870</v>
      </c>
      <c r="I7" s="416">
        <f t="shared" ref="I7:I22" si="1">+G7/H7</f>
        <v>1.0110327629202855</v>
      </c>
      <c r="J7" s="347">
        <v>762.86188840374518</v>
      </c>
      <c r="K7">
        <f>+(J7-J6)/J6</f>
        <v>-6.8783968705311713E-2</v>
      </c>
    </row>
    <row r="8" spans="1:11" x14ac:dyDescent="0.3">
      <c r="A8" s="352">
        <v>2009</v>
      </c>
      <c r="B8" s="347">
        <f>+'c-496'!H8</f>
        <v>9280.5420164941006</v>
      </c>
      <c r="C8" s="355">
        <f t="shared" ref="C8:C22" si="2">+(B8-B7)/B7</f>
        <v>-6.0498516385357011E-3</v>
      </c>
      <c r="D8" s="347">
        <f>+J8/I8</f>
        <v>896.92087586647926</v>
      </c>
      <c r="E8" s="347">
        <f t="shared" si="0"/>
        <v>10763.050510397752</v>
      </c>
      <c r="F8" s="354">
        <f t="shared" ref="F8:F22" si="3">+(E8-E7)/E7</f>
        <v>0.18870323060133773</v>
      </c>
      <c r="G8" s="331">
        <f>+'c-500'!B22</f>
        <v>363943</v>
      </c>
      <c r="H8" s="331">
        <f>+'c-501'!B66</f>
        <v>352693</v>
      </c>
      <c r="I8" s="416">
        <f t="shared" si="1"/>
        <v>1.0318974292089722</v>
      </c>
      <c r="J8" s="347">
        <v>925.53034601047966</v>
      </c>
      <c r="K8">
        <f>+(J8-J7)/J7</f>
        <v>0.21323447937228984</v>
      </c>
    </row>
    <row r="9" spans="1:11" x14ac:dyDescent="0.3">
      <c r="A9" s="352">
        <v>2010</v>
      </c>
      <c r="B9" s="347">
        <f>+'c-496'!H9</f>
        <v>9711.3356956180905</v>
      </c>
      <c r="C9" s="355">
        <f t="shared" si="2"/>
        <v>4.6419021470766465E-2</v>
      </c>
      <c r="D9" s="347">
        <f>+J9/I9</f>
        <v>815.75511289556266</v>
      </c>
      <c r="E9" s="347">
        <f t="shared" si="0"/>
        <v>9789.061354746751</v>
      </c>
      <c r="F9" s="354">
        <f t="shared" si="3"/>
        <v>-9.0493782846235757E-2</v>
      </c>
      <c r="G9" s="331">
        <f>+'c-500'!B23</f>
        <v>416784</v>
      </c>
      <c r="H9" s="331">
        <f>+'c-501'!B67</f>
        <v>382081</v>
      </c>
      <c r="I9" s="416">
        <f t="shared" si="1"/>
        <v>1.0908262907603361</v>
      </c>
      <c r="J9" s="347">
        <v>889.84712396864586</v>
      </c>
      <c r="K9">
        <f t="shared" ref="K9:K20" si="4">+(J9-J8)/J8</f>
        <v>-3.8554351238343693E-2</v>
      </c>
    </row>
    <row r="10" spans="1:11" x14ac:dyDescent="0.3">
      <c r="A10" s="352">
        <v>2011</v>
      </c>
      <c r="B10" s="347">
        <f>+'c-496'!H10</f>
        <v>10040.236250178377</v>
      </c>
      <c r="C10" s="355">
        <f t="shared" si="2"/>
        <v>3.3867694915406123E-2</v>
      </c>
      <c r="D10" s="347">
        <f t="shared" ref="D10:D22" si="5">+J10/I10</f>
        <v>769.02212252597451</v>
      </c>
      <c r="E10" s="347">
        <f t="shared" si="0"/>
        <v>9228.2654703116932</v>
      </c>
      <c r="F10" s="354">
        <f t="shared" si="3"/>
        <v>-5.728801405081866E-2</v>
      </c>
      <c r="G10" s="331">
        <f>+'c-500'!B24</f>
        <v>473049</v>
      </c>
      <c r="H10" s="331">
        <f>+'c-501'!B68</f>
        <v>406256</v>
      </c>
      <c r="I10" s="416">
        <f t="shared" si="1"/>
        <v>1.1644111102359103</v>
      </c>
      <c r="J10" s="347">
        <v>895.45790348644618</v>
      </c>
      <c r="K10">
        <f t="shared" si="4"/>
        <v>6.3053297208813842E-3</v>
      </c>
    </row>
    <row r="11" spans="1:11" x14ac:dyDescent="0.3">
      <c r="A11" s="352">
        <v>2012</v>
      </c>
      <c r="B11" s="347">
        <f>+'c-496'!H11</f>
        <v>10694.172859712929</v>
      </c>
      <c r="C11" s="355">
        <f t="shared" si="2"/>
        <v>6.5131595835001804E-2</v>
      </c>
      <c r="D11" s="347">
        <f t="shared" si="5"/>
        <v>849.38682580011437</v>
      </c>
      <c r="E11" s="347">
        <f t="shared" si="0"/>
        <v>10192.641909601372</v>
      </c>
      <c r="F11" s="354">
        <f t="shared" si="3"/>
        <v>0.10450245957836608</v>
      </c>
      <c r="G11" s="331">
        <f>+'c-500'!B25</f>
        <v>508131</v>
      </c>
      <c r="H11" s="331">
        <f>+'c-501'!B69</f>
        <v>431199</v>
      </c>
      <c r="I11" s="416">
        <f t="shared" si="1"/>
        <v>1.1784141428899417</v>
      </c>
      <c r="J11" s="347">
        <v>1000.92944830725</v>
      </c>
      <c r="K11">
        <f t="shared" si="4"/>
        <v>0.11778503982169641</v>
      </c>
    </row>
    <row r="12" spans="1:11" x14ac:dyDescent="0.3">
      <c r="A12" s="352">
        <v>2013</v>
      </c>
      <c r="B12" s="347">
        <f>+'c-496'!H12</f>
        <v>11033.865779682905</v>
      </c>
      <c r="C12" s="355">
        <f t="shared" si="2"/>
        <v>3.1764300467749675E-2</v>
      </c>
      <c r="D12" s="347">
        <f t="shared" si="5"/>
        <v>873.63369244531486</v>
      </c>
      <c r="E12" s="347">
        <f t="shared" si="0"/>
        <v>10483.604309343778</v>
      </c>
      <c r="F12" s="354">
        <f t="shared" si="3"/>
        <v>2.8546318248296561E-2</v>
      </c>
      <c r="G12" s="331">
        <f>+'c-500'!B26</f>
        <v>543556</v>
      </c>
      <c r="H12" s="331">
        <f>+'c-501'!B70</f>
        <v>456435</v>
      </c>
      <c r="I12" s="416">
        <f t="shared" si="1"/>
        <v>1.1908727420114584</v>
      </c>
      <c r="J12" s="347">
        <v>1040.3865508359472</v>
      </c>
      <c r="K12">
        <f t="shared" si="4"/>
        <v>3.9420463245862312E-2</v>
      </c>
    </row>
    <row r="13" spans="1:11" x14ac:dyDescent="0.3">
      <c r="A13" s="352">
        <v>2014</v>
      </c>
      <c r="B13" s="347">
        <f>+'c-496'!H13</f>
        <v>11051.57725883638</v>
      </c>
      <c r="C13" s="355">
        <f t="shared" si="2"/>
        <v>1.6051925505644504E-3</v>
      </c>
      <c r="D13" s="347">
        <f t="shared" si="5"/>
        <v>895.5006220151846</v>
      </c>
      <c r="E13" s="347">
        <f t="shared" si="0"/>
        <v>10746.007464182216</v>
      </c>
      <c r="F13" s="354">
        <f t="shared" si="3"/>
        <v>2.5029860637201258E-2</v>
      </c>
      <c r="G13" s="331">
        <f>+'c-500'!B27</f>
        <v>570041</v>
      </c>
      <c r="H13" s="331">
        <f>+'c-501'!B71</f>
        <v>467308</v>
      </c>
      <c r="I13" s="416">
        <f t="shared" si="1"/>
        <v>1.2198400198584232</v>
      </c>
      <c r="J13" s="347">
        <v>1092.3674965422331</v>
      </c>
      <c r="K13">
        <f t="shared" si="4"/>
        <v>4.9963108101041237E-2</v>
      </c>
    </row>
    <row r="14" spans="1:11" x14ac:dyDescent="0.3">
      <c r="A14" s="352">
        <v>2015</v>
      </c>
      <c r="B14" s="347">
        <f>+'c-496'!H14</f>
        <v>11132.060647057144</v>
      </c>
      <c r="C14" s="355">
        <f t="shared" si="2"/>
        <v>7.2825250492107698E-3</v>
      </c>
      <c r="D14" s="347">
        <f t="shared" si="5"/>
        <v>901.18369426671063</v>
      </c>
      <c r="E14" s="347">
        <f t="shared" si="0"/>
        <v>10814.204331200528</v>
      </c>
      <c r="F14" s="354">
        <f t="shared" si="3"/>
        <v>6.3462515958248684E-3</v>
      </c>
      <c r="G14" s="331">
        <f>+'c-500'!B28</f>
        <v>604416</v>
      </c>
      <c r="H14" s="331">
        <f>+'c-501'!B72</f>
        <v>482506</v>
      </c>
      <c r="I14" s="416">
        <f t="shared" si="1"/>
        <v>1.2526600705483455</v>
      </c>
      <c r="J14" s="347">
        <v>1128.8768300371564</v>
      </c>
      <c r="K14">
        <f t="shared" si="4"/>
        <v>3.3422207828857547E-2</v>
      </c>
    </row>
    <row r="15" spans="1:11" x14ac:dyDescent="0.3">
      <c r="A15" s="352">
        <v>2016</v>
      </c>
      <c r="B15" s="347">
        <f>+'c-496'!H15</f>
        <v>11018.733362790848</v>
      </c>
      <c r="C15" s="355">
        <f t="shared" si="2"/>
        <v>-1.0180261126789181E-2</v>
      </c>
      <c r="D15" s="347">
        <f t="shared" si="5"/>
        <v>932.25691445470488</v>
      </c>
      <c r="E15" s="347">
        <f t="shared" si="0"/>
        <v>11187.082973456458</v>
      </c>
      <c r="F15" s="354">
        <f t="shared" si="3"/>
        <v>3.448045097318176E-2</v>
      </c>
      <c r="G15" s="331">
        <f>+'c-500'!B29</f>
        <v>647668</v>
      </c>
      <c r="H15" s="331">
        <f>+'c-501'!B73</f>
        <v>501581</v>
      </c>
      <c r="I15" s="416">
        <f t="shared" si="1"/>
        <v>1.2912530578311379</v>
      </c>
      <c r="J15" s="347">
        <v>1203.7795914738592</v>
      </c>
      <c r="K15">
        <f t="shared" si="4"/>
        <v>6.635158012255192E-2</v>
      </c>
    </row>
    <row r="16" spans="1:11" x14ac:dyDescent="0.3">
      <c r="A16" s="352">
        <v>2017</v>
      </c>
      <c r="B16" s="347">
        <f>+'c-496'!H16</f>
        <v>10969.245585942526</v>
      </c>
      <c r="C16" s="355">
        <f t="shared" si="2"/>
        <v>-4.4912400744206464E-3</v>
      </c>
      <c r="D16" s="347">
        <f t="shared" si="5"/>
        <v>939.11239988431373</v>
      </c>
      <c r="E16" s="347">
        <f t="shared" si="0"/>
        <v>11269.348798611765</v>
      </c>
      <c r="F16" s="354">
        <f t="shared" si="3"/>
        <v>7.3536439615670413E-3</v>
      </c>
      <c r="G16" s="331">
        <f>+'c-500'!B30</f>
        <v>687989</v>
      </c>
      <c r="H16" s="331">
        <f>+'c-501'!B74</f>
        <v>514215</v>
      </c>
      <c r="I16" s="416">
        <f t="shared" si="1"/>
        <v>1.337940355687796</v>
      </c>
      <c r="J16" s="347">
        <v>1256.4763783320384</v>
      </c>
      <c r="K16">
        <f t="shared" si="4"/>
        <v>4.3776109207549652E-2</v>
      </c>
    </row>
    <row r="17" spans="1:11" x14ac:dyDescent="0.3">
      <c r="A17" s="352">
        <v>2018</v>
      </c>
      <c r="B17" s="347">
        <f>+'c-496'!H17</f>
        <v>11266.529137720332</v>
      </c>
      <c r="C17" s="355">
        <f t="shared" si="2"/>
        <v>2.7101549459224897E-2</v>
      </c>
      <c r="D17" s="347">
        <f t="shared" si="5"/>
        <v>926.91219839864152</v>
      </c>
      <c r="E17" s="347">
        <f t="shared" si="0"/>
        <v>11122.946380783698</v>
      </c>
      <c r="F17" s="354">
        <f t="shared" si="3"/>
        <v>-1.2991204766516927E-2</v>
      </c>
      <c r="G17" s="331">
        <f>+'c-500'!B31</f>
        <v>731588</v>
      </c>
      <c r="H17" s="331">
        <f>+'c-501'!B75</f>
        <v>534626</v>
      </c>
      <c r="I17" s="416">
        <f t="shared" si="1"/>
        <v>1.3684108142888673</v>
      </c>
      <c r="J17" s="347">
        <v>1268.3966761849692</v>
      </c>
      <c r="K17">
        <f t="shared" si="4"/>
        <v>9.4870847224003824E-3</v>
      </c>
    </row>
    <row r="18" spans="1:11" x14ac:dyDescent="0.3">
      <c r="A18" s="352">
        <v>2019</v>
      </c>
      <c r="B18" s="347">
        <f>+'c-496'!H18</f>
        <v>11433.538343583847</v>
      </c>
      <c r="C18" s="355">
        <f t="shared" si="2"/>
        <v>1.4823483241557319E-2</v>
      </c>
      <c r="D18" s="347">
        <f t="shared" si="5"/>
        <v>937.92722669002671</v>
      </c>
      <c r="E18" s="347">
        <f t="shared" si="0"/>
        <v>11255.126720280321</v>
      </c>
      <c r="F18" s="354">
        <f t="shared" si="3"/>
        <v>1.1883572479049353E-2</v>
      </c>
      <c r="G18" s="331">
        <f>+'c-500'!B32</f>
        <v>761984</v>
      </c>
      <c r="H18" s="331">
        <f>+'c-501'!B76</f>
        <v>546605</v>
      </c>
      <c r="I18" s="416">
        <f t="shared" si="1"/>
        <v>1.3940304241637014</v>
      </c>
      <c r="J18" s="347">
        <v>1307.499089657382</v>
      </c>
      <c r="K18">
        <f t="shared" si="4"/>
        <v>3.0828221333741884E-2</v>
      </c>
    </row>
    <row r="19" spans="1:11" x14ac:dyDescent="0.3">
      <c r="A19" s="352">
        <v>2020</v>
      </c>
      <c r="B19" s="347">
        <f>+'c-496'!H19</f>
        <v>10523.9990063324</v>
      </c>
      <c r="C19" s="355">
        <f t="shared" si="2"/>
        <v>-7.9550119124920951E-2</v>
      </c>
      <c r="D19" s="347">
        <f t="shared" si="5"/>
        <v>807.24130823134271</v>
      </c>
      <c r="E19" s="347">
        <f t="shared" si="0"/>
        <v>9686.8956987761121</v>
      </c>
      <c r="F19" s="354">
        <f t="shared" si="3"/>
        <v>-0.13933481696642777</v>
      </c>
      <c r="G19" s="331">
        <f>+'c-500'!B33</f>
        <v>703915</v>
      </c>
      <c r="H19" s="331">
        <f>+'c-501'!B77</f>
        <v>486843</v>
      </c>
      <c r="I19" s="416">
        <f t="shared" si="1"/>
        <v>1.4458768021723636</v>
      </c>
      <c r="J19" s="347">
        <v>1167.1714813269691</v>
      </c>
      <c r="K19">
        <f t="shared" si="4"/>
        <v>-0.10732520537906029</v>
      </c>
    </row>
    <row r="20" spans="1:11" x14ac:dyDescent="0.3">
      <c r="A20" s="352">
        <v>2021</v>
      </c>
      <c r="B20" s="347">
        <f>+'c-496'!H20</f>
        <v>11486.580372293374</v>
      </c>
      <c r="C20" s="355">
        <f t="shared" si="2"/>
        <v>9.1465360779849819E-2</v>
      </c>
      <c r="D20" s="347">
        <f t="shared" si="5"/>
        <v>883.54722073344897</v>
      </c>
      <c r="E20" s="347">
        <f t="shared" si="0"/>
        <v>10602.566648801389</v>
      </c>
      <c r="F20" s="354">
        <f t="shared" si="3"/>
        <v>9.4526768791468097E-2</v>
      </c>
      <c r="G20" s="331">
        <f>+'c-500'!B34</f>
        <v>878281</v>
      </c>
      <c r="H20" s="331">
        <f>+'c-501'!B78</f>
        <v>551898</v>
      </c>
      <c r="I20" s="416">
        <f t="shared" si="1"/>
        <v>1.5913828279863309</v>
      </c>
      <c r="J20" s="347">
        <v>1406.061874790259</v>
      </c>
      <c r="K20">
        <f t="shared" si="4"/>
        <v>0.20467463203581104</v>
      </c>
    </row>
    <row r="21" spans="1:11" x14ac:dyDescent="0.3">
      <c r="A21" s="352">
        <v>2022</v>
      </c>
      <c r="B21" s="347">
        <f>+'c-496'!H21</f>
        <v>11501.470867862585</v>
      </c>
      <c r="C21" s="355">
        <f t="shared" si="2"/>
        <v>1.2963384302892885E-3</v>
      </c>
      <c r="D21" s="347">
        <f t="shared" si="5"/>
        <v>881.65774389335866</v>
      </c>
      <c r="E21" s="347">
        <f t="shared" si="0"/>
        <v>10579.892926720304</v>
      </c>
      <c r="F21" s="354">
        <f t="shared" si="3"/>
        <v>-2.1385125726748324E-3</v>
      </c>
      <c r="G21" s="331">
        <f>+'c-500'!B35</f>
        <v>943706</v>
      </c>
      <c r="H21" s="331">
        <f>+'c-501'!B79</f>
        <v>567401</v>
      </c>
      <c r="I21" s="416">
        <f t="shared" si="1"/>
        <v>1.6632082072467267</v>
      </c>
      <c r="J21" s="347">
        <f>+J20+(J20*$H$3)</f>
        <v>1466.3803956260667</v>
      </c>
    </row>
    <row r="22" spans="1:11" x14ac:dyDescent="0.3">
      <c r="A22" s="352">
        <v>2023</v>
      </c>
      <c r="B22" s="347">
        <f>+'c-496'!H22</f>
        <v>11058.544738420362</v>
      </c>
      <c r="C22" s="355">
        <f t="shared" si="2"/>
        <v>-3.8510390064965296E-2</v>
      </c>
      <c r="D22" s="347">
        <f t="shared" si="5"/>
        <v>864.69786839463802</v>
      </c>
      <c r="E22" s="347">
        <f t="shared" si="0"/>
        <v>10376.374420735656</v>
      </c>
      <c r="F22" s="354">
        <f t="shared" si="3"/>
        <v>-1.9236348363285131E-2</v>
      </c>
      <c r="G22" s="331">
        <f>+'c-500'!B36</f>
        <v>999447</v>
      </c>
      <c r="H22" s="331">
        <f>+'c-501'!B80</f>
        <v>565113</v>
      </c>
      <c r="I22" s="416">
        <f t="shared" si="1"/>
        <v>1.7685790275573203</v>
      </c>
      <c r="J22" s="347">
        <f>+J21+(J21*$H$3)</f>
        <v>1529.2865152162767</v>
      </c>
      <c r="K22" s="489">
        <f>+AVERAGE(K7:K20)</f>
        <v>4.2898909299283416E-2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E6" sqref="E6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f>+'c-499'!B10</f>
        <v>592146172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592146172</v>
      </c>
    </row>
    <row r="7" spans="1:10" x14ac:dyDescent="0.3">
      <c r="A7" s="352">
        <v>2008</v>
      </c>
      <c r="B7" s="347">
        <f>+'c-499'!C10</f>
        <v>761478872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729483436.61826134</v>
      </c>
      <c r="G7" s="349">
        <f>(F7-F6)/F6</f>
        <v>0.23193135599340045</v>
      </c>
    </row>
    <row r="8" spans="1:10" x14ac:dyDescent="0.3">
      <c r="A8" s="352">
        <v>2009</v>
      </c>
      <c r="B8" s="347">
        <f>+'c-499'!D10</f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7.8152369513873485E-2</v>
      </c>
    </row>
    <row r="9" spans="1:10" x14ac:dyDescent="0.3">
      <c r="A9" s="352">
        <v>2010</v>
      </c>
      <c r="B9" s="347">
        <f>+'c-499'!E10</f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f>+'c-499'!F10</f>
        <v>1008875258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901811280.92751789</v>
      </c>
      <c r="G10" s="349">
        <f t="shared" si="2"/>
        <v>4.8279433418972235E-2</v>
      </c>
    </row>
    <row r="11" spans="1:10" x14ac:dyDescent="0.3">
      <c r="A11" s="352">
        <v>2012</v>
      </c>
      <c r="B11" s="347">
        <f>+'c-499'!G10</f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0.10769030129892637</v>
      </c>
    </row>
    <row r="12" spans="1:10" x14ac:dyDescent="0.3">
      <c r="A12" s="352">
        <v>2013</v>
      </c>
      <c r="B12" s="347">
        <f>+'c-499'!H10</f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f>+'c-499'!I10</f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f>+'c-499'!J10</f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f>+'c-499'!K10</f>
        <v>1744764669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1263678918.4006121</v>
      </c>
      <c r="G15" s="349">
        <f t="shared" si="2"/>
        <v>7.9785868836431337E-2</v>
      </c>
    </row>
    <row r="16" spans="1:10" x14ac:dyDescent="0.3">
      <c r="A16" s="352">
        <v>2017</v>
      </c>
      <c r="B16" s="347">
        <f>+'c-499'!L10</f>
        <v>1939545037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1360448981.991914</v>
      </c>
      <c r="G16" s="349">
        <f t="shared" si="2"/>
        <v>7.6578046988217477E-2</v>
      </c>
    </row>
    <row r="17" spans="1:7" x14ac:dyDescent="0.3">
      <c r="A17" s="352">
        <v>2018</v>
      </c>
      <c r="B17" s="347">
        <f>+'c-499'!M10</f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3.4800183503321355E-2</v>
      </c>
    </row>
    <row r="18" spans="1:7" x14ac:dyDescent="0.3">
      <c r="A18" s="352">
        <v>2019</v>
      </c>
      <c r="B18" s="347">
        <f>+'c-499'!N10</f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f>+'c-499'!O10</f>
        <v>2771477867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1832850252.4959316</v>
      </c>
      <c r="G19" s="349">
        <f t="shared" si="2"/>
        <v>0.25389448341105936</v>
      </c>
    </row>
    <row r="20" spans="1:7" x14ac:dyDescent="0.3">
      <c r="A20" s="352">
        <v>2021</v>
      </c>
      <c r="B20" s="347">
        <f>+'c-499'!P10</f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5.071804339741532E-2</v>
      </c>
    </row>
    <row r="21" spans="1:7" x14ac:dyDescent="0.3">
      <c r="A21" s="352">
        <v>2022</v>
      </c>
      <c r="B21" s="347">
        <f>+'c-499'!Q10</f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f>+'c-499'!R10</f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>
      <selection activeCell="F22" sqref="F22"/>
    </sheetView>
  </sheetViews>
  <sheetFormatPr baseColWidth="10" defaultRowHeight="14.4" x14ac:dyDescent="0.3"/>
  <cols>
    <col min="1" max="1" width="23.554687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1013</v>
      </c>
    </row>
    <row r="3" spans="1:18" x14ac:dyDescent="0.3">
      <c r="A3" s="231" t="s">
        <v>1014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18811774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f>10412366+110479182</f>
        <v>120891548</v>
      </c>
      <c r="C7" s="347">
        <f>12304376+104846133+75854979+21668095</f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490499935</v>
      </c>
      <c r="L7" s="347">
        <v>530091556</v>
      </c>
      <c r="M7" s="347">
        <v>620916450</v>
      </c>
      <c r="N7" s="347">
        <v>633271947</v>
      </c>
      <c r="O7" s="347">
        <v>725582474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f>413201341-20461312-5746838</f>
        <v>386993191</v>
      </c>
      <c r="C8" s="347">
        <f>463215682-21880031-6131809</f>
        <v>435203842</v>
      </c>
      <c r="D8" s="347">
        <v>495100947</v>
      </c>
      <c r="E8" s="347">
        <v>503089409</v>
      </c>
      <c r="F8" s="347">
        <v>570787316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1332553065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f>292929+39905419</f>
        <v>40198348</v>
      </c>
      <c r="C9" s="347">
        <f>348100+44507624</f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304718573</v>
      </c>
      <c r="M9" s="347">
        <v>292402710</v>
      </c>
      <c r="N9" s="347">
        <v>285700627</v>
      </c>
      <c r="O9" s="347">
        <v>694530554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f t="shared" ref="B10:R10" si="0">+SUM(B6:B9)</f>
        <v>592146172</v>
      </c>
      <c r="C10" s="356">
        <f t="shared" si="0"/>
        <v>761478872</v>
      </c>
      <c r="D10" s="356">
        <f t="shared" si="0"/>
        <v>835740310</v>
      </c>
      <c r="E10" s="356">
        <f t="shared" si="0"/>
        <v>924918559</v>
      </c>
      <c r="F10" s="356">
        <f t="shared" si="0"/>
        <v>1008875258</v>
      </c>
      <c r="G10" s="356">
        <f t="shared" si="0"/>
        <v>1163120466</v>
      </c>
      <c r="H10" s="356">
        <f t="shared" si="0"/>
        <v>1295867443</v>
      </c>
      <c r="I10" s="356">
        <f t="shared" si="0"/>
        <v>1481047878</v>
      </c>
      <c r="J10" s="356">
        <f t="shared" si="0"/>
        <v>1562067893</v>
      </c>
      <c r="K10" s="356">
        <f t="shared" si="0"/>
        <v>1744764669</v>
      </c>
      <c r="L10" s="356">
        <f t="shared" si="0"/>
        <v>1939545037</v>
      </c>
      <c r="M10" s="356">
        <f t="shared" si="0"/>
        <v>2056552952</v>
      </c>
      <c r="N10" s="356">
        <f t="shared" si="0"/>
        <v>2174489899</v>
      </c>
      <c r="O10" s="356">
        <f t="shared" si="0"/>
        <v>2771477867</v>
      </c>
      <c r="P10" s="356">
        <f t="shared" si="0"/>
        <v>3006535313</v>
      </c>
      <c r="Q10" s="356">
        <f t="shared" si="0"/>
        <v>2851547566</v>
      </c>
      <c r="R10" s="356">
        <f t="shared" si="0"/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 t="shared" ref="B15:R15" si="1">+B6/B$12</f>
        <v>44063085</v>
      </c>
      <c r="C15" s="347">
        <f t="shared" si="1"/>
        <v>63941234.8575451</v>
      </c>
      <c r="D15" s="347">
        <f t="shared" si="1"/>
        <v>5182546.9698785078</v>
      </c>
      <c r="E15" s="347">
        <f t="shared" si="1"/>
        <v>61908097.602279469</v>
      </c>
      <c r="F15" s="347">
        <f t="shared" si="1"/>
        <v>31643132.288418777</v>
      </c>
      <c r="G15" s="347">
        <f t="shared" si="1"/>
        <v>53463941.713359885</v>
      </c>
      <c r="H15" s="347">
        <f t="shared" si="1"/>
        <v>43003947.255174845</v>
      </c>
      <c r="I15" s="347">
        <f t="shared" si="1"/>
        <v>18166721.919628836</v>
      </c>
      <c r="J15" s="347">
        <f t="shared" si="1"/>
        <v>7879121.7804660192</v>
      </c>
      <c r="K15" s="347">
        <f t="shared" si="1"/>
        <v>5463540.3952285443</v>
      </c>
      <c r="L15" s="347">
        <f t="shared" si="1"/>
        <v>19335370.748534087</v>
      </c>
      <c r="M15" s="347">
        <f t="shared" si="1"/>
        <v>16879710.234235365</v>
      </c>
      <c r="N15" s="347">
        <f t="shared" si="1"/>
        <v>15553860.045977011</v>
      </c>
      <c r="O15" s="347">
        <f t="shared" si="1"/>
        <v>12440714.442045517</v>
      </c>
      <c r="P15" s="347">
        <f t="shared" si="1"/>
        <v>18227283.695144169</v>
      </c>
      <c r="Q15" s="347">
        <f t="shared" si="1"/>
        <v>16346132.346051309</v>
      </c>
      <c r="R15" s="347">
        <f t="shared" si="1"/>
        <v>20634662.767177854</v>
      </c>
    </row>
    <row r="16" spans="1:18" x14ac:dyDescent="0.3">
      <c r="A16" s="358" t="s">
        <v>867</v>
      </c>
      <c r="B16" s="347">
        <f t="shared" ref="B16:R16" si="2">+B7/B$12</f>
        <v>120891548</v>
      </c>
      <c r="C16" s="347">
        <f t="shared" si="2"/>
        <v>205653536.6065883</v>
      </c>
      <c r="D16" s="347">
        <f t="shared" si="2"/>
        <v>179762664.29484075</v>
      </c>
      <c r="E16" s="347">
        <f t="shared" si="2"/>
        <v>196995054.26049694</v>
      </c>
      <c r="F16" s="347">
        <f t="shared" si="2"/>
        <v>226614930.75672698</v>
      </c>
      <c r="G16" s="347">
        <f t="shared" si="2"/>
        <v>263146336.99746561</v>
      </c>
      <c r="H16" s="347">
        <f t="shared" si="2"/>
        <v>305672688.99609691</v>
      </c>
      <c r="I16" s="347">
        <f t="shared" si="2"/>
        <v>333435179.74632585</v>
      </c>
      <c r="J16" s="347">
        <f t="shared" si="2"/>
        <v>334652134.41982496</v>
      </c>
      <c r="K16" s="347">
        <f t="shared" si="2"/>
        <v>355253885.15095532</v>
      </c>
      <c r="L16" s="347">
        <f t="shared" si="2"/>
        <v>371820454.77952451</v>
      </c>
      <c r="M16" s="347">
        <f t="shared" si="2"/>
        <v>425042176.4071368</v>
      </c>
      <c r="N16" s="347">
        <f t="shared" si="2"/>
        <v>425695292.15695602</v>
      </c>
      <c r="O16" s="347">
        <f t="shared" si="2"/>
        <v>479846523.94755089</v>
      </c>
      <c r="P16" s="347">
        <f t="shared" si="2"/>
        <v>586143327.27892053</v>
      </c>
      <c r="Q16" s="347">
        <f t="shared" si="2"/>
        <v>589123175.71447444</v>
      </c>
      <c r="R16" s="347">
        <f t="shared" si="2"/>
        <v>551694524.7220341</v>
      </c>
    </row>
    <row r="17" spans="1:18" x14ac:dyDescent="0.3">
      <c r="A17" s="357" t="s">
        <v>868</v>
      </c>
      <c r="B17" s="347">
        <f t="shared" ref="B17:R17" si="3">+B8/B$12</f>
        <v>386993191</v>
      </c>
      <c r="C17" s="347">
        <f t="shared" si="3"/>
        <v>416917666.3533625</v>
      </c>
      <c r="D17" s="347">
        <f t="shared" si="3"/>
        <v>465927113.91013873</v>
      </c>
      <c r="E17" s="347">
        <f t="shared" si="3"/>
        <v>467929342.25748807</v>
      </c>
      <c r="F17" s="347">
        <f t="shared" si="3"/>
        <v>510214158.28907162</v>
      </c>
      <c r="G17" s="347">
        <f t="shared" si="3"/>
        <v>498209164.80988419</v>
      </c>
      <c r="H17" s="347">
        <f t="shared" si="3"/>
        <v>534778589.6666187</v>
      </c>
      <c r="I17" s="347">
        <f t="shared" si="3"/>
        <v>573327146.64155471</v>
      </c>
      <c r="J17" s="347">
        <f t="shared" si="3"/>
        <v>618746439.32572806</v>
      </c>
      <c r="K17" s="347">
        <f t="shared" si="3"/>
        <v>703107158.04771447</v>
      </c>
      <c r="L17" s="347">
        <f t="shared" si="3"/>
        <v>755555365.11403871</v>
      </c>
      <c r="M17" s="347">
        <f t="shared" si="3"/>
        <v>765709604.46964145</v>
      </c>
      <c r="N17" s="347">
        <f t="shared" si="3"/>
        <v>828424492.39159727</v>
      </c>
      <c r="O17" s="347">
        <f t="shared" si="3"/>
        <v>881251930.86720681</v>
      </c>
      <c r="P17" s="347">
        <f t="shared" si="3"/>
        <v>902736644.5935477</v>
      </c>
      <c r="Q17" s="347">
        <f t="shared" si="3"/>
        <v>861575228.36230803</v>
      </c>
      <c r="R17" s="347">
        <f t="shared" si="3"/>
        <v>1002450245.0450773</v>
      </c>
    </row>
    <row r="18" spans="1:18" x14ac:dyDescent="0.3">
      <c r="A18" s="357" t="s">
        <v>869</v>
      </c>
      <c r="B18" s="347">
        <f t="shared" ref="B18:R18" si="4">+B9/B$12</f>
        <v>40198348</v>
      </c>
      <c r="C18" s="347">
        <f t="shared" si="4"/>
        <v>42970998.80076544</v>
      </c>
      <c r="D18" s="347">
        <f t="shared" si="4"/>
        <v>135621970.53624403</v>
      </c>
      <c r="E18" s="347">
        <f t="shared" si="4"/>
        <v>133445073.27057216</v>
      </c>
      <c r="F18" s="347">
        <f t="shared" si="4"/>
        <v>133339059.59330057</v>
      </c>
      <c r="G18" s="347">
        <f t="shared" si="4"/>
        <v>184108165.9646633</v>
      </c>
      <c r="H18" s="347">
        <f t="shared" si="4"/>
        <v>174129652.26006976</v>
      </c>
      <c r="I18" s="347">
        <f t="shared" si="4"/>
        <v>213494134.94320834</v>
      </c>
      <c r="J18" s="347">
        <f t="shared" si="4"/>
        <v>209027412.98808157</v>
      </c>
      <c r="K18" s="347">
        <f t="shared" si="4"/>
        <v>199854334.80671382</v>
      </c>
      <c r="L18" s="347">
        <f t="shared" si="4"/>
        <v>213737791.34981683</v>
      </c>
      <c r="M18" s="347">
        <f t="shared" si="4"/>
        <v>200161365.10112572</v>
      </c>
      <c r="N18" s="347">
        <f t="shared" si="4"/>
        <v>192052423.06460562</v>
      </c>
      <c r="O18" s="347">
        <f t="shared" si="4"/>
        <v>459311083.23912853</v>
      </c>
      <c r="P18" s="347">
        <f t="shared" si="4"/>
        <v>418701575.57537138</v>
      </c>
      <c r="Q18" s="347">
        <f t="shared" si="4"/>
        <v>274418654.8660301</v>
      </c>
      <c r="R18" s="347">
        <f t="shared" si="4"/>
        <v>256230510.6533891</v>
      </c>
    </row>
    <row r="19" spans="1:18" x14ac:dyDescent="0.3">
      <c r="A19" s="359" t="s">
        <v>866</v>
      </c>
      <c r="B19" s="356">
        <f>+B10/B$12</f>
        <v>592146172</v>
      </c>
      <c r="C19" s="356">
        <f t="shared" ref="C19:K19" si="5">+C10/C$12</f>
        <v>729483436.61826134</v>
      </c>
      <c r="D19" s="356">
        <f t="shared" si="5"/>
        <v>786494295.71110201</v>
      </c>
      <c r="E19" s="356">
        <f t="shared" si="5"/>
        <v>860277567.3908366</v>
      </c>
      <c r="F19" s="356">
        <f t="shared" si="5"/>
        <v>901811280.92751789</v>
      </c>
      <c r="G19" s="356">
        <f t="shared" si="5"/>
        <v>998927609.48537302</v>
      </c>
      <c r="H19" s="356">
        <f t="shared" si="5"/>
        <v>1057584878.1779603</v>
      </c>
      <c r="I19" s="356">
        <f t="shared" si="5"/>
        <v>1138423183.2507179</v>
      </c>
      <c r="J19" s="356">
        <f t="shared" si="5"/>
        <v>1170305108.5141006</v>
      </c>
      <c r="K19" s="356">
        <f t="shared" si="5"/>
        <v>1263678918.4006121</v>
      </c>
      <c r="L19" s="356">
        <f>+L10/L$12</f>
        <v>1360448981.991914</v>
      </c>
      <c r="M19" s="356">
        <f t="shared" ref="M19:R19" si="6">+M10/M$12</f>
        <v>1407792856.2121394</v>
      </c>
      <c r="N19" s="356">
        <f t="shared" si="6"/>
        <v>1461726067.6591361</v>
      </c>
      <c r="O19" s="356">
        <f t="shared" si="6"/>
        <v>1832850252.4959316</v>
      </c>
      <c r="P19" s="356">
        <f t="shared" si="6"/>
        <v>1925808831.1429839</v>
      </c>
      <c r="Q19" s="356">
        <f t="shared" si="6"/>
        <v>1741463191.2888639</v>
      </c>
      <c r="R19" s="356">
        <f t="shared" si="6"/>
        <v>1831009943.1876783</v>
      </c>
    </row>
    <row r="20" spans="1:18" x14ac:dyDescent="0.3">
      <c r="B20" s="331"/>
      <c r="J20" s="415"/>
    </row>
    <row r="21" spans="1:18" x14ac:dyDescent="0.3">
      <c r="B21" s="347"/>
      <c r="C21" s="347"/>
      <c r="O21" s="355">
        <f>+O15/$O$19</f>
        <v>6.7876327731106511E-3</v>
      </c>
    </row>
    <row r="22" spans="1:18" x14ac:dyDescent="0.3">
      <c r="B22" s="347"/>
      <c r="C22" s="347"/>
      <c r="O22" s="355">
        <f t="shared" ref="O22:O24" si="7">+O16/$O$19</f>
        <v>0.2618034524610548</v>
      </c>
    </row>
    <row r="23" spans="1:18" x14ac:dyDescent="0.3">
      <c r="H23" s="347"/>
      <c r="I23" s="331"/>
      <c r="L23" s="347"/>
      <c r="O23" s="355">
        <f t="shared" si="7"/>
        <v>0.48080956404765696</v>
      </c>
    </row>
    <row r="24" spans="1:18" x14ac:dyDescent="0.3">
      <c r="O24" s="355">
        <f t="shared" si="7"/>
        <v>0.25059935071817768</v>
      </c>
    </row>
  </sheetData>
  <pageMargins left="0.7" right="0.7" top="0.75" bottom="0.75" header="0.3" footer="0.3"/>
  <ignoredErrors>
    <ignoredError sqref="B10:R10" formulaRange="1"/>
  </ignoredErrors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topLeftCell="A9" workbookViewId="0">
      <selection activeCell="B20" sqref="B20:B36"/>
    </sheetView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508" t="s">
        <v>882</v>
      </c>
      <c r="B2" s="508"/>
      <c r="C2" s="508"/>
      <c r="D2" s="508"/>
      <c r="E2" s="508"/>
      <c r="F2" s="508"/>
      <c r="G2" s="508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512" t="s">
        <v>849</v>
      </c>
      <c r="B4" s="514" t="s">
        <v>883</v>
      </c>
      <c r="C4" s="509" t="s">
        <v>884</v>
      </c>
      <c r="D4" s="516" t="s">
        <v>874</v>
      </c>
      <c r="E4" s="518" t="s">
        <v>885</v>
      </c>
      <c r="F4" s="518" t="s">
        <v>886</v>
      </c>
      <c r="G4" s="509" t="s">
        <v>887</v>
      </c>
      <c r="H4" s="511"/>
      <c r="I4" s="511"/>
    </row>
    <row r="5" spans="1:14" s="369" customFormat="1" ht="27" customHeight="1" x14ac:dyDescent="0.3">
      <c r="A5" s="513"/>
      <c r="B5" s="515"/>
      <c r="C5" s="510"/>
      <c r="D5" s="517"/>
      <c r="E5" s="519"/>
      <c r="F5" s="519"/>
      <c r="G5" s="510"/>
      <c r="H5" s="511"/>
      <c r="I5" s="511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topLeftCell="A2" workbookViewId="0">
      <selection activeCell="D4" sqref="D4:D5"/>
    </sheetView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520" t="s">
        <v>893</v>
      </c>
      <c r="B2" s="520"/>
      <c r="C2" s="520"/>
      <c r="D2" s="520"/>
      <c r="E2" s="520"/>
      <c r="F2" s="520"/>
      <c r="G2" s="520"/>
    </row>
    <row r="3" spans="1:9" x14ac:dyDescent="0.3">
      <c r="A3" s="521"/>
      <c r="B3" s="521"/>
      <c r="C3" s="521"/>
      <c r="D3" s="521"/>
      <c r="E3" s="521"/>
      <c r="F3" s="521"/>
      <c r="G3" s="521"/>
    </row>
    <row r="4" spans="1:9" s="369" customFormat="1" ht="24.9" customHeight="1" x14ac:dyDescent="0.3">
      <c r="A4" s="512" t="s">
        <v>849</v>
      </c>
      <c r="B4" s="509" t="s">
        <v>883</v>
      </c>
      <c r="C4" s="509" t="s">
        <v>884</v>
      </c>
      <c r="D4" s="509" t="s">
        <v>874</v>
      </c>
      <c r="E4" s="518" t="s">
        <v>894</v>
      </c>
      <c r="F4" s="518" t="s">
        <v>886</v>
      </c>
      <c r="G4" s="509" t="s">
        <v>887</v>
      </c>
      <c r="H4" s="511"/>
      <c r="I4" s="511"/>
    </row>
    <row r="5" spans="1:9" s="369" customFormat="1" ht="18.75" customHeight="1" x14ac:dyDescent="0.3">
      <c r="A5" s="522"/>
      <c r="B5" s="519"/>
      <c r="C5" s="519"/>
      <c r="D5" s="519"/>
      <c r="E5" s="519"/>
      <c r="F5" s="519"/>
      <c r="G5" s="519"/>
      <c r="H5" s="511"/>
      <c r="I5" s="511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B3" sqref="B3:J13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524" t="s">
        <v>903</v>
      </c>
      <c r="C3" s="524" t="s">
        <v>2</v>
      </c>
      <c r="D3" s="524"/>
      <c r="E3" s="524"/>
      <c r="F3" s="524"/>
      <c r="G3" s="524"/>
      <c r="H3" s="524"/>
      <c r="I3" s="526" t="s">
        <v>904</v>
      </c>
      <c r="J3" s="526"/>
      <c r="K3" s="399"/>
    </row>
    <row r="4" spans="2:11" ht="16.8" customHeight="1" thickBot="1" x14ac:dyDescent="0.35">
      <c r="B4" s="525"/>
      <c r="C4" s="525"/>
      <c r="D4" s="525"/>
      <c r="E4" s="525"/>
      <c r="F4" s="525"/>
      <c r="G4" s="525"/>
      <c r="H4" s="525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527" t="s">
        <v>912</v>
      </c>
      <c r="D5" s="527"/>
      <c r="E5" s="527"/>
      <c r="F5" s="527"/>
      <c r="G5" s="527"/>
      <c r="H5" s="527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523" t="s">
        <v>914</v>
      </c>
      <c r="D6" s="523"/>
      <c r="E6" s="523"/>
      <c r="F6" s="523"/>
      <c r="G6" s="523"/>
      <c r="H6" s="523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523" t="s">
        <v>915</v>
      </c>
      <c r="D7" s="523"/>
      <c r="E7" s="523"/>
      <c r="F7" s="523"/>
      <c r="G7" s="523"/>
      <c r="H7" s="523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523" t="s">
        <v>913</v>
      </c>
      <c r="D8" s="523"/>
      <c r="E8" s="523"/>
      <c r="F8" s="523"/>
      <c r="G8" s="523"/>
      <c r="H8" s="523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523" t="s">
        <v>12</v>
      </c>
      <c r="D9" s="523"/>
      <c r="E9" s="523"/>
      <c r="F9" s="523"/>
      <c r="G9" s="523"/>
      <c r="H9" s="523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B1" sqref="B1:J10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528" t="s">
        <v>931</v>
      </c>
      <c r="C1" s="528"/>
      <c r="D1" s="528"/>
      <c r="E1" s="528"/>
      <c r="F1" s="528"/>
      <c r="G1" s="528"/>
      <c r="H1" s="528"/>
      <c r="I1" s="528"/>
      <c r="J1" s="528"/>
    </row>
    <row r="2" spans="2:11" ht="21" customHeight="1" x14ac:dyDescent="0.3">
      <c r="B2" s="528"/>
      <c r="C2" s="528"/>
      <c r="D2" s="528"/>
      <c r="E2" s="528"/>
      <c r="F2" s="528"/>
      <c r="G2" s="528"/>
      <c r="H2" s="528"/>
      <c r="I2" s="528"/>
      <c r="J2" s="528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524" t="s">
        <v>903</v>
      </c>
      <c r="C4" s="524" t="s">
        <v>2</v>
      </c>
      <c r="D4" s="524"/>
      <c r="E4" s="524"/>
      <c r="F4" s="524"/>
      <c r="G4" s="524"/>
      <c r="H4" s="524"/>
      <c r="I4" s="526" t="s">
        <v>904</v>
      </c>
      <c r="J4" s="526"/>
      <c r="K4" s="399"/>
    </row>
    <row r="5" spans="2:11" ht="16.8" customHeight="1" thickBot="1" x14ac:dyDescent="0.35">
      <c r="B5" s="525"/>
      <c r="C5" s="525"/>
      <c r="D5" s="525"/>
      <c r="E5" s="525"/>
      <c r="F5" s="525"/>
      <c r="G5" s="525"/>
      <c r="H5" s="525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527" t="s">
        <v>932</v>
      </c>
      <c r="D6" s="527"/>
      <c r="E6" s="527"/>
      <c r="F6" s="527"/>
      <c r="G6" s="527"/>
      <c r="H6" s="527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523" t="s">
        <v>933</v>
      </c>
      <c r="D7" s="523"/>
      <c r="E7" s="523"/>
      <c r="F7" s="523"/>
      <c r="G7" s="523"/>
      <c r="H7" s="523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523" t="s">
        <v>934</v>
      </c>
      <c r="D8" s="523"/>
      <c r="E8" s="523"/>
      <c r="F8" s="523"/>
      <c r="G8" s="523"/>
      <c r="H8" s="523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523" t="s">
        <v>935</v>
      </c>
      <c r="D9" s="523"/>
      <c r="E9" s="523"/>
      <c r="F9" s="523"/>
      <c r="G9" s="523"/>
      <c r="H9" s="523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523" t="s">
        <v>936</v>
      </c>
      <c r="D10" s="523"/>
      <c r="E10" s="523"/>
      <c r="F10" s="523"/>
      <c r="G10" s="523"/>
      <c r="H10" s="523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22"/>
  <sheetViews>
    <sheetView workbookViewId="0">
      <selection activeCell="D19" sqref="D19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8" max="8" width="13.109375" customWidth="1"/>
    <col min="9" max="9" width="14.5546875" customWidth="1"/>
  </cols>
  <sheetData>
    <row r="1" spans="1:12" ht="18" x14ac:dyDescent="0.3">
      <c r="A1" s="229" t="s">
        <v>900</v>
      </c>
    </row>
    <row r="2" spans="1:12" ht="18" x14ac:dyDescent="0.3">
      <c r="A2" s="304" t="s">
        <v>926</v>
      </c>
    </row>
    <row r="3" spans="1:12" x14ac:dyDescent="0.3">
      <c r="A3" s="231" t="s">
        <v>901</v>
      </c>
      <c r="J3" s="419"/>
      <c r="K3" s="416"/>
    </row>
    <row r="4" spans="1:12" ht="18" x14ac:dyDescent="0.35">
      <c r="H4" s="484"/>
      <c r="K4" s="484"/>
    </row>
    <row r="5" spans="1:12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  <c r="H5" s="484"/>
      <c r="J5" s="484"/>
      <c r="K5" s="484"/>
    </row>
    <row r="6" spans="1:12" ht="15.6" x14ac:dyDescent="0.3">
      <c r="A6" s="405">
        <v>2007</v>
      </c>
      <c r="B6">
        <v>42.4</v>
      </c>
      <c r="C6">
        <v>11.2</v>
      </c>
      <c r="D6" s="344">
        <v>37.299999999999997</v>
      </c>
      <c r="E6" s="344">
        <v>12.4</v>
      </c>
    </row>
    <row r="7" spans="1:12" ht="15.6" x14ac:dyDescent="0.3">
      <c r="A7" s="405">
        <v>2008</v>
      </c>
      <c r="B7">
        <v>37.299999999999997</v>
      </c>
      <c r="C7">
        <v>10.9</v>
      </c>
      <c r="D7" s="483">
        <v>36.700000000000003</v>
      </c>
      <c r="E7" s="404">
        <f ca="1">+(E8+E9)/2</f>
        <v>9.7100000000000009</v>
      </c>
    </row>
    <row r="8" spans="1:12" ht="15.6" x14ac:dyDescent="0.3">
      <c r="A8" s="405">
        <v>2009</v>
      </c>
      <c r="B8">
        <v>33.5</v>
      </c>
      <c r="C8">
        <v>9.5</v>
      </c>
      <c r="D8" s="344">
        <v>38.9</v>
      </c>
      <c r="E8" s="404">
        <f ca="1">+(E7+E9)/2</f>
        <v>9.7100000000000009</v>
      </c>
      <c r="L8" s="404"/>
    </row>
    <row r="9" spans="1:12" ht="15.6" x14ac:dyDescent="0.3">
      <c r="A9" s="405">
        <v>2010</v>
      </c>
      <c r="B9">
        <v>30.8</v>
      </c>
      <c r="C9">
        <v>7.6</v>
      </c>
      <c r="D9" s="483">
        <v>32.6</v>
      </c>
      <c r="E9" s="404">
        <v>9.7100000000000009</v>
      </c>
    </row>
    <row r="10" spans="1:12" ht="15.6" x14ac:dyDescent="0.3">
      <c r="A10" s="405">
        <v>2011</v>
      </c>
      <c r="B10">
        <v>27.8</v>
      </c>
      <c r="C10">
        <v>6.3</v>
      </c>
      <c r="D10" s="418">
        <f>+(26.4+30.6)/2</f>
        <v>28.5</v>
      </c>
      <c r="E10" s="483">
        <f>(4.3+9.6)/2</f>
        <v>6.9499999999999993</v>
      </c>
    </row>
    <row r="11" spans="1:12" ht="15.6" x14ac:dyDescent="0.3">
      <c r="A11" s="405">
        <v>2012</v>
      </c>
      <c r="B11">
        <v>25.8</v>
      </c>
      <c r="C11">
        <v>6</v>
      </c>
      <c r="D11" s="417">
        <f>+(24.4+28.5)/2</f>
        <v>26.45</v>
      </c>
      <c r="E11" s="404">
        <f>+(3.5+8.4)/2</f>
        <v>5.95</v>
      </c>
    </row>
    <row r="12" spans="1:12" ht="15.6" x14ac:dyDescent="0.3">
      <c r="A12" s="405">
        <v>2013</v>
      </c>
      <c r="B12">
        <v>23.9</v>
      </c>
      <c r="C12">
        <v>4.7</v>
      </c>
      <c r="D12">
        <v>29.5</v>
      </c>
      <c r="E12" s="404">
        <f>+(3.8+9.3)/2</f>
        <v>6.5500000000000007</v>
      </c>
    </row>
    <row r="13" spans="1:12" ht="15.6" x14ac:dyDescent="0.3">
      <c r="A13" s="405">
        <v>2014</v>
      </c>
      <c r="B13">
        <v>22.7</v>
      </c>
      <c r="C13">
        <v>4.3</v>
      </c>
      <c r="D13" s="485">
        <v>27.4</v>
      </c>
      <c r="E13" s="404">
        <f>+(5.2+7)/2</f>
        <v>6.1</v>
      </c>
      <c r="K13" s="404"/>
    </row>
    <row r="14" spans="1:12" ht="15.6" x14ac:dyDescent="0.3">
      <c r="A14" s="405">
        <v>2015</v>
      </c>
      <c r="B14">
        <v>21.8</v>
      </c>
      <c r="C14">
        <v>4.0999999999999996</v>
      </c>
      <c r="D14" s="486">
        <v>25.9</v>
      </c>
      <c r="E14" s="404">
        <v>6.31</v>
      </c>
      <c r="J14" s="404"/>
    </row>
    <row r="15" spans="1:12" ht="15.6" x14ac:dyDescent="0.3">
      <c r="A15" s="405">
        <v>2016</v>
      </c>
      <c r="B15">
        <v>20.7</v>
      </c>
      <c r="C15">
        <v>3.8</v>
      </c>
      <c r="D15" s="485">
        <v>24.5</v>
      </c>
      <c r="E15" s="404">
        <v>4.4400000000000004</v>
      </c>
      <c r="J15" s="404"/>
    </row>
    <row r="16" spans="1:12" ht="15.6" x14ac:dyDescent="0.3">
      <c r="A16" s="405">
        <v>2017</v>
      </c>
      <c r="B16">
        <v>21.7</v>
      </c>
      <c r="C16">
        <v>3.8</v>
      </c>
      <c r="D16" s="486">
        <v>23.5</v>
      </c>
      <c r="E16" s="404">
        <f>+(2.9+4.4)/2</f>
        <v>3.6500000000000004</v>
      </c>
      <c r="J16" s="404"/>
    </row>
    <row r="17" spans="1:11" ht="15.6" x14ac:dyDescent="0.3">
      <c r="A17" s="405">
        <v>2018</v>
      </c>
      <c r="B17">
        <v>20.5</v>
      </c>
      <c r="C17">
        <v>2.8</v>
      </c>
      <c r="D17" s="485">
        <v>20.8</v>
      </c>
      <c r="E17" s="404">
        <f>+(2.6+3.6)/2</f>
        <v>3.1</v>
      </c>
      <c r="J17" s="404"/>
    </row>
    <row r="18" spans="1:11" ht="15.6" x14ac:dyDescent="0.3">
      <c r="A18" s="405">
        <v>2019</v>
      </c>
      <c r="B18">
        <v>20.2</v>
      </c>
      <c r="C18">
        <v>2.9</v>
      </c>
      <c r="D18" s="486">
        <v>24.7</v>
      </c>
      <c r="E18" s="404">
        <v>6.26</v>
      </c>
    </row>
    <row r="19" spans="1:11" ht="15.6" x14ac:dyDescent="0.3">
      <c r="A19" s="405">
        <v>2020</v>
      </c>
      <c r="B19">
        <v>30.1</v>
      </c>
      <c r="C19">
        <v>5.0999999999999996</v>
      </c>
      <c r="D19" s="485">
        <v>31.9</v>
      </c>
      <c r="E19" s="404">
        <f>+(6.3+8.3)/2</f>
        <v>7.3000000000000007</v>
      </c>
      <c r="J19" s="404"/>
      <c r="K19" s="416"/>
    </row>
    <row r="20" spans="1:11" ht="15.6" x14ac:dyDescent="0.3">
      <c r="A20" s="405">
        <v>2021</v>
      </c>
      <c r="B20">
        <v>25.9</v>
      </c>
      <c r="C20">
        <v>4.0999999999999996</v>
      </c>
      <c r="D20" s="485">
        <v>26.8</v>
      </c>
      <c r="E20" s="404">
        <f>+(6.1+8.1)/2</f>
        <v>7.1</v>
      </c>
      <c r="J20" s="404"/>
    </row>
    <row r="21" spans="1:11" ht="15.6" x14ac:dyDescent="0.3">
      <c r="A21" s="405">
        <v>2022</v>
      </c>
      <c r="B21">
        <v>27.5</v>
      </c>
      <c r="C21">
        <v>5</v>
      </c>
      <c r="D21" s="485">
        <v>28.4</v>
      </c>
      <c r="E21" s="404">
        <v>4.38</v>
      </c>
      <c r="J21" s="404"/>
    </row>
    <row r="22" spans="1:11" ht="15.6" x14ac:dyDescent="0.3">
      <c r="A22" s="405">
        <v>2023</v>
      </c>
      <c r="B22" s="404">
        <v>29</v>
      </c>
      <c r="C22">
        <v>5.7</v>
      </c>
      <c r="D22" s="485">
        <v>31.6</v>
      </c>
      <c r="E22" s="404">
        <v>5.7</v>
      </c>
      <c r="J22" s="404"/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E17"/>
  <sheetViews>
    <sheetView workbookViewId="0">
      <selection activeCell="A7" sqref="A7"/>
    </sheetView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5" ht="18" x14ac:dyDescent="0.3">
      <c r="A1" s="229" t="s">
        <v>943</v>
      </c>
    </row>
    <row r="2" spans="1:5" ht="18" x14ac:dyDescent="0.3">
      <c r="A2" s="304" t="s">
        <v>944</v>
      </c>
    </row>
    <row r="3" spans="1:5" x14ac:dyDescent="0.3">
      <c r="A3" s="231" t="s">
        <v>957</v>
      </c>
    </row>
    <row r="5" spans="1:5" ht="15" thickBot="1" x14ac:dyDescent="0.35">
      <c r="A5" s="414" t="s">
        <v>952</v>
      </c>
      <c r="B5" s="413" t="s">
        <v>945</v>
      </c>
      <c r="C5" s="413" t="s">
        <v>954</v>
      </c>
      <c r="D5" s="412" t="s">
        <v>946</v>
      </c>
    </row>
    <row r="6" spans="1:5" x14ac:dyDescent="0.3">
      <c r="A6" s="410" t="s">
        <v>942</v>
      </c>
      <c r="B6" s="409">
        <v>20.085515000000001</v>
      </c>
      <c r="C6" s="409">
        <f>+(15.7+19.2)/2</f>
        <v>17.45</v>
      </c>
      <c r="D6" s="411">
        <f>+(13+16.1)/2</f>
        <v>14.55</v>
      </c>
      <c r="E6" s="404"/>
    </row>
    <row r="7" spans="1:5" x14ac:dyDescent="0.3">
      <c r="A7" s="410" t="s">
        <v>941</v>
      </c>
      <c r="B7" s="409">
        <v>25.755697999999999</v>
      </c>
      <c r="C7" s="409">
        <f>+(19.4+31.1)/2</f>
        <v>25.25</v>
      </c>
      <c r="D7" s="408">
        <f>+(19.7+24.9)/2</f>
        <v>22.299999999999997</v>
      </c>
    </row>
    <row r="8" spans="1:5" x14ac:dyDescent="0.3">
      <c r="A8" s="410" t="s">
        <v>947</v>
      </c>
      <c r="B8" s="409">
        <v>77.612793999999994</v>
      </c>
      <c r="C8" s="409">
        <f>+(69+77.1)/2</f>
        <v>73.05</v>
      </c>
      <c r="D8" s="411">
        <f>+(48.4+57.1)/2</f>
        <v>52.75</v>
      </c>
    </row>
    <row r="9" spans="1:5" x14ac:dyDescent="0.3">
      <c r="A9" s="410" t="s">
        <v>951</v>
      </c>
      <c r="B9" s="409">
        <v>36.116833999999997</v>
      </c>
      <c r="C9" s="409">
        <f>+(30.9+38)/2</f>
        <v>34.450000000000003</v>
      </c>
      <c r="D9" s="411">
        <f>+(23+30.3)/2</f>
        <v>26.65</v>
      </c>
    </row>
    <row r="10" spans="1:5" x14ac:dyDescent="0.3">
      <c r="A10" s="410" t="s">
        <v>948</v>
      </c>
      <c r="B10" s="409">
        <v>73.680940000000007</v>
      </c>
      <c r="C10" s="409">
        <f>+(78.6+85.7)/2</f>
        <v>82.15</v>
      </c>
      <c r="D10" s="408">
        <f>+(46.7+57.1)/2</f>
        <v>51.900000000000006</v>
      </c>
    </row>
    <row r="11" spans="1:5" x14ac:dyDescent="0.3">
      <c r="A11" s="410" t="s">
        <v>940</v>
      </c>
      <c r="B11" s="409">
        <v>68.548835999999994</v>
      </c>
      <c r="C11" s="409">
        <f>+(58.8+66.4)/2</f>
        <v>62.6</v>
      </c>
      <c r="D11" s="411">
        <f>+(43.4+51.3)/2</f>
        <v>47.349999999999994</v>
      </c>
    </row>
    <row r="12" spans="1:5" x14ac:dyDescent="0.3">
      <c r="A12" s="410" t="s">
        <v>939</v>
      </c>
      <c r="B12" s="409">
        <v>32.331760000000003</v>
      </c>
      <c r="C12" s="409">
        <f>+(26.5+33)/2</f>
        <v>29.75</v>
      </c>
      <c r="D12" s="411">
        <f>+(21.2+27.4)/2</f>
        <v>24.299999999999997</v>
      </c>
    </row>
    <row r="13" spans="1:5" x14ac:dyDescent="0.3">
      <c r="A13" s="410" t="s">
        <v>938</v>
      </c>
      <c r="B13" s="409">
        <v>73.206646000000006</v>
      </c>
      <c r="C13" s="409">
        <f>+(63.6+71.8)/2</f>
        <v>67.7</v>
      </c>
      <c r="D13" s="411">
        <f>+(43.9+52.1)/2</f>
        <v>48</v>
      </c>
    </row>
    <row r="14" spans="1:5" x14ac:dyDescent="0.3">
      <c r="A14" s="410" t="s">
        <v>953</v>
      </c>
      <c r="B14" s="409">
        <v>83.869085999999996</v>
      </c>
      <c r="C14" s="409">
        <f>+(55.3+62.5)/2</f>
        <v>58.9</v>
      </c>
      <c r="D14" s="408">
        <f>+(44.4+54)/2</f>
        <v>49.2</v>
      </c>
    </row>
    <row r="15" spans="1:5" x14ac:dyDescent="0.3">
      <c r="A15" s="410" t="s">
        <v>937</v>
      </c>
      <c r="B15" s="409">
        <v>58.531388</v>
      </c>
      <c r="C15" s="409">
        <f>+(56.5+64.7)/2</f>
        <v>60.6</v>
      </c>
      <c r="D15" s="411">
        <f>+(41.4+51.1)/2</f>
        <v>46.25</v>
      </c>
    </row>
    <row r="16" spans="1:5" x14ac:dyDescent="0.3">
      <c r="A16" s="410" t="s">
        <v>949</v>
      </c>
      <c r="B16" s="409">
        <v>58.637436999999998</v>
      </c>
      <c r="C16" s="409">
        <f>+(58.5+66.4)/2</f>
        <v>62.45</v>
      </c>
      <c r="D16" s="411">
        <f>+(38.9+49.8)/2</f>
        <v>44.349999999999994</v>
      </c>
    </row>
    <row r="17" spans="1:4" x14ac:dyDescent="0.3">
      <c r="A17" s="410" t="s">
        <v>950</v>
      </c>
      <c r="B17" s="409">
        <v>48.815461999999997</v>
      </c>
      <c r="C17" s="409">
        <f>+(29.3+37.1)/2</f>
        <v>33.200000000000003</v>
      </c>
      <c r="D17" s="408">
        <f>+(27.6+38.8)/2</f>
        <v>33.200000000000003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E980-E2A6-4424-8CC8-37479A230F42}">
  <dimension ref="A1:F22"/>
  <sheetViews>
    <sheetView workbookViewId="0">
      <selection sqref="A1:A3"/>
    </sheetView>
  </sheetViews>
  <sheetFormatPr baseColWidth="10" defaultRowHeight="14.4" x14ac:dyDescent="0.3"/>
  <cols>
    <col min="2" max="2" width="26.44140625" customWidth="1"/>
    <col min="3" max="3" width="21.21875" customWidth="1"/>
    <col min="4" max="4" width="23" customWidth="1"/>
    <col min="5" max="5" width="21.88671875" customWidth="1"/>
    <col min="6" max="6" width="25.33203125" customWidth="1"/>
  </cols>
  <sheetData>
    <row r="1" spans="1:6" ht="18" x14ac:dyDescent="0.3">
      <c r="A1" s="229" t="s">
        <v>955</v>
      </c>
    </row>
    <row r="2" spans="1:6" ht="18" x14ac:dyDescent="0.3">
      <c r="A2" s="304" t="s">
        <v>956</v>
      </c>
    </row>
    <row r="3" spans="1:6" x14ac:dyDescent="0.3">
      <c r="A3" s="231" t="s">
        <v>957</v>
      </c>
    </row>
    <row r="5" spans="1:6" ht="18.600000000000001" thickBot="1" x14ac:dyDescent="0.4">
      <c r="A5" s="406" t="s">
        <v>849</v>
      </c>
      <c r="B5" s="339" t="s">
        <v>959</v>
      </c>
      <c r="C5" s="339" t="s">
        <v>958</v>
      </c>
      <c r="D5" s="339" t="s">
        <v>960</v>
      </c>
      <c r="E5" s="339" t="s">
        <v>961</v>
      </c>
      <c r="F5" s="339" t="s">
        <v>962</v>
      </c>
    </row>
    <row r="6" spans="1:6" ht="15.6" x14ac:dyDescent="0.3">
      <c r="A6" s="405">
        <v>2007</v>
      </c>
      <c r="B6" s="420">
        <v>6.1</v>
      </c>
      <c r="C6" s="420">
        <v>1.3</v>
      </c>
      <c r="D6" s="420">
        <v>2.7</v>
      </c>
      <c r="E6" s="420">
        <v>17.2</v>
      </c>
      <c r="F6" s="422">
        <v>2.9</v>
      </c>
    </row>
    <row r="7" spans="1:6" ht="15.6" x14ac:dyDescent="0.3">
      <c r="A7" s="405">
        <v>2008</v>
      </c>
      <c r="B7" s="420">
        <v>5.8</v>
      </c>
      <c r="C7" s="420">
        <v>1.2</v>
      </c>
      <c r="D7" s="420">
        <v>2.5</v>
      </c>
      <c r="E7" s="420">
        <v>15.6</v>
      </c>
      <c r="F7" s="422">
        <v>2.2999999999999998</v>
      </c>
    </row>
    <row r="8" spans="1:6" ht="15.6" x14ac:dyDescent="0.3">
      <c r="A8" s="405">
        <v>2009</v>
      </c>
      <c r="B8" s="420">
        <v>8</v>
      </c>
      <c r="C8" s="420">
        <v>0.5</v>
      </c>
      <c r="D8" s="420">
        <v>2.8</v>
      </c>
      <c r="E8" s="420">
        <v>12.3</v>
      </c>
      <c r="F8" s="422">
        <v>1.5</v>
      </c>
    </row>
    <row r="9" spans="1:6" ht="15.6" x14ac:dyDescent="0.3">
      <c r="A9" s="405">
        <v>2010</v>
      </c>
      <c r="B9" s="420">
        <v>6.2</v>
      </c>
      <c r="C9" s="420">
        <v>0.2</v>
      </c>
      <c r="D9" s="420">
        <v>1</v>
      </c>
      <c r="E9" s="420">
        <v>12.9</v>
      </c>
      <c r="F9" s="422">
        <v>1.6</v>
      </c>
    </row>
    <row r="10" spans="1:6" ht="15.6" x14ac:dyDescent="0.3">
      <c r="A10" s="405">
        <v>2011</v>
      </c>
      <c r="B10" s="420">
        <v>5.7</v>
      </c>
      <c r="C10" s="420">
        <v>0.6</v>
      </c>
      <c r="D10" s="420">
        <v>1.2</v>
      </c>
      <c r="E10" s="420">
        <v>7.1</v>
      </c>
      <c r="F10" s="422">
        <v>1.7</v>
      </c>
    </row>
    <row r="11" spans="1:6" ht="15.6" x14ac:dyDescent="0.3">
      <c r="A11" s="405">
        <v>2012</v>
      </c>
      <c r="B11" s="420">
        <v>9</v>
      </c>
      <c r="C11" s="420">
        <v>1.1000000000000001</v>
      </c>
      <c r="D11" s="420">
        <v>1.2</v>
      </c>
      <c r="E11" s="420">
        <v>7.8</v>
      </c>
      <c r="F11" s="422">
        <v>0.7</v>
      </c>
    </row>
    <row r="12" spans="1:6" ht="15.6" x14ac:dyDescent="0.3">
      <c r="A12" s="405">
        <v>2013</v>
      </c>
      <c r="B12" s="420">
        <v>5</v>
      </c>
      <c r="C12" s="420">
        <v>0.7</v>
      </c>
      <c r="D12" s="420">
        <v>1.3</v>
      </c>
      <c r="E12" s="420">
        <v>7</v>
      </c>
      <c r="F12" s="422">
        <v>1.8</v>
      </c>
    </row>
    <row r="13" spans="1:6" ht="15.6" x14ac:dyDescent="0.3">
      <c r="A13" s="405">
        <v>2014</v>
      </c>
      <c r="B13" s="420">
        <v>5.4</v>
      </c>
      <c r="C13" s="420">
        <v>0.8</v>
      </c>
      <c r="D13" s="421">
        <v>0.5</v>
      </c>
      <c r="E13" s="420">
        <v>5.7</v>
      </c>
      <c r="F13" s="422">
        <v>1.7</v>
      </c>
    </row>
    <row r="14" spans="1:6" ht="15.6" x14ac:dyDescent="0.3">
      <c r="A14" s="405">
        <v>2015</v>
      </c>
      <c r="B14" s="420">
        <v>6.7</v>
      </c>
      <c r="C14" s="420">
        <v>1.2</v>
      </c>
      <c r="D14" s="421">
        <v>0.9</v>
      </c>
      <c r="E14" s="420">
        <v>7.2</v>
      </c>
      <c r="F14" s="422">
        <v>1.5</v>
      </c>
    </row>
    <row r="15" spans="1:6" ht="15.6" x14ac:dyDescent="0.3">
      <c r="A15" s="405">
        <v>2016</v>
      </c>
      <c r="B15" s="420">
        <v>4.8</v>
      </c>
      <c r="C15" s="420">
        <v>0.2</v>
      </c>
      <c r="D15" s="421">
        <v>1.2</v>
      </c>
      <c r="E15" s="420">
        <v>7.2</v>
      </c>
      <c r="F15" s="422">
        <v>2.1</v>
      </c>
    </row>
    <row r="16" spans="1:6" ht="15.6" x14ac:dyDescent="0.3">
      <c r="A16" s="405">
        <v>2017</v>
      </c>
      <c r="B16" s="420">
        <v>5.2</v>
      </c>
      <c r="C16" s="420">
        <v>0.3</v>
      </c>
      <c r="D16" s="421">
        <v>0.9</v>
      </c>
      <c r="E16" s="420">
        <v>7.4</v>
      </c>
      <c r="F16" s="422">
        <v>2.1</v>
      </c>
    </row>
    <row r="17" spans="1:6" ht="15.6" x14ac:dyDescent="0.3">
      <c r="A17" s="405">
        <v>2018</v>
      </c>
      <c r="B17" s="420">
        <v>4.8</v>
      </c>
      <c r="C17" s="420">
        <v>0.4</v>
      </c>
      <c r="D17" s="421">
        <v>0.3</v>
      </c>
      <c r="E17" s="420">
        <v>5.5</v>
      </c>
      <c r="F17" s="422">
        <v>1.7</v>
      </c>
    </row>
    <row r="18" spans="1:6" ht="15.6" x14ac:dyDescent="0.3">
      <c r="A18" s="405">
        <v>2019</v>
      </c>
      <c r="B18" s="420">
        <v>4</v>
      </c>
      <c r="C18" s="420">
        <v>0.7</v>
      </c>
      <c r="D18" s="421">
        <v>0.6</v>
      </c>
      <c r="E18" s="420">
        <v>4.4000000000000004</v>
      </c>
      <c r="F18" s="422">
        <v>1.7</v>
      </c>
    </row>
    <row r="19" spans="1:6" ht="15.6" x14ac:dyDescent="0.3">
      <c r="A19" s="405">
        <v>2020</v>
      </c>
      <c r="B19" s="420">
        <v>3</v>
      </c>
      <c r="C19" s="420">
        <v>0.5</v>
      </c>
      <c r="D19" s="421">
        <v>1.3</v>
      </c>
      <c r="E19" s="420">
        <v>4.5999999999999996</v>
      </c>
      <c r="F19" s="422">
        <v>2.8</v>
      </c>
    </row>
    <row r="20" spans="1:6" ht="15.6" x14ac:dyDescent="0.3">
      <c r="A20" s="405">
        <v>2021</v>
      </c>
      <c r="B20" s="420">
        <v>3.6</v>
      </c>
      <c r="C20" s="420">
        <v>1</v>
      </c>
      <c r="D20" s="421">
        <v>2.1</v>
      </c>
      <c r="E20" s="420">
        <v>3.1</v>
      </c>
      <c r="F20" s="422">
        <v>2.4</v>
      </c>
    </row>
    <row r="21" spans="1:6" ht="15.6" x14ac:dyDescent="0.3">
      <c r="A21" s="405">
        <v>2022</v>
      </c>
      <c r="B21" s="420">
        <v>5.2</v>
      </c>
      <c r="C21" s="420">
        <v>0.5</v>
      </c>
      <c r="D21" s="421">
        <v>1.7</v>
      </c>
      <c r="E21" s="420">
        <v>4.3</v>
      </c>
      <c r="F21" s="422">
        <v>1.5</v>
      </c>
    </row>
    <row r="22" spans="1:6" ht="15.6" x14ac:dyDescent="0.3">
      <c r="A22" s="405">
        <v>2023</v>
      </c>
      <c r="B22" s="420">
        <v>4.9000000000000004</v>
      </c>
      <c r="C22" s="420">
        <v>0.9</v>
      </c>
      <c r="D22" s="423">
        <v>0.9</v>
      </c>
      <c r="E22" s="420">
        <v>4.5999999999999996</v>
      </c>
      <c r="F22" s="422">
        <v>2.6</v>
      </c>
    </row>
  </sheetData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EF72-02A3-4FDF-B801-CE89C536D5E3}">
  <dimension ref="A1:J22"/>
  <sheetViews>
    <sheetView workbookViewId="0">
      <selection activeCell="J16" sqref="J16"/>
    </sheetView>
  </sheetViews>
  <sheetFormatPr baseColWidth="10" defaultRowHeight="14.4" x14ac:dyDescent="0.3"/>
  <cols>
    <col min="2" max="2" width="22.33203125" customWidth="1"/>
    <col min="3" max="3" width="22.6640625" customWidth="1"/>
    <col min="4" max="4" width="25" customWidth="1"/>
    <col min="6" max="6" width="18.5546875" customWidth="1"/>
  </cols>
  <sheetData>
    <row r="1" spans="1:10" ht="18" x14ac:dyDescent="0.3">
      <c r="A1" s="229" t="s">
        <v>963</v>
      </c>
    </row>
    <row r="2" spans="1:10" ht="18" x14ac:dyDescent="0.3">
      <c r="A2" s="304" t="s">
        <v>1012</v>
      </c>
    </row>
    <row r="3" spans="1:10" x14ac:dyDescent="0.3">
      <c r="A3" s="231" t="s">
        <v>964</v>
      </c>
    </row>
    <row r="5" spans="1:10" ht="15" thickBot="1" x14ac:dyDescent="0.35">
      <c r="A5" s="351" t="s">
        <v>849</v>
      </c>
      <c r="B5" s="339" t="str">
        <f>'c-497'!B5</f>
        <v>pbi_percapita</v>
      </c>
      <c r="C5" s="339" t="str">
        <f>'c-502'!D5</f>
        <v>pobreza_total_la_libertad</v>
      </c>
      <c r="D5" s="339" t="str">
        <f>'c-502'!E5</f>
        <v>pobreza_extrema_la_libertad</v>
      </c>
      <c r="E5" s="339" t="s">
        <v>974</v>
      </c>
      <c r="F5" s="339" t="s">
        <v>975</v>
      </c>
    </row>
    <row r="6" spans="1:10" x14ac:dyDescent="0.3">
      <c r="A6" s="352">
        <v>2007</v>
      </c>
      <c r="B6" s="404">
        <f>'c-497'!B6</f>
        <v>8803.1484016765935</v>
      </c>
      <c r="C6">
        <f>'c-502'!D6</f>
        <v>37.299999999999997</v>
      </c>
      <c r="D6">
        <f>'c-502'!E6</f>
        <v>12.4</v>
      </c>
    </row>
    <row r="7" spans="1:10" x14ac:dyDescent="0.3">
      <c r="A7" s="352">
        <v>2008</v>
      </c>
      <c r="B7" s="404">
        <f>'c-497'!B7</f>
        <v>9337.0296606858574</v>
      </c>
      <c r="C7">
        <f>'c-502'!D7</f>
        <v>36.700000000000003</v>
      </c>
      <c r="D7">
        <f ca="1">'c-502'!E7</f>
        <v>9.7100000000000009</v>
      </c>
      <c r="E7">
        <f>+(B7-B6)/B6</f>
        <v>6.0646627166660527E-2</v>
      </c>
      <c r="F7">
        <f>+(C7-C6)/C6</f>
        <v>-1.6085790884718346E-2</v>
      </c>
    </row>
    <row r="8" spans="1:10" x14ac:dyDescent="0.3">
      <c r="A8" s="352">
        <v>2009</v>
      </c>
      <c r="B8" s="404">
        <f>'c-497'!B8</f>
        <v>9280.5420164941006</v>
      </c>
      <c r="C8">
        <f>'c-502'!D8</f>
        <v>38.9</v>
      </c>
      <c r="D8">
        <f ca="1">'c-502'!E8</f>
        <v>9.7100000000000009</v>
      </c>
      <c r="E8">
        <f t="shared" ref="E8:E22" si="0">+(B8-B7)/B7</f>
        <v>-6.0498516385357011E-3</v>
      </c>
      <c r="F8">
        <f t="shared" ref="F8:F22" si="1">+(C8-C7)/C7</f>
        <v>5.994550408719334E-2</v>
      </c>
    </row>
    <row r="9" spans="1:10" x14ac:dyDescent="0.3">
      <c r="A9" s="352">
        <v>2010</v>
      </c>
      <c r="B9" s="404">
        <f>'c-497'!B9</f>
        <v>9711.3356956180905</v>
      </c>
      <c r="C9">
        <f>'c-502'!D9</f>
        <v>32.6</v>
      </c>
      <c r="D9">
        <f>'c-502'!E9</f>
        <v>9.7100000000000009</v>
      </c>
      <c r="E9">
        <f t="shared" si="0"/>
        <v>4.6419021470766465E-2</v>
      </c>
      <c r="F9">
        <f t="shared" si="1"/>
        <v>-0.16195372750642667</v>
      </c>
    </row>
    <row r="10" spans="1:10" x14ac:dyDescent="0.3">
      <c r="A10" s="352">
        <v>2011</v>
      </c>
      <c r="B10" s="404">
        <f>'c-497'!B10</f>
        <v>10040.236250178377</v>
      </c>
      <c r="C10">
        <f>'c-502'!D10</f>
        <v>28.5</v>
      </c>
      <c r="D10">
        <f>+'c-502'!E10</f>
        <v>6.9499999999999993</v>
      </c>
      <c r="E10">
        <f t="shared" si="0"/>
        <v>3.3867694915406123E-2</v>
      </c>
      <c r="F10">
        <f t="shared" si="1"/>
        <v>-0.12576687116564422</v>
      </c>
    </row>
    <row r="11" spans="1:10" x14ac:dyDescent="0.3">
      <c r="A11" s="352">
        <v>2012</v>
      </c>
      <c r="B11" s="404">
        <f>'c-497'!B11</f>
        <v>10694.172859712929</v>
      </c>
      <c r="C11">
        <f>'c-502'!D11</f>
        <v>26.45</v>
      </c>
      <c r="D11">
        <f>+'c-502'!E11</f>
        <v>5.95</v>
      </c>
      <c r="E11">
        <f t="shared" si="0"/>
        <v>6.5131595835001804E-2</v>
      </c>
      <c r="F11">
        <f t="shared" si="1"/>
        <v>-7.1929824561403538E-2</v>
      </c>
      <c r="J11" s="424"/>
    </row>
    <row r="12" spans="1:10" x14ac:dyDescent="0.3">
      <c r="A12" s="352">
        <v>2013</v>
      </c>
      <c r="B12" s="404">
        <f>'c-497'!B12</f>
        <v>11033.865779682905</v>
      </c>
      <c r="C12">
        <f>'c-502'!D12</f>
        <v>29.5</v>
      </c>
      <c r="D12">
        <f>+'c-502'!E12</f>
        <v>6.5500000000000007</v>
      </c>
      <c r="E12">
        <f t="shared" si="0"/>
        <v>3.1764300467749675E-2</v>
      </c>
      <c r="F12">
        <f t="shared" si="1"/>
        <v>0.11531190926275996</v>
      </c>
    </row>
    <row r="13" spans="1:10" x14ac:dyDescent="0.3">
      <c r="A13" s="352">
        <v>2014</v>
      </c>
      <c r="B13" s="404">
        <f>'c-497'!B13</f>
        <v>11051.57725883638</v>
      </c>
      <c r="C13">
        <f>'c-502'!D13</f>
        <v>27.4</v>
      </c>
      <c r="D13">
        <f>'c-502'!E13</f>
        <v>6.1</v>
      </c>
      <c r="E13">
        <f t="shared" si="0"/>
        <v>1.6051925505644504E-3</v>
      </c>
      <c r="F13">
        <f t="shared" si="1"/>
        <v>-7.1186440677966145E-2</v>
      </c>
    </row>
    <row r="14" spans="1:10" x14ac:dyDescent="0.3">
      <c r="A14" s="352">
        <v>2015</v>
      </c>
      <c r="B14" s="404">
        <f>'c-497'!B14</f>
        <v>11132.060647057144</v>
      </c>
      <c r="C14">
        <f>'c-502'!D14</f>
        <v>25.9</v>
      </c>
      <c r="D14">
        <f>'c-502'!E14</f>
        <v>6.31</v>
      </c>
      <c r="E14">
        <f t="shared" si="0"/>
        <v>7.2825250492107698E-3</v>
      </c>
      <c r="F14">
        <f t="shared" si="1"/>
        <v>-5.4744525547445258E-2</v>
      </c>
    </row>
    <row r="15" spans="1:10" x14ac:dyDescent="0.3">
      <c r="A15" s="352">
        <v>2016</v>
      </c>
      <c r="B15" s="404">
        <f>'c-497'!B15</f>
        <v>11018.733362790848</v>
      </c>
      <c r="C15">
        <f>'c-502'!D15</f>
        <v>24.5</v>
      </c>
      <c r="D15">
        <f>'c-502'!E15</f>
        <v>4.4400000000000004</v>
      </c>
      <c r="E15">
        <f t="shared" si="0"/>
        <v>-1.0180261126789181E-2</v>
      </c>
      <c r="F15">
        <f t="shared" si="1"/>
        <v>-5.4054054054054002E-2</v>
      </c>
    </row>
    <row r="16" spans="1:10" x14ac:dyDescent="0.3">
      <c r="A16" s="352">
        <v>2017</v>
      </c>
      <c r="B16" s="404">
        <f>'c-497'!B16</f>
        <v>10969.245585942526</v>
      </c>
      <c r="C16">
        <f>'c-502'!D16</f>
        <v>23.5</v>
      </c>
      <c r="D16">
        <f>'c-502'!E16</f>
        <v>3.6500000000000004</v>
      </c>
      <c r="E16">
        <f t="shared" si="0"/>
        <v>-4.4912400744206464E-3</v>
      </c>
      <c r="F16">
        <f t="shared" si="1"/>
        <v>-4.0816326530612242E-2</v>
      </c>
    </row>
    <row r="17" spans="1:6" x14ac:dyDescent="0.3">
      <c r="A17" s="352">
        <v>2018</v>
      </c>
      <c r="B17" s="404">
        <f>'c-497'!B17</f>
        <v>11266.529137720332</v>
      </c>
      <c r="C17">
        <f>'c-502'!D17</f>
        <v>20.8</v>
      </c>
      <c r="D17">
        <f>'c-502'!E17</f>
        <v>3.1</v>
      </c>
      <c r="E17">
        <f t="shared" si="0"/>
        <v>2.7101549459224897E-2</v>
      </c>
      <c r="F17">
        <f t="shared" si="1"/>
        <v>-0.11489361702127657</v>
      </c>
    </row>
    <row r="18" spans="1:6" x14ac:dyDescent="0.3">
      <c r="A18" s="352">
        <v>2019</v>
      </c>
      <c r="B18" s="404">
        <f>'c-497'!B18</f>
        <v>11433.538343583847</v>
      </c>
      <c r="C18">
        <f>'c-502'!D18</f>
        <v>24.7</v>
      </c>
      <c r="D18">
        <f>'c-502'!E18</f>
        <v>6.26</v>
      </c>
      <c r="E18">
        <f t="shared" si="0"/>
        <v>1.4823483241557319E-2</v>
      </c>
      <c r="F18">
        <f t="shared" si="1"/>
        <v>0.18749999999999992</v>
      </c>
    </row>
    <row r="19" spans="1:6" x14ac:dyDescent="0.3">
      <c r="A19" s="352">
        <v>2020</v>
      </c>
      <c r="B19" s="404">
        <f>'c-497'!B19</f>
        <v>10523.9990063324</v>
      </c>
      <c r="C19">
        <f>'c-502'!D19</f>
        <v>31.9</v>
      </c>
      <c r="D19">
        <f>'c-502'!E19</f>
        <v>7.3000000000000007</v>
      </c>
      <c r="E19">
        <f t="shared" si="0"/>
        <v>-7.9550119124920951E-2</v>
      </c>
      <c r="F19">
        <f t="shared" si="1"/>
        <v>0.291497975708502</v>
      </c>
    </row>
    <row r="20" spans="1:6" x14ac:dyDescent="0.3">
      <c r="A20" s="352">
        <v>2021</v>
      </c>
      <c r="B20" s="404">
        <f>'c-497'!B20</f>
        <v>11486.580372293374</v>
      </c>
      <c r="C20">
        <f>'c-502'!D20</f>
        <v>26.8</v>
      </c>
      <c r="D20">
        <f>'c-502'!E20</f>
        <v>7.1</v>
      </c>
      <c r="E20">
        <f t="shared" si="0"/>
        <v>9.1465360779849819E-2</v>
      </c>
      <c r="F20">
        <f t="shared" si="1"/>
        <v>-0.15987460815047017</v>
      </c>
    </row>
    <row r="21" spans="1:6" x14ac:dyDescent="0.3">
      <c r="A21" s="352">
        <v>2022</v>
      </c>
      <c r="B21" s="404">
        <f>'c-497'!B21</f>
        <v>11501.470867862585</v>
      </c>
      <c r="C21">
        <f>'c-502'!D21</f>
        <v>28.4</v>
      </c>
      <c r="D21">
        <f>'c-502'!E21</f>
        <v>4.38</v>
      </c>
      <c r="E21">
        <f t="shared" si="0"/>
        <v>1.2963384302892885E-3</v>
      </c>
      <c r="F21">
        <f t="shared" si="1"/>
        <v>5.9701492537313348E-2</v>
      </c>
    </row>
    <row r="22" spans="1:6" x14ac:dyDescent="0.3">
      <c r="A22" s="352">
        <v>2023</v>
      </c>
      <c r="B22" s="404">
        <f>'c-497'!B22</f>
        <v>11058.544738420362</v>
      </c>
      <c r="C22">
        <f>'c-502'!D22</f>
        <v>31.6</v>
      </c>
      <c r="D22">
        <f>'c-502'!E22</f>
        <v>5.7</v>
      </c>
      <c r="E22">
        <f t="shared" si="0"/>
        <v>-3.8510390064965296E-2</v>
      </c>
      <c r="F22">
        <f t="shared" si="1"/>
        <v>0.11267605633802827</v>
      </c>
    </row>
  </sheetData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52BC-E0BF-4259-B148-4681B1BCD588}">
  <dimension ref="B1:H20"/>
  <sheetViews>
    <sheetView showGridLines="0" topLeftCell="A4" workbookViewId="0">
      <selection activeCell="E6" sqref="E6:E7"/>
    </sheetView>
  </sheetViews>
  <sheetFormatPr baseColWidth="10" defaultRowHeight="14.4" x14ac:dyDescent="0.3"/>
  <cols>
    <col min="2" max="2" width="22.21875" customWidth="1"/>
    <col min="3" max="3" width="25.109375" customWidth="1"/>
    <col min="4" max="4" width="12.77734375" customWidth="1"/>
    <col min="5" max="5" width="18.44140625" customWidth="1"/>
    <col min="6" max="6" width="26.77734375" customWidth="1"/>
    <col min="7" max="7" width="14.5546875" customWidth="1"/>
    <col min="8" max="8" width="19.109375" customWidth="1"/>
  </cols>
  <sheetData>
    <row r="1" spans="2:8" ht="14.4" customHeight="1" x14ac:dyDescent="0.3">
      <c r="B1" s="528" t="s">
        <v>967</v>
      </c>
      <c r="C1" s="528"/>
      <c r="D1" s="528"/>
      <c r="E1" s="528"/>
      <c r="F1" s="528"/>
      <c r="G1" s="528"/>
      <c r="H1" s="528"/>
    </row>
    <row r="2" spans="2:8" ht="14.4" customHeight="1" x14ac:dyDescent="0.3">
      <c r="B2" s="528"/>
      <c r="C2" s="528"/>
      <c r="D2" s="528"/>
      <c r="E2" s="528"/>
      <c r="F2" s="528"/>
      <c r="G2" s="528"/>
      <c r="H2" s="528"/>
    </row>
    <row r="3" spans="2:8" ht="10.8" customHeight="1" thickBot="1" x14ac:dyDescent="0.35">
      <c r="B3" s="339"/>
      <c r="C3" s="339"/>
      <c r="D3" s="339"/>
      <c r="E3" s="339"/>
      <c r="F3" s="339"/>
      <c r="G3" s="339"/>
      <c r="H3" s="339"/>
    </row>
    <row r="4" spans="2:8" ht="18" customHeight="1" x14ac:dyDescent="0.4">
      <c r="B4" s="551" t="s">
        <v>849</v>
      </c>
      <c r="C4" s="532" t="s">
        <v>990</v>
      </c>
      <c r="D4" s="532" t="s">
        <v>969</v>
      </c>
      <c r="E4" s="429" t="s">
        <v>991</v>
      </c>
      <c r="F4" s="429" t="s">
        <v>970</v>
      </c>
      <c r="G4" s="532" t="s">
        <v>972</v>
      </c>
      <c r="H4" s="534" t="s">
        <v>973</v>
      </c>
    </row>
    <row r="5" spans="2:8" ht="19.8" customHeight="1" x14ac:dyDescent="0.4">
      <c r="B5" s="552"/>
      <c r="C5" s="533"/>
      <c r="D5" s="533"/>
      <c r="E5" s="430" t="s">
        <v>968</v>
      </c>
      <c r="F5" s="430" t="s">
        <v>971</v>
      </c>
      <c r="G5" s="533"/>
      <c r="H5" s="535"/>
    </row>
    <row r="6" spans="2:8" ht="21" customHeight="1" x14ac:dyDescent="0.4">
      <c r="B6" s="434">
        <v>2007</v>
      </c>
      <c r="C6" s="432">
        <f>+'c-505'!B6</f>
        <v>8803.1484016765935</v>
      </c>
      <c r="D6" s="431">
        <f>+'c-505'!C6</f>
        <v>37.299999999999997</v>
      </c>
      <c r="E6" s="539">
        <f>+AVERAGE('c-505'!E7:E22) *100</f>
        <v>1.5163864208540585</v>
      </c>
      <c r="F6" s="541">
        <f>+AVERAGE('c-505'!F7:F22) *100</f>
        <v>-0.27920530103887686</v>
      </c>
      <c r="G6" s="553">
        <f>+E12</f>
        <v>-0.7181538562403571</v>
      </c>
      <c r="H6" s="536" t="str">
        <f>IF(G6&lt;-1,B16,IF(G6&lt;0,B17,IF(G6=0,B18,IF(E6&gt;0,B19,B20))))</f>
        <v>Pro-pobre débil</v>
      </c>
    </row>
    <row r="7" spans="2:8" ht="21" customHeight="1" thickBot="1" x14ac:dyDescent="0.45">
      <c r="B7" s="435">
        <v>2023</v>
      </c>
      <c r="C7" s="436">
        <f>+'c-505'!B22</f>
        <v>11058.544738420362</v>
      </c>
      <c r="D7" s="433">
        <f>+'c-505'!C22</f>
        <v>31.6</v>
      </c>
      <c r="E7" s="540"/>
      <c r="F7" s="542"/>
      <c r="G7" s="554"/>
      <c r="H7" s="537"/>
    </row>
    <row r="10" spans="2:8" ht="15.6" customHeight="1" thickBot="1" x14ac:dyDescent="0.35">
      <c r="B10" s="538" t="s">
        <v>978</v>
      </c>
      <c r="C10" s="538"/>
      <c r="D10" s="538"/>
      <c r="E10" s="538"/>
      <c r="F10" s="426"/>
      <c r="G10" s="426"/>
    </row>
    <row r="11" spans="2:8" ht="18.600000000000001" customHeight="1" x14ac:dyDescent="0.3">
      <c r="B11" t="s">
        <v>980</v>
      </c>
      <c r="C11" s="425" t="s">
        <v>976</v>
      </c>
      <c r="D11" s="425" t="s">
        <v>977</v>
      </c>
      <c r="E11" t="s">
        <v>979</v>
      </c>
    </row>
    <row r="12" spans="2:8" x14ac:dyDescent="0.3">
      <c r="B12" s="420">
        <f>+B7-B6</f>
        <v>16</v>
      </c>
      <c r="C12" s="427">
        <f>+(C7/C6)^(1/B12) -1</f>
        <v>1.4357973200977758E-2</v>
      </c>
      <c r="D12" s="427">
        <f>+(D7/D6) ^(1/B12) -1</f>
        <v>-1.0311233822077881E-2</v>
      </c>
      <c r="E12" s="428">
        <f>+D12/C12</f>
        <v>-0.7181538562403571</v>
      </c>
    </row>
    <row r="14" spans="2:8" ht="15" thickBot="1" x14ac:dyDescent="0.35">
      <c r="B14" t="s">
        <v>1002</v>
      </c>
    </row>
    <row r="15" spans="2:8" ht="28.8" customHeight="1" thickBot="1" x14ac:dyDescent="0.35">
      <c r="B15" s="437" t="s">
        <v>981</v>
      </c>
      <c r="C15" s="438" t="s">
        <v>983</v>
      </c>
      <c r="D15" s="543" t="s">
        <v>982</v>
      </c>
      <c r="E15" s="543"/>
      <c r="F15" s="544"/>
    </row>
    <row r="16" spans="2:8" ht="25.8" customHeight="1" x14ac:dyDescent="0.3">
      <c r="B16" s="443" t="s">
        <v>984</v>
      </c>
      <c r="C16" s="444" t="s">
        <v>992</v>
      </c>
      <c r="D16" s="545" t="s">
        <v>985</v>
      </c>
      <c r="E16" s="546"/>
      <c r="F16" s="547"/>
    </row>
    <row r="17" spans="2:6" ht="25.8" customHeight="1" x14ac:dyDescent="0.3">
      <c r="B17" s="440" t="s">
        <v>986</v>
      </c>
      <c r="C17" s="439" t="s">
        <v>993</v>
      </c>
      <c r="D17" s="548" t="s">
        <v>997</v>
      </c>
      <c r="E17" s="549"/>
      <c r="F17" s="550"/>
    </row>
    <row r="18" spans="2:6" ht="25.8" customHeight="1" x14ac:dyDescent="0.3">
      <c r="B18" s="440" t="s">
        <v>987</v>
      </c>
      <c r="C18" s="439" t="s">
        <v>994</v>
      </c>
      <c r="D18" s="548" t="s">
        <v>998</v>
      </c>
      <c r="E18" s="549"/>
      <c r="F18" s="550"/>
    </row>
    <row r="19" spans="2:6" ht="25.8" customHeight="1" x14ac:dyDescent="0.3">
      <c r="B19" s="440" t="s">
        <v>988</v>
      </c>
      <c r="C19" s="439" t="s">
        <v>995</v>
      </c>
      <c r="D19" s="548" t="s">
        <v>999</v>
      </c>
      <c r="E19" s="549"/>
      <c r="F19" s="550"/>
    </row>
    <row r="20" spans="2:6" ht="26.4" customHeight="1" thickBot="1" x14ac:dyDescent="0.35">
      <c r="B20" s="441" t="s">
        <v>989</v>
      </c>
      <c r="C20" s="442" t="s">
        <v>996</v>
      </c>
      <c r="D20" s="529" t="s">
        <v>1000</v>
      </c>
      <c r="E20" s="530"/>
      <c r="F20" s="531"/>
    </row>
  </sheetData>
  <mergeCells count="17">
    <mergeCell ref="B1:H2"/>
    <mergeCell ref="B4:B5"/>
    <mergeCell ref="G6:G7"/>
    <mergeCell ref="D20:F20"/>
    <mergeCell ref="C4:C5"/>
    <mergeCell ref="D4:D5"/>
    <mergeCell ref="G4:G5"/>
    <mergeCell ref="H4:H5"/>
    <mergeCell ref="H6:H7"/>
    <mergeCell ref="B10:E10"/>
    <mergeCell ref="E6:E7"/>
    <mergeCell ref="F6:F7"/>
    <mergeCell ref="D15:F15"/>
    <mergeCell ref="D16:F16"/>
    <mergeCell ref="D17:F17"/>
    <mergeCell ref="D18:F18"/>
    <mergeCell ref="D19:F19"/>
  </mergeCells>
  <conditionalFormatting sqref="B16:B20">
    <cfRule type="duplicateValues" dxfId="11" priority="1"/>
  </conditionalFormatting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B23F-811F-4E63-8484-205CE23F2BEF}">
  <dimension ref="B1:O47"/>
  <sheetViews>
    <sheetView showGridLines="0" topLeftCell="A33" zoomScale="145" zoomScaleNormal="145" workbookViewId="0">
      <selection activeCell="D31" sqref="D31"/>
    </sheetView>
  </sheetViews>
  <sheetFormatPr baseColWidth="10" defaultRowHeight="14.4" x14ac:dyDescent="0.3"/>
  <cols>
    <col min="2" max="2" width="22.109375" customWidth="1"/>
    <col min="3" max="3" width="22" customWidth="1"/>
    <col min="4" max="4" width="17.44140625" customWidth="1"/>
    <col min="5" max="5" width="14.77734375" customWidth="1"/>
    <col min="6" max="6" width="17.33203125" customWidth="1"/>
    <col min="7" max="7" width="14.5546875" customWidth="1"/>
    <col min="8" max="8" width="16" customWidth="1"/>
    <col min="9" max="9" width="13.5546875" customWidth="1"/>
    <col min="11" max="11" width="20.5546875" customWidth="1"/>
    <col min="12" max="12" width="17.5546875" customWidth="1"/>
    <col min="15" max="15" width="38.33203125" customWidth="1"/>
  </cols>
  <sheetData>
    <row r="1" spans="2:15" x14ac:dyDescent="0.3">
      <c r="C1" s="528" t="s">
        <v>1001</v>
      </c>
      <c r="D1" s="528"/>
      <c r="E1" s="528"/>
      <c r="F1" s="528"/>
    </row>
    <row r="2" spans="2:15" ht="15" thickBot="1" x14ac:dyDescent="0.35">
      <c r="C2" s="528"/>
      <c r="D2" s="528"/>
      <c r="E2" s="528"/>
      <c r="F2" s="528"/>
      <c r="K2" t="s">
        <v>1002</v>
      </c>
    </row>
    <row r="3" spans="2:15" ht="18.600000000000001" customHeight="1" thickBot="1" x14ac:dyDescent="0.35">
      <c r="C3" s="446"/>
      <c r="D3" s="339"/>
      <c r="E3" s="339"/>
      <c r="F3" s="339"/>
      <c r="K3" s="437" t="s">
        <v>981</v>
      </c>
      <c r="L3" s="445" t="s">
        <v>983</v>
      </c>
      <c r="M3" s="543" t="s">
        <v>982</v>
      </c>
      <c r="N3" s="543"/>
      <c r="O3" s="544"/>
    </row>
    <row r="4" spans="2:15" ht="18.600000000000001" customHeight="1" x14ac:dyDescent="0.4">
      <c r="B4" s="562" t="s">
        <v>1003</v>
      </c>
      <c r="C4" s="555" t="s">
        <v>849</v>
      </c>
      <c r="D4" s="532" t="s">
        <v>990</v>
      </c>
      <c r="E4" s="532" t="s">
        <v>969</v>
      </c>
      <c r="F4" s="429" t="s">
        <v>991</v>
      </c>
      <c r="G4" s="532" t="s">
        <v>972</v>
      </c>
      <c r="H4" s="534" t="s">
        <v>973</v>
      </c>
      <c r="K4" s="443" t="s">
        <v>984</v>
      </c>
      <c r="L4" s="444" t="s">
        <v>992</v>
      </c>
      <c r="M4" s="559" t="s">
        <v>985</v>
      </c>
      <c r="N4" s="560"/>
      <c r="O4" s="561"/>
    </row>
    <row r="5" spans="2:15" ht="20.399999999999999" customHeight="1" thickBot="1" x14ac:dyDescent="0.45">
      <c r="B5" s="563"/>
      <c r="C5" s="556"/>
      <c r="D5" s="533"/>
      <c r="E5" s="533"/>
      <c r="F5" s="430" t="s">
        <v>968</v>
      </c>
      <c r="G5" s="533"/>
      <c r="H5" s="535"/>
      <c r="K5" s="440" t="s">
        <v>986</v>
      </c>
      <c r="L5" s="439" t="s">
        <v>993</v>
      </c>
      <c r="M5" s="548" t="s">
        <v>997</v>
      </c>
      <c r="N5" s="549"/>
      <c r="O5" s="550"/>
    </row>
    <row r="6" spans="2:15" ht="18.899999999999999" customHeight="1" x14ac:dyDescent="0.35">
      <c r="B6" s="564" t="str">
        <f>+'c-503'!A6</f>
        <v>TRUJILLO</v>
      </c>
      <c r="C6" s="456">
        <v>2007</v>
      </c>
      <c r="D6" s="457">
        <v>8803.1484016765935</v>
      </c>
      <c r="E6" s="460">
        <f>+'c-503'!B6</f>
        <v>20.085515000000001</v>
      </c>
      <c r="F6" s="557">
        <f>+AVERAGE('c-505'!E7:E22) *100</f>
        <v>1.5163864208540585</v>
      </c>
      <c r="G6" s="553">
        <f>+C36</f>
        <v>-1.3785812578637278</v>
      </c>
      <c r="H6" s="536" t="str">
        <f>IF(G6&lt;-1,"Pro-pobre fuerte",IF(G6&lt;0,"Pro-pobre débil",IF(G6=0,"Neutro",IF(F6&gt;0,"Por goteo","Empobrecedor"))))</f>
        <v>Pro-pobre fuerte</v>
      </c>
      <c r="K6" s="440" t="s">
        <v>987</v>
      </c>
      <c r="L6" s="439" t="s">
        <v>994</v>
      </c>
      <c r="M6" s="548" t="s">
        <v>998</v>
      </c>
      <c r="N6" s="549"/>
      <c r="O6" s="550"/>
    </row>
    <row r="7" spans="2:15" ht="18.899999999999999" customHeight="1" thickBot="1" x14ac:dyDescent="0.4">
      <c r="B7" s="565"/>
      <c r="C7" s="458">
        <v>2018</v>
      </c>
      <c r="D7" s="459">
        <v>11058.544738420362</v>
      </c>
      <c r="E7" s="461">
        <f>+'c-503'!D6</f>
        <v>14.55</v>
      </c>
      <c r="F7" s="558"/>
      <c r="G7" s="554"/>
      <c r="H7" s="537"/>
      <c r="K7" s="440" t="s">
        <v>988</v>
      </c>
      <c r="L7" s="439" t="s">
        <v>995</v>
      </c>
      <c r="M7" s="548" t="s">
        <v>999</v>
      </c>
      <c r="N7" s="549"/>
      <c r="O7" s="550"/>
    </row>
    <row r="8" spans="2:15" ht="18.899999999999999" customHeight="1" thickBot="1" x14ac:dyDescent="0.4">
      <c r="B8" s="564" t="str">
        <f>+'c-503'!A7</f>
        <v>ASCOPE</v>
      </c>
      <c r="C8" s="456">
        <v>2007</v>
      </c>
      <c r="D8" s="457">
        <v>8803.1484016765935</v>
      </c>
      <c r="E8" s="460">
        <f>+'c-503'!B7</f>
        <v>25.755697999999999</v>
      </c>
      <c r="F8" s="557">
        <f>+AVERAGE('c-505'!E7:E22) *100</f>
        <v>1.5163864208540585</v>
      </c>
      <c r="G8" s="553">
        <f>+C37</f>
        <v>-0.62102047515497194</v>
      </c>
      <c r="H8" s="536" t="str">
        <f>IF(G8&lt;-1,"Pro-pobre fuerte",IF(G8&lt;0,"Pro-pobre débil",IF(G8=0,"Neutro",IF(F8&gt;0,"Por goteo","Empobrecedor"))))</f>
        <v>Pro-pobre débil</v>
      </c>
      <c r="K8" s="441" t="s">
        <v>989</v>
      </c>
      <c r="L8" s="442" t="s">
        <v>996</v>
      </c>
      <c r="M8" s="529" t="s">
        <v>1000</v>
      </c>
      <c r="N8" s="530"/>
      <c r="O8" s="531"/>
    </row>
    <row r="9" spans="2:15" ht="18.899999999999999" customHeight="1" thickBot="1" x14ac:dyDescent="0.4">
      <c r="B9" s="565"/>
      <c r="C9" s="458">
        <v>2018</v>
      </c>
      <c r="D9" s="459">
        <v>11058.544738420362</v>
      </c>
      <c r="E9" s="461">
        <f>+'c-503'!D7</f>
        <v>22.299999999999997</v>
      </c>
      <c r="F9" s="558"/>
      <c r="G9" s="554"/>
      <c r="H9" s="537"/>
      <c r="K9" s="446"/>
      <c r="L9" s="447"/>
      <c r="M9" s="448"/>
      <c r="N9" s="448"/>
      <c r="O9" s="448"/>
    </row>
    <row r="10" spans="2:15" ht="18.899999999999999" customHeight="1" x14ac:dyDescent="0.35">
      <c r="B10" s="564" t="str">
        <f>+'c-503'!A8</f>
        <v>BOLIVAR</v>
      </c>
      <c r="C10" s="456">
        <v>2007</v>
      </c>
      <c r="D10" s="457">
        <v>8803.1484016765935</v>
      </c>
      <c r="E10" s="460">
        <f>+'c-503'!B8</f>
        <v>77.612793999999994</v>
      </c>
      <c r="F10" s="557">
        <f>+AVERAGE('c-505'!E7:E22) *100</f>
        <v>1.5163864208540585</v>
      </c>
      <c r="G10" s="553">
        <f>+C38</f>
        <v>-1.6464616310080251</v>
      </c>
      <c r="H10" s="536" t="str">
        <f>IF(G10&lt;-1,"Pro-pobre fuerte",IF(G10&lt;0,"Pro-pobre débil",IF(G10=0,"Neutro",IF(F10&gt;0,"Por goteo","Empobrecedor"))))</f>
        <v>Pro-pobre fuerte</v>
      </c>
      <c r="K10" s="446"/>
      <c r="L10" s="447"/>
      <c r="M10" s="448"/>
      <c r="N10" s="448"/>
      <c r="O10" s="448"/>
    </row>
    <row r="11" spans="2:15" ht="18.899999999999999" customHeight="1" thickBot="1" x14ac:dyDescent="0.4">
      <c r="B11" s="565"/>
      <c r="C11" s="458">
        <v>2018</v>
      </c>
      <c r="D11" s="459">
        <v>11058.544738420362</v>
      </c>
      <c r="E11" s="461">
        <f>+'c-503'!D8</f>
        <v>52.75</v>
      </c>
      <c r="F11" s="558"/>
      <c r="G11" s="554"/>
      <c r="H11" s="537"/>
      <c r="K11" s="446"/>
      <c r="L11" s="447"/>
      <c r="M11" s="448"/>
      <c r="N11" s="448"/>
      <c r="O11" s="448"/>
    </row>
    <row r="12" spans="2:15" ht="18.899999999999999" customHeight="1" x14ac:dyDescent="0.35">
      <c r="B12" s="564" t="str">
        <f>+'c-503'!A9</f>
        <v>CHEPEN</v>
      </c>
      <c r="C12" s="456">
        <v>2007</v>
      </c>
      <c r="D12" s="457">
        <v>8803.1484016765935</v>
      </c>
      <c r="E12" s="460">
        <f>+'c-503'!B9</f>
        <v>36.116833999999997</v>
      </c>
      <c r="F12" s="557">
        <f>+AVERAGE('c-505'!E7:E22) *100</f>
        <v>1.5163864208540585</v>
      </c>
      <c r="G12" s="553">
        <f>+C39</f>
        <v>-1.3008269854916492</v>
      </c>
      <c r="H12" s="536" t="str">
        <f>IF(G12&lt;-1,"Pro-pobre fuerte",IF(G12&lt;0,"Pro-pobre débil",IF(G12=0,"Neutro",IF(F12&gt;0,"Por goteo","Empobrecedor"))))</f>
        <v>Pro-pobre fuerte</v>
      </c>
      <c r="K12" s="446"/>
      <c r="L12" s="447"/>
      <c r="M12" s="448"/>
      <c r="N12" s="448"/>
      <c r="O12" s="448"/>
    </row>
    <row r="13" spans="2:15" ht="18.899999999999999" customHeight="1" thickBot="1" x14ac:dyDescent="0.4">
      <c r="B13" s="565"/>
      <c r="C13" s="458">
        <v>2018</v>
      </c>
      <c r="D13" s="459">
        <v>11058.544738420362</v>
      </c>
      <c r="E13" s="461">
        <f>+'c-503'!D9</f>
        <v>26.65</v>
      </c>
      <c r="F13" s="558"/>
      <c r="G13" s="554"/>
      <c r="H13" s="537"/>
      <c r="K13" s="446"/>
      <c r="L13" s="447"/>
      <c r="M13" s="448"/>
      <c r="N13" s="448"/>
      <c r="O13" s="448"/>
    </row>
    <row r="14" spans="2:15" ht="18.899999999999999" customHeight="1" x14ac:dyDescent="0.35">
      <c r="B14" s="564" t="str">
        <f>+'c-503'!A10</f>
        <v>JULCAN</v>
      </c>
      <c r="C14" s="456">
        <v>2007</v>
      </c>
      <c r="D14" s="457">
        <v>8803.1484016765935</v>
      </c>
      <c r="E14" s="460">
        <f>+'c-503'!B10</f>
        <v>73.680940000000007</v>
      </c>
      <c r="F14" s="557">
        <f>+AVERAGE('c-505'!E7:E22) *100</f>
        <v>1.5163864208540585</v>
      </c>
      <c r="G14" s="553">
        <f>+C40</f>
        <v>-1.4964835213964283</v>
      </c>
      <c r="H14" s="536" t="str">
        <f>IF(G14&lt;-1,"Pro-pobre fuerte",IF(G14&lt;0,"Pro-pobre débil",IF(G14=0,"Neutro",IF(F14&gt;0,"Por goteo","Empobrecedor"))))</f>
        <v>Pro-pobre fuerte</v>
      </c>
      <c r="K14" s="446"/>
      <c r="L14" s="447"/>
      <c r="M14" s="448"/>
      <c r="N14" s="448"/>
      <c r="O14" s="448"/>
    </row>
    <row r="15" spans="2:15" ht="18.899999999999999" customHeight="1" thickBot="1" x14ac:dyDescent="0.4">
      <c r="B15" s="565"/>
      <c r="C15" s="458">
        <v>2018</v>
      </c>
      <c r="D15" s="459">
        <v>11058.544738420362</v>
      </c>
      <c r="E15" s="461">
        <f>+'c-503'!D10</f>
        <v>51.900000000000006</v>
      </c>
      <c r="F15" s="558"/>
      <c r="G15" s="554"/>
      <c r="H15" s="537"/>
      <c r="K15" s="446"/>
      <c r="L15" s="447"/>
      <c r="M15" s="448"/>
      <c r="N15" s="448"/>
      <c r="O15" s="448"/>
    </row>
    <row r="16" spans="2:15" ht="18.899999999999999" customHeight="1" x14ac:dyDescent="0.35">
      <c r="B16" s="564" t="str">
        <f>+'c-503'!A11</f>
        <v>OTUZCO</v>
      </c>
      <c r="C16" s="456">
        <v>2007</v>
      </c>
      <c r="D16" s="457">
        <v>8803.1484016765935</v>
      </c>
      <c r="E16" s="460">
        <f>+'c-503'!B11</f>
        <v>68.548835999999994</v>
      </c>
      <c r="F16" s="557">
        <f>+AVERAGE('c-505'!E7:E22) *100</f>
        <v>1.5163864208540585</v>
      </c>
      <c r="G16" s="553">
        <f>+C41</f>
        <v>-1.5785934256425826</v>
      </c>
      <c r="H16" s="536" t="str">
        <f>IF(G16&lt;-1,"Pro-pobre fuerte",IF(G16&lt;0,"Pro-pobre débil",IF(G16=0,"Neutro",IF(F16&gt;0,"Por goteo","Empobrecedor"))))</f>
        <v>Pro-pobre fuerte</v>
      </c>
      <c r="K16" s="446"/>
      <c r="L16" s="447"/>
      <c r="M16" s="448"/>
      <c r="N16" s="448"/>
      <c r="O16" s="448"/>
    </row>
    <row r="17" spans="2:15" ht="18.899999999999999" customHeight="1" thickBot="1" x14ac:dyDescent="0.4">
      <c r="B17" s="565"/>
      <c r="C17" s="458">
        <v>2018</v>
      </c>
      <c r="D17" s="459">
        <v>11058.544738420362</v>
      </c>
      <c r="E17" s="461">
        <f>+'c-503'!D11</f>
        <v>47.349999999999994</v>
      </c>
      <c r="F17" s="558"/>
      <c r="G17" s="554"/>
      <c r="H17" s="537"/>
      <c r="K17" s="446"/>
      <c r="L17" s="447"/>
      <c r="M17" s="448"/>
      <c r="N17" s="448"/>
      <c r="O17" s="448"/>
    </row>
    <row r="18" spans="2:15" ht="18.899999999999999" customHeight="1" x14ac:dyDescent="0.35">
      <c r="B18" s="564" t="str">
        <f>+'c-503'!A12</f>
        <v>PACASMAYO</v>
      </c>
      <c r="C18" s="456">
        <v>2007</v>
      </c>
      <c r="D18" s="457">
        <v>8803.1484016765935</v>
      </c>
      <c r="E18" s="460">
        <f>+'c-503'!B12</f>
        <v>32.331760000000003</v>
      </c>
      <c r="F18" s="557">
        <f>+AVERAGE('c-505'!E7:E22) *100</f>
        <v>1.5163864208540585</v>
      </c>
      <c r="G18" s="553">
        <f>+C42</f>
        <v>-1.2231187779949564</v>
      </c>
      <c r="H18" s="536" t="str">
        <f>IF(G18&lt;-1,"Pro-pobre fuerte",IF(G18&lt;0,"Pro-pobre débil",IF(G18=0,"Neutro",IF(F18&gt;0,"Por goteo","Empobrecedor"))))</f>
        <v>Pro-pobre fuerte</v>
      </c>
      <c r="K18" s="446"/>
      <c r="L18" s="447"/>
      <c r="M18" s="448"/>
      <c r="N18" s="448"/>
      <c r="O18" s="448"/>
    </row>
    <row r="19" spans="2:15" ht="18.899999999999999" customHeight="1" thickBot="1" x14ac:dyDescent="0.4">
      <c r="B19" s="566"/>
      <c r="C19" s="458">
        <v>2018</v>
      </c>
      <c r="D19" s="459">
        <v>11058.544738420362</v>
      </c>
      <c r="E19" s="461">
        <f>+'c-503'!D12</f>
        <v>24.299999999999997</v>
      </c>
      <c r="F19" s="558"/>
      <c r="G19" s="554"/>
      <c r="H19" s="537"/>
      <c r="K19" s="446"/>
      <c r="L19" s="447"/>
      <c r="M19" s="448"/>
      <c r="N19" s="448"/>
      <c r="O19" s="448"/>
    </row>
    <row r="20" spans="2:15" ht="18.899999999999999" customHeight="1" x14ac:dyDescent="0.35">
      <c r="B20" s="564" t="str">
        <f>+'c-503'!A13</f>
        <v>PATAZ</v>
      </c>
      <c r="C20" s="456">
        <v>2007</v>
      </c>
      <c r="D20" s="457">
        <v>8803.1484016765935</v>
      </c>
      <c r="E20" s="460">
        <f>+'c-503'!B13</f>
        <v>73.206646000000006</v>
      </c>
      <c r="F20" s="557">
        <f>+AVERAGE('c-505'!E7:E22) *100</f>
        <v>1.5163864208540585</v>
      </c>
      <c r="G20" s="553">
        <f>+C43</f>
        <v>-1.7966777937183953</v>
      </c>
      <c r="H20" s="536" t="str">
        <f>IF(G20&lt;-1,"Pro-pobre fuerte",IF(G20&lt;0,"Pro-pobre débil",IF(G20=0,"Neutro",IF(F20&gt;0,"Por goteo","Empobrecedor"))))</f>
        <v>Pro-pobre fuerte</v>
      </c>
      <c r="K20" s="446"/>
      <c r="L20" s="447"/>
      <c r="M20" s="448"/>
      <c r="N20" s="448"/>
      <c r="O20" s="448"/>
    </row>
    <row r="21" spans="2:15" ht="18.899999999999999" customHeight="1" thickBot="1" x14ac:dyDescent="0.4">
      <c r="B21" s="566"/>
      <c r="C21" s="458">
        <v>2018</v>
      </c>
      <c r="D21" s="459">
        <v>11058.544738420362</v>
      </c>
      <c r="E21" s="461">
        <f>+'c-503'!D13</f>
        <v>48</v>
      </c>
      <c r="F21" s="558"/>
      <c r="G21" s="554"/>
      <c r="H21" s="537"/>
      <c r="K21" s="446"/>
      <c r="L21" s="447"/>
      <c r="M21" s="448"/>
      <c r="N21" s="448"/>
      <c r="O21" s="448"/>
    </row>
    <row r="22" spans="2:15" ht="18.899999999999999" customHeight="1" x14ac:dyDescent="0.35">
      <c r="B22" s="564" t="str">
        <f>+'c-503'!A14</f>
        <v>SANCHEZ CARRION</v>
      </c>
      <c r="C22" s="456">
        <v>2007</v>
      </c>
      <c r="D22" s="457">
        <v>8803.1484016765935</v>
      </c>
      <c r="E22" s="460">
        <f>+'c-503'!B14</f>
        <v>83.869085999999996</v>
      </c>
      <c r="F22" s="557">
        <f>+AVERAGE('c-505'!E7:E22) *100</f>
        <v>1.5163864208540585</v>
      </c>
      <c r="G22" s="553">
        <f>+C44</f>
        <v>-2.2589807515371154</v>
      </c>
      <c r="H22" s="536" t="str">
        <f>IF(G22&lt;-1,"Pro-pobre fuerte",IF(G22&lt;0,"Pro-pobre débil",IF(G22=0,"Neutro",IF(F22&gt;0,"Por goteo","Empobrecedor"))))</f>
        <v>Pro-pobre fuerte</v>
      </c>
      <c r="K22" s="446"/>
      <c r="L22" s="447"/>
      <c r="M22" s="448"/>
      <c r="N22" s="448"/>
      <c r="O22" s="448"/>
    </row>
    <row r="23" spans="2:15" ht="18.899999999999999" customHeight="1" thickBot="1" x14ac:dyDescent="0.4">
      <c r="B23" s="565"/>
      <c r="C23" s="458">
        <v>2018</v>
      </c>
      <c r="D23" s="459">
        <v>11058.544738420362</v>
      </c>
      <c r="E23" s="461">
        <f>+'c-503'!D14</f>
        <v>49.2</v>
      </c>
      <c r="F23" s="558"/>
      <c r="G23" s="554"/>
      <c r="H23" s="537"/>
      <c r="K23" s="446"/>
      <c r="L23" s="447"/>
      <c r="M23" s="448"/>
      <c r="N23" s="448"/>
      <c r="O23" s="448"/>
    </row>
    <row r="24" spans="2:15" ht="18.899999999999999" customHeight="1" x14ac:dyDescent="0.35">
      <c r="B24" s="564" t="str">
        <f>+'c-503'!A15</f>
        <v>SANTIAGO DE CHUCO</v>
      </c>
      <c r="C24" s="456">
        <v>2007</v>
      </c>
      <c r="D24" s="457">
        <v>8803.1484016765935</v>
      </c>
      <c r="E24" s="460">
        <f>+'c-503'!B15</f>
        <v>58.531388</v>
      </c>
      <c r="F24" s="557">
        <f>+AVERAGE('c-505'!E7:E22) *100</f>
        <v>1.5163864208540585</v>
      </c>
      <c r="G24" s="553">
        <f>+C45</f>
        <v>-1.0109485281556643</v>
      </c>
      <c r="H24" s="536" t="str">
        <f>IF(G24&lt;-1,"Pro-pobre fuerte",IF(G24&lt;0,"Pro-pobre débil",IF(G24=0,"Neutro",IF(F24&gt;0,"Por goteo","Empobrecedor"))))</f>
        <v>Pro-pobre fuerte</v>
      </c>
      <c r="K24" s="446"/>
      <c r="L24" s="447"/>
      <c r="M24" s="448"/>
      <c r="N24" s="448"/>
      <c r="O24" s="448"/>
    </row>
    <row r="25" spans="2:15" ht="18.899999999999999" customHeight="1" thickBot="1" x14ac:dyDescent="0.4">
      <c r="B25" s="565"/>
      <c r="C25" s="458">
        <v>2018</v>
      </c>
      <c r="D25" s="459">
        <v>11058.544738420362</v>
      </c>
      <c r="E25" s="461">
        <f>+'c-503'!D15</f>
        <v>46.25</v>
      </c>
      <c r="F25" s="558"/>
      <c r="G25" s="554"/>
      <c r="H25" s="537"/>
      <c r="K25" s="446"/>
      <c r="L25" s="447"/>
      <c r="M25" s="448"/>
      <c r="N25" s="448"/>
      <c r="O25" s="448"/>
    </row>
    <row r="26" spans="2:15" ht="18.899999999999999" customHeight="1" x14ac:dyDescent="0.35">
      <c r="B26" s="568" t="str">
        <f>+'c-503'!A16</f>
        <v>GRAN CHIMU</v>
      </c>
      <c r="C26" s="456">
        <v>2007</v>
      </c>
      <c r="D26" s="457">
        <v>8803.1484016765935</v>
      </c>
      <c r="E26" s="460">
        <f>+'c-503'!B16</f>
        <v>58.637436999999998</v>
      </c>
      <c r="F26" s="557">
        <f>+AVERAGE('c-505'!E7:E22) *100</f>
        <v>1.5163864208540585</v>
      </c>
      <c r="G26" s="553">
        <f>+C46</f>
        <v>-1.1964216906030829</v>
      </c>
      <c r="H26" s="536" t="str">
        <f>IF(G26&lt;-1,"Pro-pobre fuerte",IF(G26&lt;0,"Pro-pobre débil",IF(G26=0,"Neutro",IF(F26&gt;0,"Por goteo","Empobrecedor"))))</f>
        <v>Pro-pobre fuerte</v>
      </c>
      <c r="K26" s="446"/>
      <c r="L26" s="447"/>
      <c r="M26" s="448"/>
      <c r="N26" s="448"/>
      <c r="O26" s="448"/>
    </row>
    <row r="27" spans="2:15" ht="18.899999999999999" customHeight="1" thickBot="1" x14ac:dyDescent="0.4">
      <c r="B27" s="569"/>
      <c r="C27" s="458">
        <v>2018</v>
      </c>
      <c r="D27" s="459">
        <v>11058.544738420362</v>
      </c>
      <c r="E27" s="461">
        <f>+'c-503'!D16</f>
        <v>44.349999999999994</v>
      </c>
      <c r="F27" s="558"/>
      <c r="G27" s="554"/>
      <c r="H27" s="537"/>
      <c r="K27" s="446"/>
      <c r="L27" s="447"/>
      <c r="M27" s="448"/>
      <c r="N27" s="448"/>
      <c r="O27" s="448"/>
    </row>
    <row r="28" spans="2:15" ht="18.899999999999999" customHeight="1" x14ac:dyDescent="0.35">
      <c r="B28" s="564" t="str">
        <f>+'c-503'!A17</f>
        <v>VIRU</v>
      </c>
      <c r="C28" s="456">
        <v>2007</v>
      </c>
      <c r="D28" s="457">
        <v>8803.1484016765935</v>
      </c>
      <c r="E28" s="460">
        <f>+'c-503'!B17</f>
        <v>48.815461999999997</v>
      </c>
      <c r="F28" s="557">
        <f>+AVERAGE('c-505'!E7:E22) *100</f>
        <v>1.5163864208540585</v>
      </c>
      <c r="G28" s="553">
        <f>+C47</f>
        <v>-1.6436494253713685</v>
      </c>
      <c r="H28" s="536" t="str">
        <f>IF(G28&lt;-1,"Pro-pobre fuerte",IF(G28&lt;0,"Pro-pobre débil",IF(G28=0,"Neutro",IF(F28&gt;0,"Por goteo","Empobrecedor"))))</f>
        <v>Pro-pobre fuerte</v>
      </c>
      <c r="K28" s="446"/>
      <c r="L28" s="447"/>
      <c r="M28" s="448"/>
      <c r="N28" s="448"/>
      <c r="O28" s="448"/>
    </row>
    <row r="29" spans="2:15" ht="18.899999999999999" customHeight="1" thickBot="1" x14ac:dyDescent="0.4">
      <c r="B29" s="566"/>
      <c r="C29" s="458">
        <v>2018</v>
      </c>
      <c r="D29" s="459">
        <v>11058.544738420362</v>
      </c>
      <c r="E29" s="461">
        <f>+'c-503'!D17</f>
        <v>33.200000000000003</v>
      </c>
      <c r="F29" s="558"/>
      <c r="G29" s="554"/>
      <c r="H29" s="537"/>
      <c r="K29" s="446"/>
      <c r="L29" s="447"/>
      <c r="M29" s="448"/>
      <c r="N29" s="448"/>
      <c r="O29" s="448"/>
    </row>
    <row r="30" spans="2:15" ht="14.4" customHeight="1" x14ac:dyDescent="0.4">
      <c r="C30" s="449"/>
      <c r="D30" s="450"/>
      <c r="E30" s="451"/>
      <c r="F30" s="452"/>
      <c r="G30" s="453"/>
      <c r="H30" s="454"/>
      <c r="K30" s="446"/>
      <c r="L30" s="447"/>
      <c r="M30" s="448"/>
      <c r="N30" s="448"/>
      <c r="O30" s="448"/>
    </row>
    <row r="31" spans="2:15" ht="14.4" customHeight="1" x14ac:dyDescent="0.4">
      <c r="B31" s="455"/>
      <c r="C31" s="449"/>
      <c r="D31" s="450"/>
      <c r="E31" s="451"/>
      <c r="F31" s="452"/>
      <c r="G31" s="453"/>
      <c r="H31" s="454"/>
      <c r="K31" s="446"/>
      <c r="L31" s="447"/>
      <c r="M31" s="448"/>
      <c r="N31" s="448"/>
      <c r="O31" s="448"/>
    </row>
    <row r="33" spans="2:14" ht="16.2" customHeight="1" x14ac:dyDescent="0.3">
      <c r="B33" s="567" t="s">
        <v>1004</v>
      </c>
      <c r="C33" s="567"/>
      <c r="D33" s="567"/>
      <c r="E33" s="567"/>
      <c r="F33" s="462" t="s">
        <v>1005</v>
      </c>
      <c r="G33" s="426">
        <f>2018-2007</f>
        <v>11</v>
      </c>
    </row>
    <row r="34" spans="2:14" ht="21.6" customHeight="1" thickBot="1" x14ac:dyDescent="0.35"/>
    <row r="35" spans="2:14" ht="25.8" customHeight="1" x14ac:dyDescent="0.3">
      <c r="B35" s="469" t="s">
        <v>1003</v>
      </c>
      <c r="C35" s="470" t="s">
        <v>1006</v>
      </c>
      <c r="D35" s="471" t="s">
        <v>973</v>
      </c>
      <c r="E35" s="463" t="s">
        <v>976</v>
      </c>
      <c r="F35" s="464" t="s">
        <v>977</v>
      </c>
    </row>
    <row r="36" spans="2:14" x14ac:dyDescent="0.3">
      <c r="B36" s="473" t="s">
        <v>942</v>
      </c>
      <c r="C36" s="472">
        <f t="shared" ref="C36:C47" si="0">+F36/E36</f>
        <v>-1.3785812578637278</v>
      </c>
      <c r="D36" s="474" t="str">
        <f>+H6</f>
        <v>Pro-pobre fuerte</v>
      </c>
      <c r="E36" s="465">
        <f>+($D$7/$D$6)^(1/$G$33) -1</f>
        <v>2.0952296950726312E-2</v>
      </c>
      <c r="F36" s="466">
        <f>+(E7/E6) ^(1/$G$33) -1</f>
        <v>-2.8884443885466626E-2</v>
      </c>
      <c r="H36" s="420"/>
      <c r="I36" s="420"/>
      <c r="J36" s="420"/>
      <c r="K36" s="420"/>
      <c r="L36" s="420"/>
      <c r="M36" s="420"/>
      <c r="N36" s="420"/>
    </row>
    <row r="37" spans="2:14" x14ac:dyDescent="0.3">
      <c r="B37" s="473" t="s">
        <v>941</v>
      </c>
      <c r="C37" s="472">
        <f t="shared" si="0"/>
        <v>-0.62102047515497194</v>
      </c>
      <c r="D37" s="474" t="str">
        <f>+H8</f>
        <v>Pro-pobre débil</v>
      </c>
      <c r="E37" s="465">
        <f>+($D$7/$D$6)^(1/$G$33) -1</f>
        <v>2.0952296950726312E-2</v>
      </c>
      <c r="F37" s="466">
        <f>+(E9/E8) ^(1/$G$33) -1</f>
        <v>-1.3011805407928123E-2</v>
      </c>
    </row>
    <row r="38" spans="2:14" ht="13.8" customHeight="1" x14ac:dyDescent="0.3">
      <c r="B38" s="473" t="s">
        <v>947</v>
      </c>
      <c r="C38" s="472">
        <f t="shared" si="0"/>
        <v>-1.6464616310080251</v>
      </c>
      <c r="D38" s="474" t="str">
        <f>+H10</f>
        <v>Pro-pobre fuerte</v>
      </c>
      <c r="E38" s="465">
        <f t="shared" ref="E38:E47" si="1">+($D$7/$D$6)^(1/$G$33) -1</f>
        <v>2.0952296950726312E-2</v>
      </c>
      <c r="F38" s="466">
        <f>+(E11/E10) ^(1/$G$33) -1</f>
        <v>-3.4497153010857318E-2</v>
      </c>
    </row>
    <row r="39" spans="2:14" x14ac:dyDescent="0.3">
      <c r="B39" s="473" t="s">
        <v>951</v>
      </c>
      <c r="C39" s="472">
        <f t="shared" si="0"/>
        <v>-1.3008269854916492</v>
      </c>
      <c r="D39" s="474" t="str">
        <f>+H12</f>
        <v>Pro-pobre fuerte</v>
      </c>
      <c r="E39" s="465">
        <f t="shared" si="1"/>
        <v>2.0952296950726312E-2</v>
      </c>
      <c r="F39" s="466">
        <f>+(E13/E12) ^(1/$G$33) -1</f>
        <v>-2.7255313281539184E-2</v>
      </c>
    </row>
    <row r="40" spans="2:14" x14ac:dyDescent="0.3">
      <c r="B40" s="473" t="s">
        <v>948</v>
      </c>
      <c r="C40" s="472">
        <f t="shared" si="0"/>
        <v>-1.4964835213964283</v>
      </c>
      <c r="D40" s="474" t="str">
        <f>+H14</f>
        <v>Pro-pobre fuerte</v>
      </c>
      <c r="E40" s="465">
        <f t="shared" si="1"/>
        <v>2.0952296950726312E-2</v>
      </c>
      <c r="F40" s="466">
        <f>+(E15/E14) ^(1/$G$33) -1</f>
        <v>-3.135476712216656E-2</v>
      </c>
    </row>
    <row r="41" spans="2:14" x14ac:dyDescent="0.3">
      <c r="B41" s="473" t="s">
        <v>940</v>
      </c>
      <c r="C41" s="472">
        <f t="shared" si="0"/>
        <v>-1.5785934256425826</v>
      </c>
      <c r="D41" s="474" t="str">
        <f>+H16</f>
        <v>Pro-pobre fuerte</v>
      </c>
      <c r="E41" s="465">
        <f t="shared" si="1"/>
        <v>2.0952296950726312E-2</v>
      </c>
      <c r="F41" s="466">
        <f>+(E17/E16) ^(1/$G$33) -1</f>
        <v>-3.3075158218527689E-2</v>
      </c>
    </row>
    <row r="42" spans="2:14" x14ac:dyDescent="0.3">
      <c r="B42" s="473" t="s">
        <v>939</v>
      </c>
      <c r="C42" s="472">
        <f t="shared" si="0"/>
        <v>-1.2231187779949564</v>
      </c>
      <c r="D42" s="474" t="str">
        <f>+H18</f>
        <v>Pro-pobre fuerte</v>
      </c>
      <c r="E42" s="465">
        <f t="shared" si="1"/>
        <v>2.0952296950726312E-2</v>
      </c>
      <c r="F42" s="466">
        <f>+(E19/E18) ^(1/$G$33) -1</f>
        <v>-2.5627147842559816E-2</v>
      </c>
    </row>
    <row r="43" spans="2:14" x14ac:dyDescent="0.3">
      <c r="B43" s="473" t="s">
        <v>938</v>
      </c>
      <c r="C43" s="472">
        <f t="shared" si="0"/>
        <v>-1.7966777937183953</v>
      </c>
      <c r="D43" s="474" t="str">
        <f>+H20</f>
        <v>Pro-pobre fuerte</v>
      </c>
      <c r="E43" s="465">
        <f t="shared" si="1"/>
        <v>2.0952296950726312E-2</v>
      </c>
      <c r="F43" s="466">
        <f>+(E21/E20) ^(1/$G$33) -1</f>
        <v>-3.7644526658763611E-2</v>
      </c>
    </row>
    <row r="44" spans="2:14" x14ac:dyDescent="0.3">
      <c r="B44" s="473" t="s">
        <v>953</v>
      </c>
      <c r="C44" s="472">
        <f t="shared" si="0"/>
        <v>-2.2589807515371154</v>
      </c>
      <c r="D44" s="474" t="str">
        <f>+H22</f>
        <v>Pro-pobre fuerte</v>
      </c>
      <c r="E44" s="465">
        <f t="shared" si="1"/>
        <v>2.0952296950726312E-2</v>
      </c>
      <c r="F44" s="466">
        <f>+(E23/E22) ^(1/$G$33) -1</f>
        <v>-4.7330835512180536E-2</v>
      </c>
    </row>
    <row r="45" spans="2:14" x14ac:dyDescent="0.3">
      <c r="B45" s="473" t="s">
        <v>937</v>
      </c>
      <c r="C45" s="472">
        <f t="shared" si="0"/>
        <v>-1.0109485281556643</v>
      </c>
      <c r="D45" s="474" t="str">
        <f>+H24</f>
        <v>Pro-pobre fuerte</v>
      </c>
      <c r="E45" s="465">
        <f t="shared" si="1"/>
        <v>2.0952296950726312E-2</v>
      </c>
      <c r="F45" s="466">
        <f>+(E25/E24) ^(1/$G$33) -1</f>
        <v>-2.1181693763817178E-2</v>
      </c>
    </row>
    <row r="46" spans="2:14" x14ac:dyDescent="0.3">
      <c r="B46" s="473" t="s">
        <v>949</v>
      </c>
      <c r="C46" s="472">
        <f t="shared" si="0"/>
        <v>-1.1964216906030829</v>
      </c>
      <c r="D46" s="474" t="str">
        <f>+H26</f>
        <v>Pro-pobre fuerte</v>
      </c>
      <c r="E46" s="465">
        <f t="shared" si="1"/>
        <v>2.0952296950726312E-2</v>
      </c>
      <c r="F46" s="466">
        <f>+(E27/E26) ^(1/$G$33) -1</f>
        <v>-2.5067782539805794E-2</v>
      </c>
    </row>
    <row r="47" spans="2:14" ht="15" thickBot="1" x14ac:dyDescent="0.35">
      <c r="B47" s="475" t="s">
        <v>950</v>
      </c>
      <c r="C47" s="476">
        <f t="shared" si="0"/>
        <v>-1.6436494253713685</v>
      </c>
      <c r="D47" s="477" t="str">
        <f>+H28</f>
        <v>Pro-pobre fuerte</v>
      </c>
      <c r="E47" s="467">
        <f t="shared" si="1"/>
        <v>2.0952296950726312E-2</v>
      </c>
      <c r="F47" s="468">
        <f>+(E29/E28) ^(1/$G$33) -1</f>
        <v>-3.4438230843271578E-2</v>
      </c>
    </row>
  </sheetData>
  <mergeCells count="62">
    <mergeCell ref="B33:E33"/>
    <mergeCell ref="B26:B27"/>
    <mergeCell ref="F26:F27"/>
    <mergeCell ref="G26:G27"/>
    <mergeCell ref="H26:H27"/>
    <mergeCell ref="B28:B29"/>
    <mergeCell ref="F28:F29"/>
    <mergeCell ref="G28:G29"/>
    <mergeCell ref="H28:H29"/>
    <mergeCell ref="B22:B23"/>
    <mergeCell ref="F22:F23"/>
    <mergeCell ref="G22:G23"/>
    <mergeCell ref="H22:H23"/>
    <mergeCell ref="B24:B25"/>
    <mergeCell ref="F24:F25"/>
    <mergeCell ref="G24:G25"/>
    <mergeCell ref="H24:H25"/>
    <mergeCell ref="B18:B19"/>
    <mergeCell ref="F18:F19"/>
    <mergeCell ref="G18:G19"/>
    <mergeCell ref="H18:H19"/>
    <mergeCell ref="B20:B21"/>
    <mergeCell ref="F20:F21"/>
    <mergeCell ref="G20:G21"/>
    <mergeCell ref="H20:H21"/>
    <mergeCell ref="B16:B17"/>
    <mergeCell ref="F16:F17"/>
    <mergeCell ref="G16:G17"/>
    <mergeCell ref="H16:H17"/>
    <mergeCell ref="B10:B11"/>
    <mergeCell ref="B14:B15"/>
    <mergeCell ref="G12:G13"/>
    <mergeCell ref="H12:H13"/>
    <mergeCell ref="F14:F15"/>
    <mergeCell ref="G14:G15"/>
    <mergeCell ref="H14:H15"/>
    <mergeCell ref="B12:B13"/>
    <mergeCell ref="F12:F13"/>
    <mergeCell ref="F10:F11"/>
    <mergeCell ref="G10:G11"/>
    <mergeCell ref="H10:H11"/>
    <mergeCell ref="B4:B5"/>
    <mergeCell ref="B6:B7"/>
    <mergeCell ref="B8:B9"/>
    <mergeCell ref="F8:F9"/>
    <mergeCell ref="G8:G9"/>
    <mergeCell ref="M3:O3"/>
    <mergeCell ref="M4:O4"/>
    <mergeCell ref="M5:O5"/>
    <mergeCell ref="M6:O6"/>
    <mergeCell ref="M7:O7"/>
    <mergeCell ref="M8:O8"/>
    <mergeCell ref="G4:G5"/>
    <mergeCell ref="H4:H5"/>
    <mergeCell ref="G6:G7"/>
    <mergeCell ref="H6:H7"/>
    <mergeCell ref="H8:H9"/>
    <mergeCell ref="C1:F2"/>
    <mergeCell ref="C4:C5"/>
    <mergeCell ref="D4:D5"/>
    <mergeCell ref="E4:E5"/>
    <mergeCell ref="F6:F7"/>
  </mergeCells>
  <conditionalFormatting sqref="K4:K31">
    <cfRule type="duplicateValues" dxfId="10" priority="3"/>
  </conditionalFormatting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2977-387D-4CD7-B91C-5687C5344596}">
  <dimension ref="A1:Y22"/>
  <sheetViews>
    <sheetView tabSelected="1" workbookViewId="0">
      <selection activeCell="H26" sqref="H26"/>
    </sheetView>
  </sheetViews>
  <sheetFormatPr baseColWidth="10" defaultRowHeight="14.4" x14ac:dyDescent="0.3"/>
  <cols>
    <col min="2" max="2" width="15.77734375" customWidth="1"/>
    <col min="3" max="3" width="27.21875" customWidth="1"/>
    <col min="4" max="4" width="30.44140625" customWidth="1"/>
    <col min="5" max="5" width="18.88671875" customWidth="1"/>
    <col min="6" max="6" width="23.88671875" customWidth="1"/>
    <col min="7" max="7" width="17.77734375" customWidth="1"/>
    <col min="8" max="8" width="26.6640625" customWidth="1"/>
    <col min="9" max="9" width="20.109375" customWidth="1"/>
    <col min="10" max="10" width="17.5546875" customWidth="1"/>
  </cols>
  <sheetData>
    <row r="1" spans="1:25" ht="18" x14ac:dyDescent="0.3">
      <c r="A1" s="229" t="s">
        <v>1007</v>
      </c>
    </row>
    <row r="2" spans="1:25" ht="18" x14ac:dyDescent="0.3">
      <c r="A2" s="304" t="s">
        <v>1008</v>
      </c>
    </row>
    <row r="5" spans="1:25" ht="16.2" thickBot="1" x14ac:dyDescent="0.35">
      <c r="A5" s="478" t="s">
        <v>1065</v>
      </c>
      <c r="B5" s="479" t="s">
        <v>1010</v>
      </c>
      <c r="C5" s="480" t="s">
        <v>929</v>
      </c>
      <c r="D5" s="480" t="s">
        <v>930</v>
      </c>
      <c r="E5" s="480" t="s">
        <v>877</v>
      </c>
      <c r="F5" s="480" t="s">
        <v>863</v>
      </c>
      <c r="G5" s="339" t="s">
        <v>1067</v>
      </c>
      <c r="H5" s="339" t="s">
        <v>1066</v>
      </c>
      <c r="I5" s="339" t="s">
        <v>1055</v>
      </c>
      <c r="J5" s="339" t="s">
        <v>1054</v>
      </c>
    </row>
    <row r="6" spans="1:25" x14ac:dyDescent="0.3">
      <c r="A6" s="352">
        <v>2007</v>
      </c>
      <c r="B6" s="481">
        <f>'c-497'!B6</f>
        <v>8803.1484016765935</v>
      </c>
      <c r="C6" s="418">
        <f>'c-502'!D6</f>
        <v>37.299999999999997</v>
      </c>
      <c r="D6" s="404">
        <f>+'c-502'!E6</f>
        <v>12.4</v>
      </c>
      <c r="E6" s="481">
        <f>+'c-498'!F6</f>
        <v>592146172</v>
      </c>
      <c r="F6" s="481">
        <f>+'c-497'!E6</f>
        <v>9830.5251984520455</v>
      </c>
      <c r="G6" s="582">
        <f>+Tabla4[[#This Row],[inver_pub_percap]]</f>
        <v>186.6712819774603</v>
      </c>
      <c r="H6" s="416">
        <f>+SS_Basicos!B11</f>
        <v>42.733333333333327</v>
      </c>
      <c r="I6" s="404">
        <f>+empleo_informal!E8</f>
        <v>82.174462705436156</v>
      </c>
      <c r="J6" s="416">
        <f>+Tabla2[[#This Row],[%_pob_rural]]</f>
        <v>26.700000000000003</v>
      </c>
      <c r="K6" s="416"/>
      <c r="L6" s="416"/>
      <c r="M6" s="416"/>
      <c r="N6" s="416"/>
      <c r="O6" s="416"/>
      <c r="P6" s="416"/>
      <c r="Q6" s="416"/>
      <c r="R6" s="416"/>
      <c r="S6" s="416"/>
      <c r="T6" s="416"/>
      <c r="U6" s="416"/>
      <c r="V6" s="416"/>
      <c r="W6" s="416"/>
      <c r="X6" s="416"/>
      <c r="Y6" s="416"/>
    </row>
    <row r="7" spans="1:25" x14ac:dyDescent="0.3">
      <c r="A7" s="352">
        <v>2008</v>
      </c>
      <c r="B7" s="481">
        <f>'c-497'!B7</f>
        <v>9337.0296606858574</v>
      </c>
      <c r="C7" s="418">
        <f>'c-502'!D7</f>
        <v>36.700000000000003</v>
      </c>
      <c r="D7" s="404">
        <f ca="1">+'c-502'!E7</f>
        <v>9.7100000000000009</v>
      </c>
      <c r="E7" s="481">
        <f>+'c-498'!F7</f>
        <v>729483436.61826134</v>
      </c>
      <c r="F7" s="481">
        <f>+'c-497'!E7</f>
        <v>9054.4470926969479</v>
      </c>
      <c r="G7" s="582">
        <f>+Tabla4[[#This Row],[inver_pub_percap]]</f>
        <v>358.68931817168533</v>
      </c>
      <c r="H7" s="416">
        <f>+SS_Basicos!C11</f>
        <v>42.766666666666673</v>
      </c>
      <c r="I7" s="404">
        <f>+empleo_informal!I8</f>
        <v>82.301980198019791</v>
      </c>
      <c r="J7" s="416">
        <f>+Tabla2[[#This Row],[%_pob_rural]]</f>
        <v>26.14</v>
      </c>
    </row>
    <row r="8" spans="1:25" x14ac:dyDescent="0.3">
      <c r="A8" s="352">
        <v>2009</v>
      </c>
      <c r="B8" s="481">
        <f>'c-497'!B8</f>
        <v>9280.5420164941006</v>
      </c>
      <c r="C8" s="417">
        <f>38.9</f>
        <v>38.9</v>
      </c>
      <c r="D8" s="404">
        <f ca="1">+'c-502'!E8</f>
        <v>9.7100000000000009</v>
      </c>
      <c r="E8" s="481">
        <f>+'c-498'!F8</f>
        <v>786494295.71110201</v>
      </c>
      <c r="F8" s="481">
        <f>+'c-497'!E8</f>
        <v>10763.050510397752</v>
      </c>
      <c r="G8" s="582">
        <f>+Tabla4[[#This Row],[inver_pub_percap]]</f>
        <v>398.87008413543595</v>
      </c>
      <c r="H8" s="416">
        <f>+SS_Basicos!D11</f>
        <v>43.633333333333326</v>
      </c>
      <c r="I8" s="404">
        <f>+empleo_informal!M8</f>
        <v>81.365740740740748</v>
      </c>
      <c r="J8" s="416">
        <f>+Tabla2[[#This Row],[%_pob_rural]]</f>
        <v>25.591745318352061</v>
      </c>
    </row>
    <row r="9" spans="1:25" x14ac:dyDescent="0.3">
      <c r="A9" s="352">
        <v>2010</v>
      </c>
      <c r="B9" s="481">
        <f>'c-497'!B9</f>
        <v>9711.3356956180905</v>
      </c>
      <c r="C9" s="418">
        <f>'c-502'!D9</f>
        <v>32.6</v>
      </c>
      <c r="D9" s="404">
        <f>+'c-502'!E9</f>
        <v>9.7100000000000009</v>
      </c>
      <c r="E9" s="481">
        <f>+'c-498'!F9</f>
        <v>860277567.3908366</v>
      </c>
      <c r="F9" s="481">
        <f>+'c-497'!E9</f>
        <v>9789.061354746751</v>
      </c>
      <c r="G9" s="582">
        <f>+Tabla4[[#This Row],[inver_pub_percap]]</f>
        <v>491.20925366274275</v>
      </c>
      <c r="H9" s="416">
        <f>+SS_Basicos!E11</f>
        <v>46.433333333333337</v>
      </c>
      <c r="I9" s="404">
        <f>+empleo_informal!Q8</f>
        <v>80</v>
      </c>
      <c r="J9" s="416">
        <f>+Tabla2[[#This Row],[%_pob_rural]]</f>
        <v>25.054989611300481</v>
      </c>
    </row>
    <row r="10" spans="1:25" x14ac:dyDescent="0.3">
      <c r="A10" s="352">
        <v>2011</v>
      </c>
      <c r="B10" s="481">
        <f>'c-497'!B10</f>
        <v>10040.236250178377</v>
      </c>
      <c r="C10">
        <f>'c-502'!D10</f>
        <v>28.5</v>
      </c>
      <c r="D10" s="404">
        <f>+'c-502'!E10</f>
        <v>6.9499999999999993</v>
      </c>
      <c r="E10" s="481">
        <f>+'c-498'!F10</f>
        <v>901811280.92751789</v>
      </c>
      <c r="F10" s="481">
        <f>+'c-497'!E10</f>
        <v>9228.2654703116932</v>
      </c>
      <c r="G10" s="582">
        <f>+Tabla4[[#This Row],[inver_pub_percap]]</f>
        <v>420.54315201724683</v>
      </c>
      <c r="H10" s="416">
        <f>+SS_Basicos!F11</f>
        <v>47.233333333333327</v>
      </c>
      <c r="I10" s="404">
        <f>+empleo_informal!U8</f>
        <v>78.335233751425321</v>
      </c>
      <c r="J10" s="416">
        <f>+Tabla2[[#This Row],[%_pob_rural]]</f>
        <v>24.529491701849985</v>
      </c>
    </row>
    <row r="11" spans="1:25" x14ac:dyDescent="0.3">
      <c r="A11" s="352">
        <v>2012</v>
      </c>
      <c r="B11" s="481">
        <f>'c-497'!B11</f>
        <v>10694.172859712929</v>
      </c>
      <c r="C11" s="404">
        <f>'c-502'!D11</f>
        <v>26.45</v>
      </c>
      <c r="D11" s="404">
        <f>+'c-502'!E11</f>
        <v>5.95</v>
      </c>
      <c r="E11" s="481">
        <f>+'c-498'!F11</f>
        <v>998927609.48537302</v>
      </c>
      <c r="F11" s="481">
        <f>+'c-497'!E11</f>
        <v>10192.641909601372</v>
      </c>
      <c r="G11" s="582">
        <f>+Tabla4[[#This Row],[inver_pub_percap]]</f>
        <v>501.10640173628633</v>
      </c>
      <c r="H11" s="416">
        <f>+SS_Basicos!G11</f>
        <v>52.566666666666663</v>
      </c>
      <c r="I11" s="404">
        <f>+empleo_informal!Y8</f>
        <v>76.509330406147086</v>
      </c>
      <c r="J11" s="416">
        <f>+Tabla2[[#This Row],[%_pob_rural]]</f>
        <v>24.015015471399199</v>
      </c>
    </row>
    <row r="12" spans="1:25" x14ac:dyDescent="0.3">
      <c r="A12" s="352">
        <v>2013</v>
      </c>
      <c r="B12" s="481">
        <f>'c-497'!B12</f>
        <v>11033.865779682905</v>
      </c>
      <c r="C12">
        <f>'c-502'!D12</f>
        <v>29.5</v>
      </c>
      <c r="D12" s="404">
        <f>+'c-502'!E12</f>
        <v>6.5500000000000007</v>
      </c>
      <c r="E12" s="481">
        <f>+'c-498'!F12</f>
        <v>1057584878.1779603</v>
      </c>
      <c r="F12" s="481">
        <f>+'c-497'!E12</f>
        <v>10483.604309343778</v>
      </c>
      <c r="G12" s="582">
        <f>+Tabla4[[#This Row],[inver_pub_percap]]</f>
        <v>677.19755128850761</v>
      </c>
      <c r="H12" s="416">
        <f>+SS_Basicos!H11</f>
        <v>56</v>
      </c>
      <c r="I12" s="404">
        <f>+empleo_informal!AC8</f>
        <v>76.700111482720175</v>
      </c>
      <c r="J12" s="416">
        <f>+Tabla2[[#This Row],[%_pob_rural]]</f>
        <v>23.511329753647004</v>
      </c>
    </row>
    <row r="13" spans="1:25" x14ac:dyDescent="0.3">
      <c r="A13" s="352">
        <v>2014</v>
      </c>
      <c r="B13" s="481">
        <f>'c-497'!B13</f>
        <v>11051.57725883638</v>
      </c>
      <c r="C13">
        <f>'c-502'!D13</f>
        <v>27.4</v>
      </c>
      <c r="D13" s="404">
        <f>+'c-502'!E13</f>
        <v>6.1</v>
      </c>
      <c r="E13" s="481">
        <f>+'c-498'!F13</f>
        <v>1138423183.2507179</v>
      </c>
      <c r="F13" s="481">
        <f>+'c-497'!E13</f>
        <v>10746.007464182216</v>
      </c>
      <c r="G13" s="582">
        <f>+Tabla4[[#This Row],[inver_pub_percap]]</f>
        <v>607.94705342108568</v>
      </c>
      <c r="H13" s="416">
        <f>+SS_Basicos!I11</f>
        <v>59.866666666666667</v>
      </c>
      <c r="I13" s="404">
        <f>+empleo_informal!AG8</f>
        <v>74.780701754385973</v>
      </c>
      <c r="J13" s="416">
        <f>+Tabla2[[#This Row],[%_pob_rural]]</f>
        <v>23.018208230724071</v>
      </c>
    </row>
    <row r="14" spans="1:25" x14ac:dyDescent="0.3">
      <c r="A14" s="352">
        <v>2015</v>
      </c>
      <c r="B14" s="481">
        <f>'c-497'!B14</f>
        <v>11132.060647057144</v>
      </c>
      <c r="C14">
        <f>'c-502'!D14</f>
        <v>25.9</v>
      </c>
      <c r="D14" s="404">
        <f>+'c-502'!E14</f>
        <v>6.31</v>
      </c>
      <c r="E14" s="481">
        <f>+'c-498'!F14</f>
        <v>1170305108.5141006</v>
      </c>
      <c r="F14" s="481">
        <f>+'c-497'!E14</f>
        <v>10814.204331200528</v>
      </c>
      <c r="G14" s="582">
        <f>+Tabla4[[#This Row],[inver_pub_percap]]</f>
        <v>579.82530297130074</v>
      </c>
      <c r="H14" s="416">
        <f>+SS_Basicos!J11</f>
        <v>60.733333333333341</v>
      </c>
      <c r="I14" s="404">
        <f>+empleo_informal!AK8</f>
        <v>77.040261153427636</v>
      </c>
      <c r="J14" s="416">
        <f>+Tabla2[[#This Row],[%_pob_rural]]</f>
        <v>22.53542933150289</v>
      </c>
    </row>
    <row r="15" spans="1:25" x14ac:dyDescent="0.3">
      <c r="A15" s="352">
        <v>2016</v>
      </c>
      <c r="B15" s="481">
        <f>'c-497'!B15</f>
        <v>11018.733362790848</v>
      </c>
      <c r="C15">
        <f>'c-502'!D15</f>
        <v>24.5</v>
      </c>
      <c r="D15" s="404">
        <f>+'c-502'!E15</f>
        <v>4.4400000000000004</v>
      </c>
      <c r="E15" s="481">
        <f>+'c-498'!F15</f>
        <v>1263678918.4006121</v>
      </c>
      <c r="F15" s="481">
        <f>+'c-497'!E15</f>
        <v>11187.082973456458</v>
      </c>
      <c r="G15" s="582">
        <f>+Tabla4[[#This Row],[inver_pub_percap]]</f>
        <v>519.8524848332296</v>
      </c>
      <c r="H15" s="416">
        <f>+SS_Basicos!K11</f>
        <v>62.233333333333327</v>
      </c>
      <c r="I15" s="404">
        <f>+empleo_informal!AO8</f>
        <v>72.41014799154334</v>
      </c>
      <c r="J15" s="416">
        <f>+Tabla2[[#This Row],[%_pob_rural]]</f>
        <v>22.062776132040657</v>
      </c>
    </row>
    <row r="16" spans="1:25" x14ac:dyDescent="0.3">
      <c r="A16" s="352">
        <v>2017</v>
      </c>
      <c r="B16" s="481">
        <f>'c-497'!B16</f>
        <v>10969.245585942526</v>
      </c>
      <c r="C16">
        <f>'c-502'!D16</f>
        <v>23.5</v>
      </c>
      <c r="D16" s="404">
        <f>+'c-502'!E16</f>
        <v>3.6500000000000004</v>
      </c>
      <c r="E16" s="481">
        <f>+'c-498'!F16</f>
        <v>1360448981.991914</v>
      </c>
      <c r="F16" s="481">
        <f>+'c-497'!E16</f>
        <v>11269.348798611765</v>
      </c>
      <c r="G16" s="582">
        <f>+Tabla4[[#This Row],[inver_pub_percap]]</f>
        <v>416.36813894296586</v>
      </c>
      <c r="H16" s="416">
        <f>+SS_Basicos!L11</f>
        <v>64.36666666666666</v>
      </c>
      <c r="I16" s="404">
        <f>+empleo_informal!AS8</f>
        <v>72.438524590163937</v>
      </c>
      <c r="J16" s="416">
        <f>+Tabla2[[#This Row],[%_pob_rural]]</f>
        <v>21.099999999999994</v>
      </c>
    </row>
    <row r="17" spans="1:10" x14ac:dyDescent="0.3">
      <c r="A17" s="352">
        <v>2018</v>
      </c>
      <c r="B17" s="481">
        <f>'c-497'!B17</f>
        <v>11266.529137720332</v>
      </c>
      <c r="C17">
        <f>'c-502'!D17</f>
        <v>20.8</v>
      </c>
      <c r="D17" s="404">
        <f>+'c-502'!E17</f>
        <v>3.1</v>
      </c>
      <c r="E17" s="481">
        <f>+'c-498'!F17</f>
        <v>1407792856.2121394</v>
      </c>
      <c r="F17" s="481">
        <f>+'c-497'!E17</f>
        <v>11122.946380783698</v>
      </c>
      <c r="G17" s="582">
        <f>+Tabla4[[#This Row],[inver_pub_percap]]</f>
        <v>395.75058506369294</v>
      </c>
      <c r="H17" s="416">
        <f>+SS_Basicos!M11</f>
        <v>65.833333333333329</v>
      </c>
      <c r="I17" s="404">
        <f>+empleo_informal!AW8</f>
        <v>72.545090180360717</v>
      </c>
      <c r="J17" s="416">
        <f>+Tabla2[[#This Row],[%_pob_rural]]</f>
        <v>20.879999999999995</v>
      </c>
    </row>
    <row r="18" spans="1:10" x14ac:dyDescent="0.3">
      <c r="A18" s="352">
        <v>2019</v>
      </c>
      <c r="B18" s="481">
        <f>'c-497'!B18</f>
        <v>11433.538343583847</v>
      </c>
      <c r="C18">
        <f>'c-502'!D18</f>
        <v>24.7</v>
      </c>
      <c r="D18" s="404">
        <f>+'c-502'!E18</f>
        <v>6.26</v>
      </c>
      <c r="E18" s="481">
        <f>+'c-498'!F18</f>
        <v>1461726067.6591361</v>
      </c>
      <c r="F18" s="481">
        <f>+'c-497'!E18</f>
        <v>11255.126720280321</v>
      </c>
      <c r="G18" s="582">
        <f>+Tabla4[[#This Row],[inver_pub_percap]]</f>
        <v>496.36838295871723</v>
      </c>
      <c r="H18" s="416">
        <f>+SS_Basicos!N11</f>
        <v>68.100000000000009</v>
      </c>
      <c r="I18" s="404">
        <f>+empleo_informal!BA8</f>
        <v>72.789783889980356</v>
      </c>
      <c r="J18" s="416">
        <f>+Tabla2[[#This Row],[%_pob_rural]]</f>
        <v>20.662293838862556</v>
      </c>
    </row>
    <row r="19" spans="1:10" x14ac:dyDescent="0.3">
      <c r="A19" s="352">
        <v>2020</v>
      </c>
      <c r="B19" s="481">
        <f>'c-497'!B19</f>
        <v>10523.9990063324</v>
      </c>
      <c r="C19">
        <f>'c-502'!D19</f>
        <v>31.9</v>
      </c>
      <c r="D19" s="404">
        <f>+'c-502'!E19</f>
        <v>7.3000000000000007</v>
      </c>
      <c r="E19" s="481">
        <f>+'c-498'!F19</f>
        <v>1832850252.4959316</v>
      </c>
      <c r="F19" s="481">
        <f>+'c-497'!E19</f>
        <v>9686.8956987761121</v>
      </c>
      <c r="G19" s="582">
        <f>+Tabla4[[#This Row],[inver_pub_percap]]</f>
        <v>459.15785398853313</v>
      </c>
      <c r="H19" s="416">
        <f>+SS_Basicos!O11</f>
        <v>72.566666666666663</v>
      </c>
      <c r="I19" s="404">
        <f>+empleo_informal!BE8</f>
        <v>71.952662721893489</v>
      </c>
      <c r="J19" s="416">
        <f>+Tabla2[[#This Row],[%_pob_rural]]</f>
        <v>20.446857599784369</v>
      </c>
    </row>
    <row r="20" spans="1:10" x14ac:dyDescent="0.3">
      <c r="A20" s="352">
        <v>2021</v>
      </c>
      <c r="B20" s="481">
        <f>'c-497'!B20</f>
        <v>11486.580372293374</v>
      </c>
      <c r="C20">
        <f>'c-502'!D20</f>
        <v>26.8</v>
      </c>
      <c r="D20" s="404">
        <f>+'c-502'!E20</f>
        <v>7.1</v>
      </c>
      <c r="E20" s="481">
        <f>+'c-498'!F20</f>
        <v>1925808831.1429839</v>
      </c>
      <c r="F20" s="481">
        <f>+'c-497'!E20</f>
        <v>10602.566648801389</v>
      </c>
      <c r="G20" s="582">
        <f>+Tabla4[[#This Row],[inver_pub_percap]]</f>
        <v>654.85400397046658</v>
      </c>
      <c r="H20" s="416">
        <f>+SS_Basicos!P11</f>
        <v>70.933333333333337</v>
      </c>
      <c r="I20" s="404">
        <f>+empleo_informal!BI8</f>
        <v>73.312883435582819</v>
      </c>
      <c r="J20" s="416">
        <f>+Tabla2[[#This Row],[%_pob_rural]]</f>
        <v>20.233667615331644</v>
      </c>
    </row>
    <row r="21" spans="1:10" x14ac:dyDescent="0.3">
      <c r="A21" s="352">
        <v>2022</v>
      </c>
      <c r="B21" s="481">
        <f>'c-497'!B21</f>
        <v>11501.470867862585</v>
      </c>
      <c r="C21">
        <f>'c-502'!D21</f>
        <v>28.4</v>
      </c>
      <c r="D21" s="404">
        <f>+'c-502'!E21</f>
        <v>4.38</v>
      </c>
      <c r="E21" s="481">
        <f>+'c-498'!F21</f>
        <v>1741463191.2888639</v>
      </c>
      <c r="F21" s="481">
        <f>+'c-497'!E21</f>
        <v>10579.892926720304</v>
      </c>
      <c r="G21" s="582">
        <f>+Tabla4[[#This Row],[inver_pub_percap]]</f>
        <v>586.28551620257565</v>
      </c>
      <c r="H21" s="416">
        <f>+SS_Basicos!Q11</f>
        <v>71.899999999999991</v>
      </c>
      <c r="I21" s="404">
        <f>+empleo_informal!BM8</f>
        <v>73.794358507734302</v>
      </c>
      <c r="J21" s="416">
        <f>+Tabla2[[#This Row],[%_pob_rural]]</f>
        <v>20</v>
      </c>
    </row>
    <row r="22" spans="1:10" x14ac:dyDescent="0.3">
      <c r="A22" s="352">
        <v>2023</v>
      </c>
      <c r="B22" s="481">
        <f>'c-497'!B22</f>
        <v>11058.544738420362</v>
      </c>
      <c r="C22">
        <f>'c-502'!D22</f>
        <v>31.6</v>
      </c>
      <c r="D22" s="404">
        <f>+'c-502'!E22</f>
        <v>5.7</v>
      </c>
      <c r="E22" s="481">
        <f>+'c-498'!F22</f>
        <v>1831009943.1876783</v>
      </c>
      <c r="F22" s="481">
        <f>+'c-497'!E22</f>
        <v>10376.374420735656</v>
      </c>
      <c r="G22" s="582">
        <f>+Tabla4[[#This Row],[inver_pub_percap]]</f>
        <v>703.14619478565362</v>
      </c>
      <c r="H22" s="416">
        <f>+SS_Basicos!R11</f>
        <v>72.066666666666663</v>
      </c>
      <c r="I22" s="404">
        <f>+empleo_informal!BQ8</f>
        <v>72.853425845620123</v>
      </c>
      <c r="J22" s="416">
        <f>+Tabla2[[#This Row],[%_pob_rural]]</f>
        <v>19.791469194312796</v>
      </c>
    </row>
  </sheetData>
  <phoneticPr fontId="38" type="noConversion"/>
  <pageMargins left="0.7" right="0.7" top="0.75" bottom="0.75" header="0.3" footer="0.3"/>
  <ignoredErrors>
    <ignoredError sqref="C8" calculatedColumn="1"/>
  </ignoredErrors>
  <tableParts count="1">
    <tablePart r:id="rId1"/>
  </tableParts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AE815-52A1-4C2A-8345-069BD9FDC260}">
  <dimension ref="A1:R11"/>
  <sheetViews>
    <sheetView topLeftCell="A3" workbookViewId="0">
      <selection activeCell="E21" sqref="E21"/>
    </sheetView>
  </sheetViews>
  <sheetFormatPr baseColWidth="10" defaultRowHeight="14.4" x14ac:dyDescent="0.3"/>
  <cols>
    <col min="1" max="1" width="45.88671875" customWidth="1"/>
  </cols>
  <sheetData>
    <row r="1" spans="1:18" x14ac:dyDescent="0.3">
      <c r="A1" t="s">
        <v>1042</v>
      </c>
    </row>
    <row r="2" spans="1:18" ht="18" x14ac:dyDescent="0.35">
      <c r="A2" s="492" t="s">
        <v>1041</v>
      </c>
    </row>
    <row r="3" spans="1:18" ht="18" x14ac:dyDescent="0.35">
      <c r="A3" s="492" t="s">
        <v>1045</v>
      </c>
    </row>
    <row r="5" spans="1:18" x14ac:dyDescent="0.3">
      <c r="A5" t="s">
        <v>1044</v>
      </c>
    </row>
    <row r="7" spans="1:18" ht="15" thickBot="1" x14ac:dyDescent="0.35">
      <c r="A7" s="339" t="s">
        <v>1043</v>
      </c>
      <c r="B7" s="339" t="s">
        <v>1024</v>
      </c>
      <c r="C7" s="339" t="s">
        <v>1025</v>
      </c>
      <c r="D7" s="339" t="s">
        <v>1026</v>
      </c>
      <c r="E7" s="339" t="s">
        <v>1027</v>
      </c>
      <c r="F7" s="339" t="s">
        <v>1028</v>
      </c>
      <c r="G7" s="339" t="s">
        <v>1029</v>
      </c>
      <c r="H7" s="339" t="s">
        <v>1030</v>
      </c>
      <c r="I7" s="339" t="s">
        <v>1031</v>
      </c>
      <c r="J7" s="339" t="s">
        <v>1032</v>
      </c>
      <c r="K7" s="339" t="s">
        <v>1033</v>
      </c>
      <c r="L7" s="339" t="s">
        <v>1034</v>
      </c>
      <c r="M7" s="339" t="s">
        <v>1035</v>
      </c>
      <c r="N7" s="339" t="s">
        <v>1036</v>
      </c>
      <c r="O7" s="339" t="s">
        <v>1037</v>
      </c>
      <c r="P7" s="339" t="s">
        <v>1038</v>
      </c>
      <c r="Q7" s="339" t="s">
        <v>1039</v>
      </c>
      <c r="R7" s="339" t="s">
        <v>1040</v>
      </c>
    </row>
    <row r="8" spans="1:18" x14ac:dyDescent="0.3">
      <c r="A8" t="s">
        <v>1020</v>
      </c>
      <c r="B8">
        <v>48</v>
      </c>
      <c r="C8">
        <v>47.3</v>
      </c>
      <c r="D8">
        <v>47.7</v>
      </c>
      <c r="E8">
        <v>49.9</v>
      </c>
      <c r="F8">
        <v>48.8</v>
      </c>
      <c r="G8">
        <v>61.3</v>
      </c>
      <c r="H8">
        <v>63.5</v>
      </c>
      <c r="I8">
        <v>71.099999999999994</v>
      </c>
      <c r="J8">
        <v>68.900000000000006</v>
      </c>
      <c r="K8">
        <v>73.900000000000006</v>
      </c>
      <c r="L8">
        <v>74.400000000000006</v>
      </c>
      <c r="M8">
        <v>77.099999999999994</v>
      </c>
      <c r="N8">
        <v>79.7</v>
      </c>
      <c r="O8">
        <v>82.6</v>
      </c>
      <c r="P8">
        <v>81.2</v>
      </c>
      <c r="Q8">
        <v>81.400000000000006</v>
      </c>
      <c r="R8">
        <v>80.3</v>
      </c>
    </row>
    <row r="9" spans="1:18" x14ac:dyDescent="0.3">
      <c r="A9" t="s">
        <v>1021</v>
      </c>
      <c r="B9">
        <v>22.6</v>
      </c>
      <c r="C9">
        <v>21.6</v>
      </c>
      <c r="D9">
        <v>21.9</v>
      </c>
      <c r="E9">
        <v>24.4</v>
      </c>
      <c r="F9">
        <v>24.6</v>
      </c>
      <c r="G9">
        <v>25.5</v>
      </c>
      <c r="H9">
        <v>28.3</v>
      </c>
      <c r="I9">
        <v>30.4</v>
      </c>
      <c r="J9">
        <v>31.9</v>
      </c>
      <c r="K9">
        <v>31.2</v>
      </c>
      <c r="L9">
        <v>34.6</v>
      </c>
      <c r="M9">
        <v>35.799999999999997</v>
      </c>
      <c r="N9">
        <v>38.6</v>
      </c>
      <c r="O9">
        <v>44.1</v>
      </c>
      <c r="P9">
        <v>43.2</v>
      </c>
      <c r="Q9">
        <v>45.1</v>
      </c>
      <c r="R9">
        <v>46.3</v>
      </c>
    </row>
    <row r="10" spans="1:18" x14ac:dyDescent="0.3">
      <c r="A10" t="s">
        <v>1022</v>
      </c>
      <c r="B10">
        <v>57.6</v>
      </c>
      <c r="C10">
        <v>59.4</v>
      </c>
      <c r="D10">
        <v>61.3</v>
      </c>
      <c r="E10">
        <v>65</v>
      </c>
      <c r="F10">
        <v>68.3</v>
      </c>
      <c r="G10">
        <v>70.900000000000006</v>
      </c>
      <c r="H10">
        <v>76.2</v>
      </c>
      <c r="I10">
        <v>78.099999999999994</v>
      </c>
      <c r="J10">
        <v>81.400000000000006</v>
      </c>
      <c r="K10">
        <v>81.599999999999994</v>
      </c>
      <c r="L10">
        <v>84.1</v>
      </c>
      <c r="M10">
        <v>84.6</v>
      </c>
      <c r="N10">
        <v>86</v>
      </c>
      <c r="O10">
        <v>91</v>
      </c>
      <c r="P10">
        <v>88.4</v>
      </c>
      <c r="Q10">
        <v>89.2</v>
      </c>
      <c r="R10">
        <v>89.6</v>
      </c>
    </row>
    <row r="11" spans="1:18" x14ac:dyDescent="0.3">
      <c r="A11" s="490" t="s">
        <v>1023</v>
      </c>
      <c r="B11" s="493">
        <f>+AVERAGE(B8:B10)</f>
        <v>42.733333333333327</v>
      </c>
      <c r="C11" s="493">
        <f t="shared" ref="C11:R11" si="0">+AVERAGE(C8:C10)</f>
        <v>42.766666666666673</v>
      </c>
      <c r="D11" s="493">
        <f t="shared" si="0"/>
        <v>43.633333333333326</v>
      </c>
      <c r="E11" s="493">
        <f t="shared" si="0"/>
        <v>46.433333333333337</v>
      </c>
      <c r="F11" s="493">
        <f t="shared" si="0"/>
        <v>47.233333333333327</v>
      </c>
      <c r="G11" s="493">
        <f t="shared" si="0"/>
        <v>52.566666666666663</v>
      </c>
      <c r="H11" s="493">
        <f t="shared" si="0"/>
        <v>56</v>
      </c>
      <c r="I11" s="493">
        <f t="shared" si="0"/>
        <v>59.866666666666667</v>
      </c>
      <c r="J11" s="493">
        <f t="shared" si="0"/>
        <v>60.733333333333341</v>
      </c>
      <c r="K11" s="493">
        <f t="shared" si="0"/>
        <v>62.233333333333327</v>
      </c>
      <c r="L11" s="493">
        <f t="shared" si="0"/>
        <v>64.36666666666666</v>
      </c>
      <c r="M11" s="493">
        <f t="shared" si="0"/>
        <v>65.833333333333329</v>
      </c>
      <c r="N11" s="493">
        <f t="shared" si="0"/>
        <v>68.100000000000009</v>
      </c>
      <c r="O11" s="493">
        <f t="shared" si="0"/>
        <v>72.566666666666663</v>
      </c>
      <c r="P11" s="493">
        <f t="shared" si="0"/>
        <v>70.933333333333337</v>
      </c>
      <c r="Q11" s="493">
        <f t="shared" si="0"/>
        <v>71.899999999999991</v>
      </c>
      <c r="R11" s="493">
        <f t="shared" si="0"/>
        <v>72.066666666666663</v>
      </c>
    </row>
  </sheetData>
  <pageMargins left="0.7" right="0.7" top="0.75" bottom="0.75" header="0.3" footer="0.3"/>
  <tableParts count="1">
    <tablePart r:id="rId1"/>
  </tableParts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E7F4B-630F-4590-B08A-846136284EAD}">
  <dimension ref="A2:BQ8"/>
  <sheetViews>
    <sheetView showGridLines="0" workbookViewId="0">
      <selection activeCell="G14" sqref="G14"/>
    </sheetView>
  </sheetViews>
  <sheetFormatPr baseColWidth="10" defaultRowHeight="14.4" x14ac:dyDescent="0.3"/>
  <cols>
    <col min="1" max="1" width="26.77734375" customWidth="1"/>
    <col min="2" max="4" width="16" customWidth="1"/>
    <col min="5" max="5" width="17.88671875" customWidth="1"/>
    <col min="6" max="8" width="16" customWidth="1"/>
    <col min="9" max="9" width="17.88671875" customWidth="1"/>
    <col min="10" max="12" width="16" customWidth="1"/>
    <col min="13" max="13" width="17.88671875" customWidth="1"/>
    <col min="14" max="16" width="16" customWidth="1"/>
    <col min="17" max="17" width="17.88671875" customWidth="1"/>
    <col min="18" max="20" width="16" customWidth="1"/>
    <col min="21" max="21" width="17.88671875" customWidth="1"/>
    <col min="22" max="24" width="16" customWidth="1"/>
    <col min="25" max="25" width="17.88671875" customWidth="1"/>
    <col min="26" max="28" width="16" customWidth="1"/>
    <col min="29" max="29" width="17.88671875" customWidth="1"/>
    <col min="30" max="31" width="16" customWidth="1"/>
    <col min="32" max="32" width="17.44140625" customWidth="1"/>
    <col min="33" max="33" width="17.88671875" customWidth="1"/>
    <col min="34" max="36" width="16" customWidth="1"/>
    <col min="37" max="37" width="17.88671875" customWidth="1"/>
    <col min="38" max="40" width="16" customWidth="1"/>
    <col min="41" max="41" width="19" customWidth="1"/>
    <col min="42" max="44" width="16" customWidth="1"/>
    <col min="45" max="45" width="19" customWidth="1"/>
    <col min="46" max="48" width="16" customWidth="1"/>
    <col min="49" max="49" width="17.21875" customWidth="1"/>
    <col min="50" max="52" width="16" customWidth="1"/>
    <col min="53" max="53" width="17.21875" customWidth="1"/>
    <col min="54" max="56" width="16" customWidth="1"/>
    <col min="57" max="57" width="17.21875" customWidth="1"/>
    <col min="58" max="59" width="16" customWidth="1"/>
    <col min="61" max="61" width="19.44140625" customWidth="1"/>
    <col min="64" max="64" width="14.5546875" customWidth="1"/>
    <col min="65" max="65" width="19.44140625" customWidth="1"/>
    <col min="69" max="69" width="18.21875" customWidth="1"/>
  </cols>
  <sheetData>
    <row r="2" spans="1:69" ht="15.6" x14ac:dyDescent="0.3">
      <c r="A2" s="491" t="s">
        <v>1053</v>
      </c>
    </row>
    <row r="3" spans="1:69" x14ac:dyDescent="0.3">
      <c r="A3" t="s">
        <v>1047</v>
      </c>
    </row>
    <row r="5" spans="1:69" ht="15" thickBot="1" x14ac:dyDescent="0.35"/>
    <row r="6" spans="1:69" ht="16.2" thickBot="1" x14ac:dyDescent="0.35">
      <c r="A6" s="497" t="s">
        <v>1051</v>
      </c>
      <c r="B6" s="570">
        <v>2007</v>
      </c>
      <c r="C6" s="571"/>
      <c r="D6" s="571"/>
      <c r="E6" s="572"/>
      <c r="F6" s="570">
        <v>2008</v>
      </c>
      <c r="G6" s="571"/>
      <c r="H6" s="571"/>
      <c r="I6" s="572"/>
      <c r="J6" s="570">
        <v>2009</v>
      </c>
      <c r="K6" s="571"/>
      <c r="L6" s="571"/>
      <c r="M6" s="572"/>
      <c r="N6" s="570">
        <v>2010</v>
      </c>
      <c r="O6" s="571"/>
      <c r="P6" s="571"/>
      <c r="Q6" s="572"/>
      <c r="R6" s="570">
        <v>2011</v>
      </c>
      <c r="S6" s="571"/>
      <c r="T6" s="571"/>
      <c r="U6" s="572"/>
      <c r="V6" s="570">
        <v>2012</v>
      </c>
      <c r="W6" s="571"/>
      <c r="X6" s="571"/>
      <c r="Y6" s="572"/>
      <c r="Z6" s="570">
        <v>2013</v>
      </c>
      <c r="AA6" s="571"/>
      <c r="AB6" s="571"/>
      <c r="AC6" s="572"/>
      <c r="AD6" s="570">
        <v>2014</v>
      </c>
      <c r="AE6" s="571"/>
      <c r="AF6" s="571"/>
      <c r="AG6" s="572"/>
      <c r="AH6" s="570">
        <v>2015</v>
      </c>
      <c r="AI6" s="571"/>
      <c r="AJ6" s="571"/>
      <c r="AK6" s="572"/>
      <c r="AL6" s="570">
        <v>2016</v>
      </c>
      <c r="AM6" s="571"/>
      <c r="AN6" s="571"/>
      <c r="AO6" s="572"/>
      <c r="AP6" s="570">
        <v>2017</v>
      </c>
      <c r="AQ6" s="571"/>
      <c r="AR6" s="571"/>
      <c r="AS6" s="572"/>
      <c r="AT6" s="570">
        <v>2018</v>
      </c>
      <c r="AU6" s="571"/>
      <c r="AV6" s="571"/>
      <c r="AW6" s="572"/>
      <c r="AX6" s="570">
        <v>2019</v>
      </c>
      <c r="AY6" s="571"/>
      <c r="AZ6" s="571"/>
      <c r="BA6" s="572"/>
      <c r="BB6" s="570">
        <v>2020</v>
      </c>
      <c r="BC6" s="571"/>
      <c r="BD6" s="571"/>
      <c r="BE6" s="572"/>
      <c r="BF6" s="570">
        <v>2021</v>
      </c>
      <c r="BG6" s="571"/>
      <c r="BH6" s="571"/>
      <c r="BI6" s="572"/>
      <c r="BJ6" s="570">
        <v>2022</v>
      </c>
      <c r="BK6" s="571"/>
      <c r="BL6" s="571"/>
      <c r="BM6" s="572"/>
      <c r="BN6" s="570">
        <v>2023</v>
      </c>
      <c r="BO6" s="571"/>
      <c r="BP6" s="571"/>
      <c r="BQ6" s="572"/>
    </row>
    <row r="7" spans="1:69" ht="15" thickBot="1" x14ac:dyDescent="0.35">
      <c r="A7" s="496" t="s">
        <v>1052</v>
      </c>
      <c r="B7" s="494" t="s">
        <v>1048</v>
      </c>
      <c r="C7" s="495" t="s">
        <v>1049</v>
      </c>
      <c r="D7" s="495" t="s">
        <v>1050</v>
      </c>
      <c r="E7" s="498" t="s">
        <v>1046</v>
      </c>
      <c r="F7" s="494" t="s">
        <v>1048</v>
      </c>
      <c r="G7" s="495" t="s">
        <v>1049</v>
      </c>
      <c r="H7" s="495" t="s">
        <v>1050</v>
      </c>
      <c r="I7" s="498" t="s">
        <v>1046</v>
      </c>
      <c r="J7" s="494" t="s">
        <v>1048</v>
      </c>
      <c r="K7" s="495" t="s">
        <v>1049</v>
      </c>
      <c r="L7" s="495" t="s">
        <v>1050</v>
      </c>
      <c r="M7" s="498" t="s">
        <v>1046</v>
      </c>
      <c r="N7" s="494" t="s">
        <v>1048</v>
      </c>
      <c r="O7" s="495" t="s">
        <v>1049</v>
      </c>
      <c r="P7" s="495" t="s">
        <v>1050</v>
      </c>
      <c r="Q7" s="498" t="s">
        <v>1046</v>
      </c>
      <c r="R7" s="494" t="s">
        <v>1048</v>
      </c>
      <c r="S7" s="495" t="s">
        <v>1049</v>
      </c>
      <c r="T7" s="495" t="s">
        <v>1050</v>
      </c>
      <c r="U7" s="498" t="s">
        <v>1046</v>
      </c>
      <c r="V7" s="494" t="s">
        <v>1048</v>
      </c>
      <c r="W7" s="495" t="s">
        <v>1049</v>
      </c>
      <c r="X7" s="495" t="s">
        <v>1050</v>
      </c>
      <c r="Y7" s="498" t="s">
        <v>1046</v>
      </c>
      <c r="Z7" s="494" t="s">
        <v>1048</v>
      </c>
      <c r="AA7" s="495" t="s">
        <v>1049</v>
      </c>
      <c r="AB7" s="495" t="s">
        <v>1050</v>
      </c>
      <c r="AC7" s="498" t="s">
        <v>1046</v>
      </c>
      <c r="AD7" s="494" t="s">
        <v>1048</v>
      </c>
      <c r="AE7" s="495" t="s">
        <v>1049</v>
      </c>
      <c r="AF7" s="495" t="s">
        <v>1050</v>
      </c>
      <c r="AG7" s="498" t="s">
        <v>1046</v>
      </c>
      <c r="AH7" s="494" t="s">
        <v>1048</v>
      </c>
      <c r="AI7" s="495" t="s">
        <v>1049</v>
      </c>
      <c r="AJ7" s="495" t="s">
        <v>1050</v>
      </c>
      <c r="AK7" s="498" t="s">
        <v>1046</v>
      </c>
      <c r="AL7" s="494" t="s">
        <v>1048</v>
      </c>
      <c r="AM7" s="495" t="s">
        <v>1049</v>
      </c>
      <c r="AN7" s="495" t="s">
        <v>1050</v>
      </c>
      <c r="AO7" s="498" t="s">
        <v>1046</v>
      </c>
      <c r="AP7" s="494" t="s">
        <v>1048</v>
      </c>
      <c r="AQ7" s="495" t="s">
        <v>1049</v>
      </c>
      <c r="AR7" s="495" t="s">
        <v>1050</v>
      </c>
      <c r="AS7" s="498" t="s">
        <v>1046</v>
      </c>
      <c r="AT7" s="494" t="s">
        <v>1048</v>
      </c>
      <c r="AU7" s="495" t="s">
        <v>1049</v>
      </c>
      <c r="AV7" s="495" t="s">
        <v>1050</v>
      </c>
      <c r="AW7" s="498" t="s">
        <v>1046</v>
      </c>
      <c r="AX7" s="494" t="s">
        <v>1048</v>
      </c>
      <c r="AY7" s="495" t="s">
        <v>1049</v>
      </c>
      <c r="AZ7" s="495" t="s">
        <v>1050</v>
      </c>
      <c r="BA7" s="498" t="s">
        <v>1046</v>
      </c>
      <c r="BB7" s="494" t="s">
        <v>1048</v>
      </c>
      <c r="BC7" s="495" t="s">
        <v>1049</v>
      </c>
      <c r="BD7" s="495" t="s">
        <v>1050</v>
      </c>
      <c r="BE7" s="498" t="s">
        <v>1046</v>
      </c>
      <c r="BF7" s="494" t="s">
        <v>1048</v>
      </c>
      <c r="BG7" s="495" t="s">
        <v>1049</v>
      </c>
      <c r="BH7" s="495" t="s">
        <v>1050</v>
      </c>
      <c r="BI7" s="498" t="s">
        <v>1046</v>
      </c>
      <c r="BJ7" s="494" t="s">
        <v>1048</v>
      </c>
      <c r="BK7" s="495" t="s">
        <v>1049</v>
      </c>
      <c r="BL7" s="495" t="s">
        <v>1050</v>
      </c>
      <c r="BM7" s="498" t="s">
        <v>1046</v>
      </c>
      <c r="BN7" s="494" t="s">
        <v>1048</v>
      </c>
      <c r="BO7" s="495" t="s">
        <v>1049</v>
      </c>
      <c r="BP7" s="495" t="s">
        <v>1050</v>
      </c>
      <c r="BQ7" s="498" t="s">
        <v>1046</v>
      </c>
    </row>
    <row r="8" spans="1:69" ht="15" thickBot="1" x14ac:dyDescent="0.35">
      <c r="A8" s="496" t="s">
        <v>14</v>
      </c>
      <c r="B8" s="494">
        <v>791</v>
      </c>
      <c r="C8" s="495">
        <v>141</v>
      </c>
      <c r="D8" s="495">
        <v>650</v>
      </c>
      <c r="E8" s="499">
        <f>D8/B8*100</f>
        <v>82.174462705436156</v>
      </c>
      <c r="F8" s="494">
        <v>808</v>
      </c>
      <c r="G8" s="495">
        <v>143</v>
      </c>
      <c r="H8" s="495">
        <v>665</v>
      </c>
      <c r="I8" s="499">
        <f>H8/F8*100</f>
        <v>82.301980198019791</v>
      </c>
      <c r="J8" s="494">
        <v>864</v>
      </c>
      <c r="K8" s="495">
        <v>161</v>
      </c>
      <c r="L8" s="495">
        <v>703</v>
      </c>
      <c r="M8" s="499">
        <f>L8/J8*100</f>
        <v>81.365740740740748</v>
      </c>
      <c r="N8" s="494">
        <v>890</v>
      </c>
      <c r="O8" s="495">
        <v>178</v>
      </c>
      <c r="P8" s="495">
        <v>712</v>
      </c>
      <c r="Q8" s="499">
        <f>P8/N8*100</f>
        <v>80</v>
      </c>
      <c r="R8" s="494">
        <v>877</v>
      </c>
      <c r="S8" s="495">
        <v>190</v>
      </c>
      <c r="T8" s="495">
        <v>687</v>
      </c>
      <c r="U8" s="499">
        <f>T8/R8*100</f>
        <v>78.335233751425321</v>
      </c>
      <c r="V8" s="494">
        <v>911</v>
      </c>
      <c r="W8" s="495">
        <v>214</v>
      </c>
      <c r="X8" s="495">
        <v>697</v>
      </c>
      <c r="Y8" s="499">
        <f>X8/V8*100</f>
        <v>76.509330406147086</v>
      </c>
      <c r="Z8" s="494">
        <v>897</v>
      </c>
      <c r="AA8" s="495">
        <v>210</v>
      </c>
      <c r="AB8" s="495">
        <v>688</v>
      </c>
      <c r="AC8" s="499">
        <f>AB8/Z8*100</f>
        <v>76.700111482720175</v>
      </c>
      <c r="AD8" s="494">
        <v>912</v>
      </c>
      <c r="AE8" s="495">
        <v>230</v>
      </c>
      <c r="AF8" s="495">
        <v>682</v>
      </c>
      <c r="AG8" s="499">
        <f>AF8/AD8*100</f>
        <v>74.780701754385973</v>
      </c>
      <c r="AH8" s="494">
        <v>919</v>
      </c>
      <c r="AI8" s="495">
        <v>211</v>
      </c>
      <c r="AJ8" s="495">
        <v>708</v>
      </c>
      <c r="AK8" s="499">
        <f>AJ8/AH8*100</f>
        <v>77.040261153427636</v>
      </c>
      <c r="AL8" s="494">
        <v>946</v>
      </c>
      <c r="AM8" s="495">
        <v>261</v>
      </c>
      <c r="AN8" s="495">
        <v>685</v>
      </c>
      <c r="AO8" s="499">
        <f>AN8/AL8*100</f>
        <v>72.41014799154334</v>
      </c>
      <c r="AP8" s="494">
        <v>976</v>
      </c>
      <c r="AQ8" s="495">
        <v>270</v>
      </c>
      <c r="AR8" s="495">
        <v>707</v>
      </c>
      <c r="AS8" s="499">
        <f>AR8/AP8*100</f>
        <v>72.438524590163937</v>
      </c>
      <c r="AT8" s="494">
        <v>998</v>
      </c>
      <c r="AU8" s="495">
        <v>274</v>
      </c>
      <c r="AV8" s="495">
        <v>724</v>
      </c>
      <c r="AW8" s="499">
        <f>AV8/AT8*100</f>
        <v>72.545090180360717</v>
      </c>
      <c r="AX8" s="494">
        <v>1018</v>
      </c>
      <c r="AY8" s="495">
        <v>277</v>
      </c>
      <c r="AZ8" s="495">
        <v>741</v>
      </c>
      <c r="BA8" s="499">
        <f>AZ8/AX8*100</f>
        <v>72.789783889980356</v>
      </c>
      <c r="BB8" s="494">
        <v>845</v>
      </c>
      <c r="BC8" s="495">
        <v>237</v>
      </c>
      <c r="BD8" s="495">
        <v>608</v>
      </c>
      <c r="BE8" s="499">
        <f>BD8/BB8*100</f>
        <v>71.952662721893489</v>
      </c>
      <c r="BF8" s="494">
        <v>978</v>
      </c>
      <c r="BG8" s="495">
        <v>261</v>
      </c>
      <c r="BH8" s="495">
        <v>717</v>
      </c>
      <c r="BI8" s="499">
        <f>BH8/BF8*100</f>
        <v>73.312883435582819</v>
      </c>
      <c r="BJ8" s="494">
        <v>1099</v>
      </c>
      <c r="BK8" s="495">
        <v>288</v>
      </c>
      <c r="BL8" s="495">
        <v>811</v>
      </c>
      <c r="BM8" s="499">
        <f>BL8/BJ8*100</f>
        <v>73.794358507734302</v>
      </c>
      <c r="BN8" s="494">
        <v>1153</v>
      </c>
      <c r="BO8" s="495">
        <v>313</v>
      </c>
      <c r="BP8" s="495">
        <v>840</v>
      </c>
      <c r="BQ8" s="499">
        <f>BP8/BN8*100</f>
        <v>72.853425845620123</v>
      </c>
    </row>
  </sheetData>
  <mergeCells count="17">
    <mergeCell ref="B6:E6"/>
    <mergeCell ref="F6:I6"/>
    <mergeCell ref="J6:M6"/>
    <mergeCell ref="N6:Q6"/>
    <mergeCell ref="R6:U6"/>
    <mergeCell ref="BN6:BQ6"/>
    <mergeCell ref="V6:Y6"/>
    <mergeCell ref="Z6:AC6"/>
    <mergeCell ref="AD6:AG6"/>
    <mergeCell ref="AH6:AK6"/>
    <mergeCell ref="AL6:AO6"/>
    <mergeCell ref="AP6:AS6"/>
    <mergeCell ref="AT6:AW6"/>
    <mergeCell ref="AX6:BA6"/>
    <mergeCell ref="BB6:BE6"/>
    <mergeCell ref="BF6:BI6"/>
    <mergeCell ref="BJ6:BM6"/>
  </mergeCells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48F7F-59B1-4F78-BD76-371ECE4E2F4A}">
  <dimension ref="A2:L23"/>
  <sheetViews>
    <sheetView workbookViewId="0">
      <selection activeCell="F9" sqref="F9"/>
    </sheetView>
  </sheetViews>
  <sheetFormatPr baseColWidth="10" defaultRowHeight="14.4" x14ac:dyDescent="0.3"/>
  <cols>
    <col min="2" max="2" width="15.6640625" customWidth="1"/>
    <col min="3" max="3" width="13.5546875" customWidth="1"/>
    <col min="4" max="4" width="13.33203125" customWidth="1"/>
  </cols>
  <sheetData>
    <row r="2" spans="1:12" ht="15.6" x14ac:dyDescent="0.3">
      <c r="A2" s="491" t="s">
        <v>1061</v>
      </c>
    </row>
    <row r="3" spans="1:12" x14ac:dyDescent="0.3">
      <c r="A3" t="s">
        <v>1062</v>
      </c>
    </row>
    <row r="5" spans="1:12" x14ac:dyDescent="0.3">
      <c r="A5" t="s">
        <v>849</v>
      </c>
      <c r="B5" t="s">
        <v>1059</v>
      </c>
      <c r="C5" t="s">
        <v>1060</v>
      </c>
      <c r="K5" s="573" t="s">
        <v>1056</v>
      </c>
      <c r="L5" s="573"/>
    </row>
    <row r="6" spans="1:12" x14ac:dyDescent="0.3">
      <c r="A6" s="345">
        <v>2007</v>
      </c>
      <c r="B6" s="416">
        <v>73.3</v>
      </c>
      <c r="C6" s="416">
        <f>100-B6</f>
        <v>26.700000000000003</v>
      </c>
      <c r="K6" s="573"/>
      <c r="L6" s="573"/>
    </row>
    <row r="7" spans="1:12" x14ac:dyDescent="0.3">
      <c r="A7" s="345">
        <v>2008</v>
      </c>
      <c r="B7" s="416">
        <f>+B6+(B6*$K$9)</f>
        <v>73.86</v>
      </c>
      <c r="C7" s="416">
        <f t="shared" ref="C7:C15" si="0">+C6+(C6*$L$9)</f>
        <v>26.14</v>
      </c>
      <c r="K7" s="500" t="s">
        <v>1057</v>
      </c>
      <c r="L7" s="500" t="s">
        <v>1058</v>
      </c>
    </row>
    <row r="8" spans="1:12" x14ac:dyDescent="0.3">
      <c r="A8" s="345">
        <v>2009</v>
      </c>
      <c r="B8" s="416">
        <f t="shared" ref="B8:B15" si="1">+B7+(B7*$K$9)</f>
        <v>74.424278308321959</v>
      </c>
      <c r="C8" s="416">
        <f t="shared" si="0"/>
        <v>25.591745318352061</v>
      </c>
    </row>
    <row r="9" spans="1:12" x14ac:dyDescent="0.3">
      <c r="A9" s="345">
        <v>2010</v>
      </c>
      <c r="B9" s="416">
        <f t="shared" si="1"/>
        <v>74.992867610541069</v>
      </c>
      <c r="C9" s="416">
        <f t="shared" si="0"/>
        <v>25.054989611300481</v>
      </c>
      <c r="J9" t="s">
        <v>1064</v>
      </c>
      <c r="K9" s="488">
        <f>+((B16-B6)/B6)/10</f>
        <v>7.6398362892223862E-3</v>
      </c>
      <c r="L9" s="349">
        <f>+((C16-C6)/C6)/10</f>
        <v>-2.097378277153561E-2</v>
      </c>
    </row>
    <row r="10" spans="1:12" x14ac:dyDescent="0.3">
      <c r="A10" s="345">
        <v>2011</v>
      </c>
      <c r="B10" s="416">
        <f t="shared" si="1"/>
        <v>75.565800841944935</v>
      </c>
      <c r="C10" s="416">
        <f t="shared" si="0"/>
        <v>24.529491701849985</v>
      </c>
      <c r="J10" t="s">
        <v>1063</v>
      </c>
      <c r="K10" s="488">
        <f>+((B21-B16)/B16)/5</f>
        <v>2.7883396704689338E-3</v>
      </c>
      <c r="L10" s="488">
        <f>+((C21-C16)/C16)/5</f>
        <v>-1.0426540284360139E-2</v>
      </c>
    </row>
    <row r="11" spans="1:12" x14ac:dyDescent="0.3">
      <c r="A11" s="345">
        <v>2012</v>
      </c>
      <c r="B11" s="416">
        <f t="shared" si="1"/>
        <v>76.14311118944137</v>
      </c>
      <c r="C11" s="416">
        <f t="shared" si="0"/>
        <v>24.015015471399199</v>
      </c>
    </row>
    <row r="12" spans="1:12" x14ac:dyDescent="0.3">
      <c r="A12" s="345">
        <v>2013</v>
      </c>
      <c r="B12" s="416">
        <f t="shared" si="1"/>
        <v>76.724832093480757</v>
      </c>
      <c r="C12" s="416">
        <f t="shared" si="0"/>
        <v>23.511329753647004</v>
      </c>
      <c r="L12" s="349"/>
    </row>
    <row r="13" spans="1:12" x14ac:dyDescent="0.3">
      <c r="A13" s="345">
        <v>2014</v>
      </c>
      <c r="B13" s="416">
        <f t="shared" si="1"/>
        <v>77.310997249993022</v>
      </c>
      <c r="C13" s="416">
        <f t="shared" si="0"/>
        <v>23.018208230724071</v>
      </c>
    </row>
    <row r="14" spans="1:12" x14ac:dyDescent="0.3">
      <c r="A14" s="345">
        <v>2015</v>
      </c>
      <c r="B14" s="416">
        <f t="shared" si="1"/>
        <v>77.901640612339492</v>
      </c>
      <c r="C14" s="416">
        <f t="shared" si="0"/>
        <v>22.53542933150289</v>
      </c>
      <c r="K14" s="349"/>
    </row>
    <row r="15" spans="1:12" x14ac:dyDescent="0.3">
      <c r="A15" s="345">
        <v>2016</v>
      </c>
      <c r="B15" s="416">
        <f t="shared" si="1"/>
        <v>78.49679639327961</v>
      </c>
      <c r="C15" s="416">
        <f t="shared" si="0"/>
        <v>22.062776132040657</v>
      </c>
    </row>
    <row r="16" spans="1:12" x14ac:dyDescent="0.3">
      <c r="A16" s="345">
        <v>2017</v>
      </c>
      <c r="B16" s="416">
        <v>78.900000000000006</v>
      </c>
      <c r="C16" s="416">
        <f>100-B16</f>
        <v>21.099999999999994</v>
      </c>
    </row>
    <row r="17" spans="1:3" x14ac:dyDescent="0.3">
      <c r="A17" s="345">
        <v>2018</v>
      </c>
      <c r="B17" s="416">
        <f>+B16+(B16*$K$10)</f>
        <v>79.12</v>
      </c>
      <c r="C17" s="416">
        <f>C16+(C16*$L$10)</f>
        <v>20.879999999999995</v>
      </c>
    </row>
    <row r="18" spans="1:3" x14ac:dyDescent="0.3">
      <c r="A18" s="345">
        <v>2019</v>
      </c>
      <c r="B18" s="416">
        <f t="shared" ref="B18:B20" si="2">+B17+(B17*$K$10)</f>
        <v>79.340613434727501</v>
      </c>
      <c r="C18" s="416">
        <f t="shared" ref="C18:C20" si="3">C17+(C17*$L$10)</f>
        <v>20.662293838862556</v>
      </c>
    </row>
    <row r="19" spans="1:3" x14ac:dyDescent="0.3">
      <c r="A19" s="345">
        <v>2020</v>
      </c>
      <c r="B19" s="416">
        <f t="shared" si="2"/>
        <v>79.561842014646899</v>
      </c>
      <c r="C19" s="416">
        <f t="shared" si="3"/>
        <v>20.446857599784369</v>
      </c>
    </row>
    <row r="20" spans="1:3" x14ac:dyDescent="0.3">
      <c r="A20" s="345">
        <v>2021</v>
      </c>
      <c r="B20" s="416">
        <f t="shared" si="2"/>
        <v>79.78368745499192</v>
      </c>
      <c r="C20" s="416">
        <f t="shared" si="3"/>
        <v>20.233667615331644</v>
      </c>
    </row>
    <row r="21" spans="1:3" x14ac:dyDescent="0.3">
      <c r="A21" s="345">
        <v>2022</v>
      </c>
      <c r="B21" s="416">
        <v>80</v>
      </c>
      <c r="C21" s="416">
        <v>20</v>
      </c>
    </row>
    <row r="22" spans="1:3" x14ac:dyDescent="0.3">
      <c r="A22" s="345">
        <v>2023</v>
      </c>
      <c r="B22" s="416">
        <f>+B21+(B21*$K$10)</f>
        <v>80.223067173637517</v>
      </c>
      <c r="C22" s="416">
        <f>+C21+(C21*$L$10)</f>
        <v>19.791469194312796</v>
      </c>
    </row>
    <row r="23" spans="1:3" x14ac:dyDescent="0.3">
      <c r="A23" s="345"/>
    </row>
  </sheetData>
  <mergeCells count="1">
    <mergeCell ref="K5:L6"/>
  </mergeCells>
  <pageMargins left="0.7" right="0.7" top="0.75" bottom="0.75" header="0.3" footer="0.3"/>
  <ignoredErrors>
    <ignoredError sqref="B6:B22" calculatedColumn="1"/>
  </ignoredErrors>
  <tableParts count="1">
    <tablePart r:id="rId1"/>
  </tableParts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23D9-D121-48CC-8032-1BACBDE3EC8C}">
  <dimension ref="A5:F22"/>
  <sheetViews>
    <sheetView workbookViewId="0">
      <selection activeCell="F6" sqref="F6"/>
    </sheetView>
  </sheetViews>
  <sheetFormatPr baseColWidth="10" defaultRowHeight="14.4" x14ac:dyDescent="0.3"/>
  <cols>
    <col min="2" max="2" width="16.109375" customWidth="1"/>
    <col min="3" max="3" width="21.44140625" customWidth="1"/>
    <col min="4" max="4" width="16.21875" customWidth="1"/>
    <col min="5" max="5" width="15.5546875" customWidth="1"/>
    <col min="6" max="6" width="18.21875" customWidth="1"/>
  </cols>
  <sheetData>
    <row r="5" spans="1:6" ht="16.2" thickBot="1" x14ac:dyDescent="0.35">
      <c r="A5" s="578" t="s">
        <v>1065</v>
      </c>
      <c r="B5" s="574" t="s">
        <v>851</v>
      </c>
      <c r="C5" s="574" t="s">
        <v>1069</v>
      </c>
      <c r="D5" s="574" t="s">
        <v>876</v>
      </c>
      <c r="E5" s="574" t="s">
        <v>1068</v>
      </c>
      <c r="F5" s="574" t="s">
        <v>1067</v>
      </c>
    </row>
    <row r="6" spans="1:6" x14ac:dyDescent="0.3">
      <c r="A6" s="579">
        <v>2007</v>
      </c>
      <c r="B6" s="575">
        <f>+'c-496'!F6</f>
        <v>1660271</v>
      </c>
      <c r="C6" s="575">
        <v>309924916</v>
      </c>
      <c r="D6">
        <f>+'c-498'!E6</f>
        <v>1</v>
      </c>
      <c r="E6" s="575">
        <f>+C6/D6</f>
        <v>309924916</v>
      </c>
      <c r="F6">
        <f>+E6/B6</f>
        <v>186.6712819774603</v>
      </c>
    </row>
    <row r="7" spans="1:6" x14ac:dyDescent="0.3">
      <c r="A7" s="580">
        <v>2008</v>
      </c>
      <c r="B7" s="575">
        <f>+'c-496'!F7</f>
        <v>1676529</v>
      </c>
      <c r="C7" s="576">
        <v>627728629</v>
      </c>
      <c r="D7">
        <f>+'c-498'!E7</f>
        <v>1.0438604000799019</v>
      </c>
      <c r="E7" s="575">
        <f t="shared" ref="E7:E22" si="0">+C7/D7</f>
        <v>601353043.90505743</v>
      </c>
      <c r="F7">
        <f t="shared" ref="F7:F22" si="1">+E7/B7</f>
        <v>358.68931817168533</v>
      </c>
    </row>
    <row r="8" spans="1:6" x14ac:dyDescent="0.3">
      <c r="A8" s="579">
        <v>2009</v>
      </c>
      <c r="B8" s="575">
        <f>+'c-496'!F8</f>
        <v>1693454</v>
      </c>
      <c r="C8" s="575">
        <v>717762297</v>
      </c>
      <c r="D8">
        <f>+'c-498'!E8</f>
        <v>1.0626145854552862</v>
      </c>
      <c r="E8" s="575">
        <f t="shared" si="0"/>
        <v>675468139.45949054</v>
      </c>
      <c r="F8">
        <f t="shared" si="1"/>
        <v>398.87008413543595</v>
      </c>
    </row>
    <row r="9" spans="1:6" x14ac:dyDescent="0.3">
      <c r="A9" s="580">
        <v>2010</v>
      </c>
      <c r="B9" s="575">
        <f>+'c-496'!F9</f>
        <v>1711902</v>
      </c>
      <c r="C9" s="576">
        <v>904087229</v>
      </c>
      <c r="D9">
        <f>+'c-498'!E9</f>
        <v>1.0751396921870404</v>
      </c>
      <c r="E9" s="575">
        <f t="shared" si="0"/>
        <v>840902103.76375663</v>
      </c>
      <c r="F9">
        <f t="shared" si="1"/>
        <v>491.20925366274275</v>
      </c>
    </row>
    <row r="10" spans="1:6" x14ac:dyDescent="0.3">
      <c r="A10" s="579">
        <v>2011</v>
      </c>
      <c r="B10" s="575">
        <f>+'c-496'!F10</f>
        <v>1730877</v>
      </c>
      <c r="C10" s="575">
        <v>814326523</v>
      </c>
      <c r="D10">
        <f>+'c-498'!E10</f>
        <v>1.1187210443435196</v>
      </c>
      <c r="E10" s="575">
        <f t="shared" si="0"/>
        <v>727908469.33415616</v>
      </c>
      <c r="F10">
        <f t="shared" si="1"/>
        <v>420.54315201724683</v>
      </c>
    </row>
    <row r="11" spans="1:6" x14ac:dyDescent="0.3">
      <c r="A11" s="580">
        <v>2012</v>
      </c>
      <c r="B11" s="575">
        <f>+'c-496'!F11</f>
        <v>1749812</v>
      </c>
      <c r="C11" s="576">
        <v>1020967746</v>
      </c>
      <c r="D11">
        <f>+'c-498'!E11</f>
        <v>1.164369124404536</v>
      </c>
      <c r="E11" s="575">
        <f t="shared" si="0"/>
        <v>876841995.03497469</v>
      </c>
      <c r="F11">
        <f t="shared" si="1"/>
        <v>501.10640173628633</v>
      </c>
    </row>
    <row r="12" spans="1:6" x14ac:dyDescent="0.3">
      <c r="A12" s="579">
        <v>2013</v>
      </c>
      <c r="B12" s="575">
        <f>+'c-496'!F12</f>
        <v>1770194</v>
      </c>
      <c r="C12" s="575">
        <v>1468864010</v>
      </c>
      <c r="D12">
        <f>+'c-498'!E12</f>
        <v>1.2253082185068307</v>
      </c>
      <c r="E12" s="575">
        <f t="shared" si="0"/>
        <v>1198771042.1056085</v>
      </c>
      <c r="F12">
        <f t="shared" si="1"/>
        <v>677.19755128850761</v>
      </c>
    </row>
    <row r="13" spans="1:6" x14ac:dyDescent="0.3">
      <c r="A13" s="580">
        <v>2014</v>
      </c>
      <c r="B13" s="575">
        <f>+'c-496'!F13</f>
        <v>1793523</v>
      </c>
      <c r="C13" s="576">
        <v>1418528531</v>
      </c>
      <c r="D13">
        <f>+'c-498'!E13</f>
        <v>1.3009642633690333</v>
      </c>
      <c r="E13" s="575">
        <f t="shared" si="0"/>
        <v>1090367023.0929458</v>
      </c>
      <c r="F13">
        <f t="shared" si="1"/>
        <v>607.94705342108568</v>
      </c>
    </row>
    <row r="14" spans="1:6" x14ac:dyDescent="0.3">
      <c r="A14" s="579">
        <v>2015</v>
      </c>
      <c r="B14" s="575">
        <f>+'c-496'!F14</f>
        <v>1821292</v>
      </c>
      <c r="C14" s="575">
        <v>1409540467</v>
      </c>
      <c r="D14">
        <f>+'c-498'!E14</f>
        <v>1.33475269110233</v>
      </c>
      <c r="E14" s="575">
        <f t="shared" si="0"/>
        <v>1056031185.6992064</v>
      </c>
      <c r="F14">
        <f t="shared" si="1"/>
        <v>579.82530297130074</v>
      </c>
    </row>
    <row r="15" spans="1:6" x14ac:dyDescent="0.3">
      <c r="A15" s="580">
        <v>2016</v>
      </c>
      <c r="B15" s="575">
        <f>+'c-496'!F15</f>
        <v>1855780</v>
      </c>
      <c r="C15" s="576">
        <v>1332007690</v>
      </c>
      <c r="D15">
        <f>+'c-498'!E15</f>
        <v>1.380702521498324</v>
      </c>
      <c r="E15" s="575">
        <f t="shared" si="0"/>
        <v>964731844.30381072</v>
      </c>
      <c r="F15">
        <f t="shared" si="1"/>
        <v>519.8524848332296</v>
      </c>
    </row>
    <row r="16" spans="1:6" x14ac:dyDescent="0.3">
      <c r="A16" s="579">
        <v>2017</v>
      </c>
      <c r="B16" s="575">
        <f>+'c-496'!F16</f>
        <v>1895988</v>
      </c>
      <c r="C16" s="575">
        <v>1125461601</v>
      </c>
      <c r="D16">
        <f>+'c-498'!E16</f>
        <v>1.4256653962577832</v>
      </c>
      <c r="E16" s="575">
        <f t="shared" si="0"/>
        <v>789428995.01819599</v>
      </c>
      <c r="F16">
        <f t="shared" si="1"/>
        <v>416.36813894296586</v>
      </c>
    </row>
    <row r="17" spans="1:6" x14ac:dyDescent="0.3">
      <c r="A17" s="580">
        <v>2018</v>
      </c>
      <c r="B17" s="575">
        <f>+'c-496'!F17</f>
        <v>1938501</v>
      </c>
      <c r="C17" s="576">
        <v>1120698354</v>
      </c>
      <c r="D17">
        <f>+'c-498'!E17</f>
        <v>1.4608349111341843</v>
      </c>
      <c r="E17" s="575">
        <f t="shared" si="0"/>
        <v>767162904.89655387</v>
      </c>
      <c r="F17">
        <f t="shared" si="1"/>
        <v>395.75058506369294</v>
      </c>
    </row>
    <row r="18" spans="1:6" x14ac:dyDescent="0.3">
      <c r="A18" s="579">
        <v>2019</v>
      </c>
      <c r="B18" s="575">
        <f>+'c-496'!F18</f>
        <v>1979901</v>
      </c>
      <c r="C18" s="575">
        <v>1461971775</v>
      </c>
      <c r="D18">
        <f>+'c-498'!E18</f>
        <v>1.4876179245283019</v>
      </c>
      <c r="E18" s="575">
        <f t="shared" si="0"/>
        <v>982760257.78834724</v>
      </c>
      <c r="F18">
        <f t="shared" si="1"/>
        <v>496.36838295871723</v>
      </c>
    </row>
    <row r="19" spans="1:6" x14ac:dyDescent="0.3">
      <c r="A19" s="580">
        <v>2020</v>
      </c>
      <c r="B19" s="575">
        <f>+'c-496'!F19</f>
        <v>2016771</v>
      </c>
      <c r="C19" s="576">
        <v>1400241794</v>
      </c>
      <c r="D19">
        <f>+'c-498'!E19</f>
        <v>1.5121136400673583</v>
      </c>
      <c r="E19" s="575">
        <f t="shared" si="0"/>
        <v>926016244.34630799</v>
      </c>
      <c r="F19">
        <f t="shared" si="1"/>
        <v>459.15785398853313</v>
      </c>
    </row>
    <row r="20" spans="1:6" x14ac:dyDescent="0.3">
      <c r="A20" s="579">
        <v>2021</v>
      </c>
      <c r="B20" s="575">
        <f>+'c-496'!F20</f>
        <v>2048492</v>
      </c>
      <c r="C20" s="575">
        <v>2094266254</v>
      </c>
      <c r="D20">
        <f>+'c-498'!E20</f>
        <v>1.5611805618398769</v>
      </c>
      <c r="E20" s="575">
        <f t="shared" si="0"/>
        <v>1341463188.3014691</v>
      </c>
      <c r="F20">
        <f t="shared" si="1"/>
        <v>654.85400397046658</v>
      </c>
    </row>
    <row r="21" spans="1:6" x14ac:dyDescent="0.3">
      <c r="A21" s="580">
        <v>2022</v>
      </c>
      <c r="B21" s="575">
        <f>+'c-496'!F21</f>
        <v>2077345</v>
      </c>
      <c r="C21" s="576">
        <v>1994270731</v>
      </c>
      <c r="D21">
        <f>+'c-498'!E21</f>
        <v>1.6374434902006503</v>
      </c>
      <c r="E21" s="575">
        <f t="shared" si="0"/>
        <v>1217917285.6558394</v>
      </c>
      <c r="F21">
        <f t="shared" si="1"/>
        <v>586.28551620257565</v>
      </c>
    </row>
    <row r="22" spans="1:6" x14ac:dyDescent="0.3">
      <c r="A22" s="581">
        <v>2023</v>
      </c>
      <c r="B22" s="575">
        <f>+'c-496'!F22</f>
        <v>2104254</v>
      </c>
      <c r="C22" s="577">
        <v>2510383823</v>
      </c>
      <c r="D22">
        <f>+'c-498'!E22</f>
        <v>1.6966659157467898</v>
      </c>
      <c r="E22" s="575">
        <f t="shared" si="0"/>
        <v>1479598192.9624908</v>
      </c>
      <c r="F22">
        <f t="shared" si="1"/>
        <v>703.14619478565362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405</vt:i4>
      </vt:variant>
      <vt:variant>
        <vt:lpstr>Rangos con nombre</vt:lpstr>
      </vt:variant>
      <vt:variant>
        <vt:i4>127</vt:i4>
      </vt:variant>
    </vt:vector>
  </HeadingPairs>
  <TitlesOfParts>
    <vt:vector size="532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c-504</vt:lpstr>
      <vt:lpstr>c-505</vt:lpstr>
      <vt:lpstr>Tabla_5</vt:lpstr>
      <vt:lpstr>Tabla_6</vt:lpstr>
      <vt:lpstr>c-506</vt:lpstr>
      <vt:lpstr>SS_Basicos</vt:lpstr>
      <vt:lpstr>empleo_informal</vt:lpstr>
      <vt:lpstr>poblacion_rural</vt:lpstr>
      <vt:lpstr>inver_pub_percap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2025-06-13T15:31:31Z</dcterms:modified>
</cp:coreProperties>
</file>