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3"/>
    <sheet state="visible" name="Preprocessed" sheetId="2" r:id="rId4"/>
    <sheet state="visible" name="NewAssociationRules" sheetId="3" r:id="rId5"/>
    <sheet state="visible" name="Copy of NewAssociationRules" sheetId="4" r:id="rId6"/>
    <sheet state="visible" name="AssociationRules" sheetId="5" r:id="rId7"/>
    <sheet state="visible" name="codes" sheetId="6" r:id="rId8"/>
    <sheet state="visible" name="Calc" sheetId="7" r:id="rId9"/>
  </sheets>
  <definedNames>
    <definedName hidden="1" localSheetId="0" name="_xlnm._FilterDatabase">Original!$A$1:$AS$85</definedName>
    <definedName hidden="1" localSheetId="2" name="_xlnm._FilterDatabase">NewAssociationRules!$A$1:$J$1001</definedName>
    <definedName hidden="1" localSheetId="3" name="_xlnm._FilterDatabase">'Copy of NewAssociationRules'!$K$1:$O$1001</definedName>
    <definedName hidden="1" localSheetId="4" name="_xlnm._FilterDatabase">AssociationRules!$A$1:$I$294</definedName>
    <definedName hidden="1" localSheetId="5" name="_xlnm._FilterDatabase">codes!$A$1:$Q$88</definedName>
    <definedName hidden="1" localSheetId="2" name="Z_B6312854_6345_493B_9D5A_580178527BAC_.wvu.FilterData">NewAssociationRules!$K$1:$O$1001</definedName>
    <definedName hidden="1" localSheetId="3" name="Z_B6312854_6345_493B_9D5A_580178527BAC_.wvu.FilterData">'Copy of NewAssociationRules'!$K$1:$O$1001</definedName>
  </definedNames>
  <calcPr/>
  <customWorkbookViews>
    <customWorkbookView activeSheetId="0" maximized="1" tabRatio="600" windowHeight="0" windowWidth="0" guid="{B6312854-6345-493B-9D5A-580178527BAC}" name="Useful Association"/>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Special Metrics (not common)
	-David Nader</t>
      </text>
    </comment>
  </commentList>
</comments>
</file>

<file path=xl/comments2.xml><?xml version="1.0" encoding="utf-8"?>
<comments xmlns:r="http://schemas.openxmlformats.org/officeDocument/2006/relationships" xmlns="http://schemas.openxmlformats.org/spreadsheetml/2006/main">
  <authors>
    <author/>
  </authors>
  <commentList>
    <comment authorId="0" ref="J3">
      <text>
        <t xml:space="preserve">Tha papers are less likely to be reproducible in non vision artifacts like code or repo metadata. 
 </t>
      </text>
    </comment>
    <comment authorId="0" ref="J4">
      <text>
        <t xml:space="preserve">Most of the data reported on the papers are not reproducible. </t>
      </text>
    </comment>
    <comment authorId="0" ref="J5">
      <text>
        <t xml:space="preserve">For all data that is not of the type Input/Output examples, the authors do not discuss how it was extracted</t>
      </text>
    </comment>
    <comment authorId="0" ref="J6">
      <text>
        <t xml:space="preserve">For all data that is not of the type vision examples, the authors do not discuss how it was extracted</t>
      </text>
    </comment>
    <comment authorId="0" ref="J7">
      <text>
        <t xml:space="preserve">When supervised learning is being performed, most people are not reporting ROCs or AUCs</t>
      </text>
    </comment>
    <comment authorId="0" ref="J2">
      <text>
        <t xml:space="preserve">Check with +watsonca17@gmail.com
	-David Nader
What is the real meaning of Extract Description?
	-David Nader
I'm not sure what you mean, in what context are you referring?
	-Anonymous
My guess is a description referring to how the paper describes the extraction of its dataset. Do they provide a process for how this data is taken from the unlabeled software repos.
	-Cody Watson</t>
      </text>
    </comment>
  </commentList>
</comments>
</file>

<file path=xl/sharedStrings.xml><?xml version="1.0" encoding="utf-8"?>
<sst xmlns="http://schemas.openxmlformats.org/spreadsheetml/2006/main" count="9217" uniqueCount="1116">
  <si>
    <t>Title</t>
  </si>
  <si>
    <t>Venue</t>
  </si>
  <si>
    <t>Year published</t>
  </si>
  <si>
    <t>Type of Paper</t>
  </si>
  <si>
    <t>Raw input data</t>
  </si>
  <si>
    <t>Extraction process or tools</t>
  </si>
  <si>
    <t>Embedding process of input</t>
  </si>
  <si>
    <t>Size of a data point to the SE model</t>
  </si>
  <si>
    <t>Size of dataset</t>
  </si>
  <si>
    <t>Learning algorithm chosen</t>
  </si>
  <si>
    <t>What type of hyperparameter tuning is done</t>
  </si>
  <si>
    <t>Datasets or Benchmarks for testing</t>
  </si>
  <si>
    <t>Metric</t>
  </si>
  <si>
    <t>Other Metrics</t>
  </si>
  <si>
    <t>MRR</t>
  </si>
  <si>
    <t>ROC or AUC</t>
  </si>
  <si>
    <t>BLEU Score</t>
  </si>
  <si>
    <t>Accuracy</t>
  </si>
  <si>
    <t>Precision</t>
  </si>
  <si>
    <t>Recall</t>
  </si>
  <si>
    <t>F1 Measure</t>
  </si>
  <si>
    <t>Data-Scale</t>
  </si>
  <si>
    <t>Tuning</t>
  </si>
  <si>
    <t>Opt. Method</t>
  </si>
  <si>
    <t>Learning-Algorithm</t>
  </si>
  <si>
    <t>Loss Function</t>
  </si>
  <si>
    <t>SE Task</t>
  </si>
  <si>
    <t>SE Data</t>
  </si>
  <si>
    <t>Other SE Data</t>
  </si>
  <si>
    <t>I/O Examples</t>
  </si>
  <si>
    <t>Vision</t>
  </si>
  <si>
    <t>Source Code</t>
  </si>
  <si>
    <t>Natural Language</t>
  </si>
  <si>
    <t>Data Preprocessing</t>
  </si>
  <si>
    <t>Learning Type</t>
  </si>
  <si>
    <t>Architectures</t>
  </si>
  <si>
    <t>Automation Impact</t>
  </si>
  <si>
    <t>Reproducibility</t>
  </si>
  <si>
    <t>Reproducible</t>
  </si>
  <si>
    <t>Extraction Details</t>
  </si>
  <si>
    <t>Preprocessing Details</t>
  </si>
  <si>
    <t>Learning Algorithm</t>
  </si>
  <si>
    <t>No Repo</t>
  </si>
  <si>
    <t>Hyperparameters</t>
  </si>
  <si>
    <t>Filtering Details</t>
  </si>
  <si>
    <t>ICML</t>
  </si>
  <si>
    <t>Technical</t>
  </si>
  <si>
    <t xml:space="preserve"> code subtokens</t>
  </si>
  <si>
    <t>Source code tokenization</t>
  </si>
  <si>
    <t>The input to attention_features is a sequence of
code subtokens c of length LEN(c) and each location is
mapped to a matrix of attention features Lf eat, with size
(LEN(c) + const) × k2 where the const is a fixed amount
of padding</t>
  </si>
  <si>
    <t>Method level</t>
  </si>
  <si>
    <t>11
open source Java projects from GitHub</t>
  </si>
  <si>
    <t xml:space="preserve"> train this model using maximum likelihood
to penalize the model when the simple attention predicts
an UNK but the subtoken can be predicted exactly by the
copy mechanism
we optimize the objective using stochastic gradient
descent with RMSProp and Nesterov momentum</t>
  </si>
  <si>
    <t>We optimize hyperparameters using Bayesian optimization with
Spearmint (Snoek et al., 2012) maximizing F1 at rank 5.</t>
  </si>
  <si>
    <t xml:space="preserve">Dataset: GitHub projects
Benchmarks: Code
Search with Pattern Mining [24, 46] and SWIM </t>
  </si>
  <si>
    <t>N/A</t>
  </si>
  <si>
    <t>No</t>
  </si>
  <si>
    <t>Tens</t>
  </si>
  <si>
    <t>Bayesian Opt</t>
  </si>
  <si>
    <t>Gradient Descent</t>
  </si>
  <si>
    <t>Max Log Likelihood</t>
  </si>
  <si>
    <t>Code Summarization</t>
  </si>
  <si>
    <t>Yes</t>
  </si>
  <si>
    <t>Tokenization</t>
  </si>
  <si>
    <t>supervised</t>
  </si>
  <si>
    <t>CNN</t>
  </si>
  <si>
    <t>Increased Automation / Efficiency</t>
  </si>
  <si>
    <t>Filtering Details &amp; No Repo</t>
  </si>
  <si>
    <t>A deep learning approach to identifying source code in images and video</t>
  </si>
  <si>
    <t>MSR</t>
  </si>
  <si>
    <t>Videos from youtube</t>
  </si>
  <si>
    <t>Data was extracted using pytube and videos were segmented by sampling a frame rate of 1 frame per second using FFmpeg resulting in 79,500 images.</t>
  </si>
  <si>
    <t>Images were labeled with crowdsource, 100 students from freshman / softmore level. Final preprocessing step all images were rescaled to 300x300 pixels</t>
  </si>
  <si>
    <t>300X300 image</t>
  </si>
  <si>
    <t>19,200 frames of source code in videos</t>
  </si>
  <si>
    <t>Back Propagation. The aim is to maximize the log probability
of getting the correct answer.</t>
  </si>
  <si>
    <t>None for the VGG. For the AE: Once we have acquired this data we can more aggressively tune the
parameters of the autoencoder to maximize generalizability and
accuracy.</t>
  </si>
  <si>
    <t>Manually curated dataset of video pulled from youtube. There are 5 different datasets 1. Typeset Code vs. No Code 2. Typeset / partially visible code vs. No Code 3. Visible and partially visible and hardwritten vs no code 4. hadwritten code vs everything 5. visible typeset vs partially visible typset vs handwritten vs no code</t>
  </si>
  <si>
    <t>Precision, Recall, &amp; Accuracy</t>
  </si>
  <si>
    <t>Thousands</t>
  </si>
  <si>
    <t>No Tunning</t>
  </si>
  <si>
    <t>Image2Structure</t>
  </si>
  <si>
    <t>PyTube</t>
  </si>
  <si>
    <t>Solving Previously Unsolvable Problems</t>
  </si>
  <si>
    <t>TSE</t>
  </si>
  <si>
    <t>Journal Paper</t>
  </si>
  <si>
    <t>takes as input the title and description of an issue</t>
  </si>
  <si>
    <t>JIRA is one of the few
widely-used issue tracking systems that support agile development (and thus story point estimation) with its JIRA
Agile plugin. They selected a diverse collection of nine
major open source repositories that use the JIRA issue tracking system: Apache, Appcelerator, DuraSpace, Atlassian,
Moodle, Lsstcorp, MuleSoft, Spring, and Talendforge. They then used the Representational State Transfer (REST) API
provided by JIRA to query and collected those issue reports.</t>
  </si>
  <si>
    <t>Documents are subjected to word2vec to vectorize each word in the document and then those vectors are aggregated into a single vector which represents the entire document. This is done through mean pooling</t>
  </si>
  <si>
    <t>The title and description of an issue report
into a single text document where the title is followed by the
description. Then vector representations are created for the documents. The embedding size was 50.  The maximum sequence length used by the
LSTM is 100 words, which is the average length of issue
description.</t>
  </si>
  <si>
    <t>23,313 User stores or issues with ground truth story points. From 16 open source projects.</t>
  </si>
  <si>
    <t>The language model can be learned by optimizing the
log-loss − log P(s). They also use use the popular stochastic gradient descent to perform
optimization: through backpropagation, the model parameters θ are updated in the opposite direction of the gradient
of the loss function L(θ). We use RMSprop, an adaptive stochastic
gradient method (unpublished note by Geoffrey Hinton),
which is known to work best for recurrent models.We tuned RMSprop
by partitioning the data into mutually exclusive training, validation, and test sets and running the training multiple times.</t>
  </si>
  <si>
    <t xml:space="preserve">. We
tuned some important hyper-parameters (e.g., embedding
size and the number of hidden layers) by conducting experiments with different values, while for some other hyperparameters, we used the default values. After each training epoch, the learned model was evaluated
on the validation set and its performance was used to assess
against hyperparameters (e.g., learning rate in gradient
searches).  To do so, we fixed one parameter and varied
the other to observe the MAE performance. We chose to test
with four different embedding sizes: 10, 50, 100, and 200,
and twelve variations of the number of hidden layers from
2 to 200.
</t>
  </si>
  <si>
    <t>They ran Deep-SE on the dataset used in Porru et.
al, re-implemented their approach, and performed
a comparison on the results produced by the two
approaches. They also used their 23,313 issues gathered from JIRA. 
China dataset has only 499
data points, Desharnais has 77, and Finish has 38 (see the
datasets for effort estimation on the PROMISE repository)
– these are commonly used in existing effort estimation</t>
  </si>
  <si>
    <t>Accuracy, Mean Absolute Error, &amp; Median Absolute Error</t>
  </si>
  <si>
    <t>Y</t>
  </si>
  <si>
    <t>Grid Search</t>
  </si>
  <si>
    <t>Negative Log Likelihood</t>
  </si>
  <si>
    <t>non-Code Related</t>
  </si>
  <si>
    <t>Repo Metadata</t>
  </si>
  <si>
    <t>Neural Embedding</t>
  </si>
  <si>
    <t>RNN</t>
  </si>
  <si>
    <t>Replacing Expertise</t>
  </si>
  <si>
    <t>ASE</t>
  </si>
  <si>
    <t>Short Paper</t>
  </si>
  <si>
    <t>Source code snippet OR natural language sentence</t>
  </si>
  <si>
    <t>Taken from previous study</t>
  </si>
  <si>
    <t>Use modified versions of
an ANTLR parser for C# and python-sqlparse for SQL to tokenize
source code. In the tokenization process, comments are removed and literals are replaced with their corresponding types. For SQL,
names of tables and columns are replaced with numbered placeholder tokens while preserving any dependencies in the query.</t>
  </si>
  <si>
    <t>sizes of C#,
SQL and natural language to 256 and latent size to 128. Size of decoder vector is 20.</t>
  </si>
  <si>
    <t>66,015 Pairs of C# code and natural language description. 32,337 pairs were used from SQL.</t>
  </si>
  <si>
    <t>The goal of training VAE is to maximize the lower bound on the
true log likelihood of x, or to minimize its opposite (loss function):
L(ϕ, θ; x) = Eqϕ (z|x) [−log p θ (x|z)] + KL(qϕ(z|x)||p(z)) = R(ϕ, θ; x) + KL(qϕ(z|x)||p(z))
where θ are the parameters of generative model (i.e. decoder) and
KL stands for Kullback-Leibler divergence.</t>
  </si>
  <si>
    <t>Tested MPReg vs. Preg and found that MPReg outperformed in all experiements. IDF is used to weigh the reconstruction loss
of C-VAE and L-VAE only for SQL dataset, since we find there is no
significant improvement for C# dataset after IDF is used. αc , βc , αl
and βl are set to 0.35, 0.15, 0.35 and 0.15 respectively. For code
retrieval, both le and ld are set to 1, and hidden size in FC layer is
256. For code summarization, le and ld are set to 0, GRU state size
is 256, the keep probability of input dropout is 0.2, the beam search
size is 10 and the maximum summary length when decoding is 20. All trainable parameters are initialized with Xavier initialization
[8]. We use Adam optimizer to train the models with batch size of
64, start with a learning rate of 0.005 and decay it by a factor of 0.8
after 3 epochs if the loss on training set does not decrease in all
recent 3 epochs</t>
  </si>
  <si>
    <t>The dataset for experiments was collected from StackOverflow (SO)
by Iyer et al. [13]. This dataset contains 52812 pairs of &lt;C# code,
natural language description&gt; for training, 6601 pairs for validation
and 6602 pairs for test. For SQL, these numbers are 25671, 3326
and 3340. These pairs were extracted from posts of SO, where the
title of a post was taken as the natural language description and
the code snippet in some accepted answer was considered as an
implementation of the corresponding title. To get a high-quality
dataset, Iyer et al. [13] trained a semi-supervised classifier to filter
out bad posts that have no relation to the corresponding code
snippet.</t>
  </si>
  <si>
    <t>MRR, BLEU Score, &amp; METEOR Score</t>
  </si>
  <si>
    <t>VAE</t>
  </si>
  <si>
    <t>Retrieval-Trace &amp; Code Summarization</t>
  </si>
  <si>
    <t>Source Code &amp; Natural</t>
  </si>
  <si>
    <t>Autoencoder</t>
  </si>
  <si>
    <t>Increased Performance Over Predeccesor</t>
  </si>
  <si>
    <t>Method signature and method body of a bug before the fix is applied</t>
  </si>
  <si>
    <t>Crawled Github using GitHug Archive for all java projects between March 2011 and October 2017 that contain a commit message containing the pattern : (“fix” or “solve”) and (“bug” or “issue” or
“problem” or “error”)</t>
  </si>
  <si>
    <t>GumTreeDiff is used to find method pairs between buggy and fixed version, then methods are tokenized and abstracted through the use of ANTLR. Raw source code tokens are abstracted via a token to represent the type of token (METHOD, STRING, INT, IDENT, FLOAT, etc...). The top 272 idioms that were found in the bug-fixing pairs were not abstracted. The string of abstracted tokens are then embedded using an encoder.   Bucketing and padding was used to deal with the variable length of the
sequences</t>
  </si>
  <si>
    <t>Method before a bug fix which was abstracted and was 50 tokens or less after abstraction.</t>
  </si>
  <si>
    <t>(58,350) bug-fixes.</t>
  </si>
  <si>
    <t>The learning algorithm is minimizing the negative log likelihood of the target
terms, using stochastic gradient descent</t>
  </si>
  <si>
    <t>The configurations tested different combinations of RNN Cells (LSTM  and GRU), number of layers (1, 2, 4) and units (256, 512)
for the encoder/decoder, and the embedding size (256, 512). Model was trained on 60K epochs</t>
  </si>
  <si>
    <t xml:space="preserve">GitHub dataset searched 787,178 bug-fixing
commits, this led to the extraction of ∼2.3M BFPs, and (58,350) bug-fixeing pairs after filtering.  </t>
  </si>
  <si>
    <t>Program Repair</t>
  </si>
  <si>
    <t>Encoder-Decoder</t>
  </si>
  <si>
    <t>FSE</t>
  </si>
  <si>
    <t>The summary and description text of a bug report.</t>
  </si>
  <si>
    <t>word2vec embeds each word in bug report a vect resulting in a matrix with each row being a word and the columns being the vector representation of the words.</t>
  </si>
  <si>
    <t>45,205‬ bug reports</t>
  </si>
  <si>
    <t xml:space="preserve"> use dropout and l2 regularization.</t>
  </si>
  <si>
    <t>Open source and industry projects
Compared against  with the RNNLM, and LSTM implementations for baseline</t>
  </si>
  <si>
    <t>Bug-Fixing</t>
  </si>
  <si>
    <t>Bug Report</t>
  </si>
  <si>
    <t>Hyperparameters, Architecture, Extraction Details, Filtering Details, &amp; No Repo</t>
  </si>
  <si>
    <t>raw code tokens from classes in java projects</t>
  </si>
  <si>
    <t>Tokenization with counts of occurances</t>
  </si>
  <si>
    <t>14,000 java projects
2,230,075 files
1,6B tokens</t>
  </si>
  <si>
    <t xml:space="preserve">This
parameter space is estimated using gradient-descent techniques
which propagate loss gradients in entropy-like functions over a
training corpus.
</t>
  </si>
  <si>
    <t xml:space="preserve">Tried out different n-gram models Witten-Bell (WB), Absolute Discounting (AD), Kneser-Ney (KN), and different values of n (1, 2, 3, 4, 5, and 6) </t>
  </si>
  <si>
    <t>Allamanis et al.’s Giga-token corpus (https://dl.acm.org/citation.cfm?id=2487127)</t>
  </si>
  <si>
    <t>MRR &amp; Accuracy</t>
  </si>
  <si>
    <t>Cross-entropy</t>
  </si>
  <si>
    <t>Source Code Generation</t>
  </si>
  <si>
    <t>unsupervised</t>
  </si>
  <si>
    <t>Increased Understanding of the Topic</t>
  </si>
  <si>
    <t>Learning Algorithm, Extraction Details, Filtering Details, &amp; No Repo</t>
  </si>
  <si>
    <t>ICSE</t>
  </si>
  <si>
    <t>Identifiers’ names
API usages, String literal tokens
Code tokens</t>
  </si>
  <si>
    <t>We selected 1,000 most popular Java projects in SourceForge. We made sure that all chosen projects have +1,000 LOCs and +100 revisions (to avoid toy projects), and the distributions of projects in all categories are balanced. Finally, we collected the last versions of all chosen projects. The total number of source files is 1,082,436; that of lines of code is 133,498,230; and the total number of distinctive features is 660,391.</t>
  </si>
  <si>
    <t>First, we extracted the identifiers (including the names of variables and methods) because the developers often use such names to represent the concepts and functions used a project. While keeping a name as a whole, we also broke it into smaller words (e.g., getFile becomes get and file), and normalized them. Stopwords were removed. Second, we extracted the APIs (methods and classes in the external libraries) used in a project.
APIs are important features since they represent the essence of projects’ semantic characteristics [6]. Third, we parsed the comments and string literals into individual words and used them as features. Tf-Idf values computed from the occurrence counts of the features in a project form the model’s input vector.</t>
  </si>
  <si>
    <t>vector of code features</t>
  </si>
  <si>
    <t>Source code from the top 1000 java projects of sourceforge</t>
  </si>
  <si>
    <t>Categorization</t>
  </si>
  <si>
    <t>FNN</t>
  </si>
  <si>
    <t>Advanced Architecture / Novelty</t>
  </si>
  <si>
    <t>Learning Algorithm, Hyperparameters, No Repo</t>
  </si>
  <si>
    <t>Java source code file</t>
  </si>
  <si>
    <t>build Abstract Syntax Trees
(AST) to extract key syntactic information from the source
code of each source file in a project. To do so, we utilize
a parser to lexically analyze each source file and obtain an
AST. Each source file is parsed into a set of methods and
each method is parsed into a sequence of code tokens. comments and blank lines are ignored. we replace integers, real numbers, exponential notation, and
hexadecimal numbers with a generic hnumi token, and
replace constant strings with a generic hstri token</t>
  </si>
  <si>
    <t xml:space="preserve"> a token
embedding matrix M ∈ R
d×|V | where d is the size of a
code token vector and |V | is the size of vocabulary V .
Each code token has an index in the vocabulary, and this
embedding matrix acts as a look-up table: each column i
th in
the embedding matrix is an embedded vector for the token
i
th. We denote xt as a vector representation of code token
wt.</t>
  </si>
  <si>
    <t xml:space="preserve">Here we
use a simple approach to split a long method into nonoverlapping sequences of fixed length T, where T = 100
is chosen in this implementation due to the faster learning
speed. Although large source
code files sometimes exist, the average file size is in the
range of the hundreds of lines
</t>
  </si>
  <si>
    <t xml:space="preserve"> The dataset contains more
than 240K sequences. These sequences come from 18 different applications that was used in previous work.</t>
  </si>
  <si>
    <t xml:space="preserve">Learning involves computing the gradient of L(P) during the back propagation phase, and updating the model
parameters P, which consists of M, U and other internal
LSTM parameters, via stochastic gradient descent. RMSprop is used as the optimizer. </t>
  </si>
  <si>
    <t>We use RMSprop as the optimizer and use the standard
learning rate of 0.02, and smoothing hyper-parameters: ρ =
0.99, and _x000f_ = 1e−7. The model parameters are updated in a
stochastic fashion, i.e. after every mini-batch of size 50. We
use |V | = 5, 000 most frequent tokens for learning the code
language
 Hyper-parameters are tuned
for best performance and include (i) the number of trees,
(ii) the maximum depth of a tree, (iii) the minimum number
of samples required to split an internal node and (iv) the
maximum number of features per tree.</t>
  </si>
  <si>
    <t xml:space="preserve">Our resultant dataset contains applications from two
sources: 9 applications from F-Droid repository and 9 applications pre-installed with Android OS. All the nine FDroid applications had over 10,000 downloads, and five of
them had more than 1 million downloads. There were 21 types of vulnerabilities existing across all of the applications
in the dataset. We compare the performance of our approach against the
following benchmarks:
Software metrics, Bag of Words and Deep Belief Networks. </t>
  </si>
  <si>
    <t>Precision, Recall, F1 Measure, &amp; AUC</t>
  </si>
  <si>
    <t>Security</t>
  </si>
  <si>
    <t>Lookup Tables</t>
  </si>
  <si>
    <t>NIPS</t>
  </si>
  <si>
    <t>Inputs into the program</t>
  </si>
  <si>
    <t>we generate random programs from the
DSL.
We generate valid inputs for the programs by bounding
their output value to our DSL’s predetermined range and then propagating these constraints backward
through the program.</t>
  </si>
  <si>
    <t>Our programs are represented by the Domain Specific Language (DSL) defined by [1].
The environment is the input to both networks f and g and is represented as a set of k state-vectors,
where k is the number of samples. Each state vector is represented by a fixed-length array of v
variables, which includes both generated variables and the program’s initial input, which is assumed
to contain at least one variable and up to n variables. If there are less than v variables, a special
NULL value appears in the missing values of the array.
Each variable is first represented as a fixed-length vector, similarly to what is done in [1]. The vector
contains two bits for a one-hot encoding of the type of the variable (number or list), an embedding
vector of size d = 20 to capture the numeric value of the number or the first element of the list, and
l − 1 additional cells of length d for the values of the other list elements. In our implementation,
following the DSL definition of [1], l = 20 is the maximal array size. Note that the embedding of a
number variable and a list of length one differs only in the one-hot type encoding.</t>
  </si>
  <si>
    <t>programs from lengths 1 to 8 statements</t>
  </si>
  <si>
    <t>roughly 250K programs</t>
  </si>
  <si>
    <t xml:space="preserve">For optimization, we use Adam [11] with a learning rate of 0.001 and batch size of 100
Cross entropy loss is used for all three tasks, where for variable-dropping multi-label binary cross
entropy is used. </t>
  </si>
  <si>
    <t>we learn networks for three
different classification tasks, out of which only the two matching functions f and g are used during
test time. Statement prediction: An approximation of f from the formulation in Sec. 2. Since we
limit the amount of variables in the program, there is a finite set of possible statements. The problem
is therefore cast as a multiclass classification problem. Variable dropping: An approximation of g
from the formulation. This head is a multi-label binary classifier that predicts for each variable in
the program whether it can be dropped. At test-time, when we run out of variables, we drop those
that were deemed most probable to be unnecessary by this head. Operator prediction: This head
predicts the function of the next statement, where a function is defined as the operator in combination
with the lambda function in case it expects one, but without the other operands.</t>
  </si>
  <si>
    <t>Accuracy &amp; CIDEr Score</t>
  </si>
  <si>
    <t>Program Synthesis</t>
  </si>
  <si>
    <t>One Hot</t>
  </si>
  <si>
    <t xml:space="preserve">Sequence of labels (context) of UI components to get to a certain text input value. </t>
  </si>
  <si>
    <t>Text Input Server which records user input upto encountering a text box that requires text input</t>
  </si>
  <si>
    <t>Used one hot encoding of the labels from vocab. Unseen labels are ran through word2vec trained on the Google News corpus to find the most similar label that is within vocab.</t>
  </si>
  <si>
    <t>14,061 words (labels)</t>
  </si>
  <si>
    <t>The google news corpus for training the word2vec model. Collected 200 applications for training and testing their approach from  open-sourced iOS apps from Github,.</t>
  </si>
  <si>
    <t>Screen Coverage</t>
  </si>
  <si>
    <t>Testing</t>
  </si>
  <si>
    <t>Vision &amp; Repo Metadata</t>
  </si>
  <si>
    <t>Learning Algorithm, Hyperparameters, &amp; Filtering Details</t>
  </si>
  <si>
    <t>diffs of commits</t>
  </si>
  <si>
    <t>First, we extracted the
first sentences from the commit messages. We used the first
sentences as the target sequences because the first sentences
often are the summaries of the entire commit messages.
Second, we removed issue ids
from the extracted sentences and removed commit ids from the
diffs, because issue ids and commit ids are unique ids and increase the vocabularies of the source and the target languages
dramatically, which in turn cause large memory use of NMT.
Third, we removed merge and rollback commits. We also removed
any diff that is larger than 1MB.
Finally, we tokenized the extracted sentences and the diffs by
white spaces and punctuations. We did not split CamelCase so
that identifiers (e.g., class names or method names) are treated
as individual words in this study</t>
  </si>
  <si>
    <t>One RNN is used to transform source language
sequences into vector representations. the size of
word embeddings 512</t>
  </si>
  <si>
    <t>For our source sequences (diffs), we set the maximum length at
100 tokens
For our target sequences (commits), we set the maximum length at 30
tokens (including words and punctuations),</t>
  </si>
  <si>
    <t>32k commits</t>
  </si>
  <si>
    <t>training goal is cross-entropy minimization with learning algorithm as stochastic gradient descent (SGD) with Adadelta, which automatically adapts the learning rate.</t>
  </si>
  <si>
    <t>diffs and human-written commit messages from the top 1k java Github projects from https://ieeexplore.ieee.org/document/7961530</t>
  </si>
  <si>
    <t>BLEU Score &amp; Likert Scale</t>
  </si>
  <si>
    <t>Repo Metadata &amp; Natural</t>
  </si>
  <si>
    <t>Hyperparameters &amp; No Repo</t>
  </si>
  <si>
    <t>ASTs</t>
  </si>
  <si>
    <t>Java Abstract Syntex Tree</t>
  </si>
  <si>
    <t>Token vectors by mapping into integers</t>
  </si>
  <si>
    <t>Sequences of tokens generated from the ASTs</t>
  </si>
  <si>
    <t>All datasets sum up 5219 files (or samples)
We select all Java open source projects
from PROMISE1 whose version numbers are provided. We
need the version numbers of each project because we need
to extract token vectors from ASTs of source code to feed
our DBN-based feature generation approach. In total, 10
Java projects are collected.</t>
  </si>
  <si>
    <t xml:space="preserve">
Stochastic Gradient Descent with maximum log likelihood</t>
  </si>
  <si>
    <t>Random Values</t>
  </si>
  <si>
    <t xml:space="preserve">ant (1.5, 1.6), camel (1.2, 1.4), jEdit (4.0,
4.1), lucene (2.0, 2.2), and poi (1.5, 2.5) </t>
  </si>
  <si>
    <t>Precision, Recall, &amp; F1 Measure</t>
  </si>
  <si>
    <t>Random Search</t>
  </si>
  <si>
    <t>Reliability/Defect Prediction</t>
  </si>
  <si>
    <t>both</t>
  </si>
  <si>
    <t>RBM</t>
  </si>
  <si>
    <t>Learning Algorithm &amp; Filtering Details</t>
  </si>
  <si>
    <t>Sentences from issue reports on GitHub</t>
  </si>
  <si>
    <t>We collected developer discussions from issue tracking
systems of four large-scale projects on GitHub, namely TensorFlow, Docker, Bootstrap, and VS Code. The first author first conducted a preliminary exploration
with 200 issue reports randomly selected from TensorFlow.
The purpose of this exploration is to investigate whether
Di Sorbo et al.’s taxonomy of intentions and their linguistic
patterns show promise to be effective for classifying sentences from developer discussions in issue tracking systems.  Then, we split the sampled paragraphs into
sentences with the Stanford CoreNLP toolkit [55]. Next, we
used regular expression to remove source code and stack
traces – since they do not contain user intentions. In this
way, we got 2,256 sentences in total. Note that our sentences
were sampled from the randomly selected 200 issue reports,
instead of directly sampling from all issue reports.</t>
  </si>
  <si>
    <t>Using word embedding, we represent a sentence by a
L × D matrix, where L represents the maximum length of
all sentences in the training dataset, and D represents the
dimension size of embedding space. If a sentence’s length l is less than L, we pad
the last L − l rows by zeros</t>
  </si>
  <si>
    <t>A single sentence within a developer discussion embedded into a vector comprised of word embeddings. Only take the first L words of the sentence if it is too large.</t>
  </si>
  <si>
    <t xml:space="preserve"> In total, we collected 5,408 sentences from 500
issue reports in these four projects</t>
  </si>
  <si>
    <t>By default, Kim’s
CNN set learning rate as 10 −4. Then we use the cross-entropy function to measure the loss
between the prediction result (i.e., the normalized vector
Y produced by the output layer) and the ground truth
(i.e., vector G).  In each iteration, the
network predicts the labels of sentences in training data,
and measures the loss between the prediction result and the
ground truth label of each sentence. Then, the network will
use backpropagation [66] to adjust the network parameters
(e.g., values in the matrix of each filter).</t>
  </si>
  <si>
    <t>we propose
an automatic hyperparameter tuning approach to search
and select the appropriate values of two most important
hyperparameters (i.e., dimension size of word embedding
and number of filters for convolution operation) in a greedy
way. Specifically, we first enumerate the dimension
size of word embedding from 64 to 320 with a step of
64, and train a CNN for each candidate dimension size.
Note that during the enumeration process, all the other
hyperparameters are set to their default values (i.e., the
same values as those appearing in the published source code
of Kim’s CNN implementation based on TensorFlow [68]).
Among all the candidate dimension sizes, we choose the one
whose corresponding CNN achieves the minimum average
loss on the training dataset. Similarly, we then enumerate
the number of filters from 64 to 320 with a step of 64, and
also choose the one whose corresponding CNN achieves
the minimum average loss. In this paper, we consider ten combinations of filter
heights, including (1,2,3), (2,3,4), (3,4,5), (4,5,6), (1,2,3,4),
(2,3,4,5), (3,4,5,6), (1,2,3,4,5), (2,3,4,5,6) and (1,2,3,4,5,6)</t>
  </si>
  <si>
    <t xml:space="preserve">we manually created a new dataset, categorizing 5,408 sentences from issue reports of four projects in GitHub.
Based on this manual effort, we refined the previous categories. We assess Di Sorbo et al.’s patterns on this dataset, finding that the
accuracy rate achieved is low (0.31). Compare their approach against other automated approaches such as Kim's CNN, NLP, SMO (SVM), LibSVM (SVM), NBM, RF, and kNN. They also used two hyperparameter tuning approaches for the traditional ML implementations. Mainly DE-SVM &amp; Auto-Weka. </t>
  </si>
  <si>
    <t>Precision, Recall, F1 Measure, &amp; Accuracy</t>
  </si>
  <si>
    <t>Custom</t>
  </si>
  <si>
    <t>non-Code Related &amp; Intention Mining</t>
  </si>
  <si>
    <t>android program behaviors and topics generated from the LDA algorithm.</t>
  </si>
  <si>
    <t>In addition to API methods in Σ, Salento also collects some semantic information about the state of the program when an API call
is made. This is done through the use of simple Boolean predicates
that capture, for example, constraints on the arguments of a call, or
record whether an exception was thrown by the call.
 During training, from each program Fi
in a corpus of programs F1, F2, . . . , we extract a set of features XFi
,and sample a set of behaviors from the distribution PFi (Y ), forming
the training data. From this data, we learn the joint distribution
P (X,Y,Z | M), where M represents the model parameters.</t>
  </si>
  <si>
    <t>750 Android apps both open and non open source</t>
  </si>
  <si>
    <t>Training is done using stochastic gradient descent, cross entropy</t>
  </si>
  <si>
    <t xml:space="preserve">three Android APIs:
alert dialogs (android.app.AlertDialog.Builder), bluetooth sockets (android.bluetooth.BluetoothSocket) and cryptographic ciphers (javax.crypto.Cipher). </t>
  </si>
  <si>
    <t>Hundreds</t>
  </si>
  <si>
    <t>Source Code &amp; LDA</t>
  </si>
  <si>
    <t>LDA</t>
  </si>
  <si>
    <t>Hyperparameters, Architecture, Preprocessing Details, Filtering Details, &amp; No Repo</t>
  </si>
  <si>
    <t>ICSME</t>
  </si>
  <si>
    <t>Two methods longer than 6 LOC (source code)</t>
  </si>
  <si>
    <t>uses ANTLR [14] and Eclipse ASTParser [15]
to parse each method for both usage and frequency of reserved
words, operators (e.g., “+”), literals, and other identifiers.  We created an ASTVisitor to visit all SimpleName
nodes, and to deduct the SimpleNames that are covered by
tokens belonging to any of above categories. CCLEARNER then organizes the tokens into eight categories
for each method pair, CCLEARNER
computes a similarity score between the token-frequency lists
of each token category, and then constructs an eight-value
similarity vector to characterize the method pair relationship.</t>
  </si>
  <si>
    <t>Similarity vector of 8 dims where each dim refers to a category between two methods.</t>
  </si>
  <si>
    <t>Two entire methods converted into an 8 dim vector for input.</t>
  </si>
  <si>
    <t>6 million tagged true clone pairs and 260 thousand tagged false clone pairs</t>
  </si>
  <si>
    <t xml:space="preserve">Toproperly configure these parameters, we have experimented
with different parameter values to investigate the best settings.
As shown in Table VIII, we tried different numbers of
hidden layers in CCLEARNER: 2, 4, 6, 8, and 10, setting
iter_num = 200 by default. We found that with 8 or 10
hidden layers, the weights or coefficients used in DNN were
not converging, and the trained models were unusable. When
layer_num = 2, CCLEARNER achieved the highest C score.
We also experimented with different numbers of iterations in CCLEARNER: 100, 200, 300, 400, and 500, with
layer_num = 2 by default. As shown in Table IX, when
iter_num = 300, CCLEARNER worked best. </t>
  </si>
  <si>
    <t>We evaluated CCLEARNER and three popular clone detection tools1 (Deckard [2], NiCad [3], and SourcererCC [5])
using BigCloneBench [7], an existing large benchmark of
clone data</t>
  </si>
  <si>
    <t>Millions</t>
  </si>
  <si>
    <t>Clone Detection</t>
  </si>
  <si>
    <t>Bug reports and source code files</t>
  </si>
  <si>
    <t xml:space="preserve">Given benchmarks </t>
  </si>
  <si>
    <t>To extract feature for the relevancy between a bug report and
a source file, we use DNN as follows. An DNN contains two
separate spaces to handle the features of different nature in the
bug reports (text tokens) and in the source files (e.g., identifiers,
APIs, comments). After being projected into the spaces with a
smaller number of dimensions, the projected features are fed
into two DNNs: (1) an DNN to learn the relations between bug
reports’ texts and the textual tokens in code (i.e., comments);
and (2) another DNN to learn between bug reports’ texts and
code tokens (i.e., identifiers, APIs).</t>
  </si>
  <si>
    <t>Not specified</t>
  </si>
  <si>
    <t xml:space="preserve">22747 bug reports and 26526 source files from 6 open source projects. </t>
  </si>
  <si>
    <t xml:space="preserve">Boltzmann machines have different learning algorithms. Authors did not specify any of them. </t>
  </si>
  <si>
    <t>X. Ye, R. Bunescu, and C. Liu. Learning to rank relevant files for bug reports using domain knowledge. In FSE’14, pp. 689–699. ACM, 2014</t>
  </si>
  <si>
    <t>MRR &amp; Precision</t>
  </si>
  <si>
    <t>Bug-Fixing &amp; Retrieval-Trace</t>
  </si>
  <si>
    <t>Source Code &amp; Bug Report</t>
  </si>
  <si>
    <t>Hyperparameters &amp; Filtering Details</t>
  </si>
  <si>
    <t>ICLR</t>
  </si>
  <si>
    <t>Mathmatical, symbolic equations. 17632 symbolic equations, 8902 of which are correct</t>
  </si>
  <si>
    <t>To generate a new identity, we select an equation at random from
the set of known equations, and make local changes to it. In order to do this, we first randomly select
a node in the expression tree, followed by randomly selecting one of the following actions to make
the local change to the equation at the selected node</t>
  </si>
  <si>
    <t>Create Symbolic expression tree of mathmatical equations, one hot encoding</t>
  </si>
  <si>
    <t xml:space="preserve"> We will also show that our expressions are of higher complexity
as we consider equalities of depth up to 4, resulting in trees of size at most 31.</t>
  </si>
  <si>
    <t>Our dataset consists of 17632 symbolic equations, 8902 of which are correct. This data includes
39 equations of depth 1, 2547 equations of depth 2, 12217 equations of depth 3 and 2836 equations
of depth 4</t>
  </si>
  <si>
    <t>Adam optimizer, Mean Squared Error</t>
  </si>
  <si>
    <t>We use L2-regularization as well as dropout to
avoid overfitting, and train all the models for 100 epochs. We have tuned for the hidden dimension
{10,20,50}, the optimizers {SGD, NAG (Nesterov accelerated SGD), RMSProp, Adam, AdaGrad,
AdaDelta, DCASGD, SGLD (Stochastic Gradient Riemannian Langevin Dynamics)}, dropout rate
{0.2,0.3}, learning rate {10−3
, 10−5}, regularization ratio {10−4
, 10−5} and momentum {0.2,0.7}.
Most of the networks achieved their best performance using Adam optimizer Kingma &amp; Ba (2014)
with a learning rate of 0.001 and a regularization ratio of 10−5
. Hidden dimension and dropout varies
under each of the scenarios.</t>
  </si>
  <si>
    <t>We compare our proposed model with chain-structured neural networks, such as
sequential Recurrent Neural Networks (RNN), LSTMS’s as well as tree-structured neural networks
(TreeNN’s) consisting of fully connected layers (Socher et al., 2011; Zaremba et al., 2014). Also compare with Majority Class, Sympy, RNN, LSTM, TreeNN, TreeLSTM.</t>
  </si>
  <si>
    <t>MSE</t>
  </si>
  <si>
    <t>Symbolic Equations</t>
  </si>
  <si>
    <t>ISSTA</t>
  </si>
  <si>
    <t>Hand written programs from 10K OpenCL kernels from open source repos on GitHub</t>
  </si>
  <si>
    <t>The data is extracted with a seed corpus of example programs. We automated the assembly
of this corpus by mining 10k OpenCL kernels from open source
repositories on GitHub.</t>
  </si>
  <si>
    <t xml:space="preserve">We extend the hybrid character/token-level encoding of [9],
in which a programming language’s keywords and common names
are treated as individual tokens while the rest of the text is encoded
on a character-level basis. This approach hits a balance between
compressing the input text and keeping the number of tokens in
the vocabulary low. First, each source file is preprocessed to expand macros and remove conditional compilation and
comments. Then, all user-declared identifiers are renamed using an
arbitrary, but consistent pattern based on their order of declaration: {a,b,c, . . . , aa, ab, ac, . . .} for variables and {A, B,C, . . . ,AA,AB,
AC, . . .} for functions. Finally, a uniform code
style is enforced to ensure consistent use of braces, parentheses,
and white space. </t>
  </si>
  <si>
    <t>Size of a python source file. The trained network is sampled to generate
new programs. The model is seeded with the start of a kernel
(identified in OpenCL using the keywords kernel void), and
sampled token-by-token</t>
  </si>
  <si>
    <t>g 10k OpenCL kernels from open source
repositories on GitHub. This corpus, exceeding one million lines of code, is used as a
representative sample of OpenCL code from which a generative
model can be derived</t>
  </si>
  <si>
    <t>The network is
trained using Stochastic Gradient Descent for 50 epochs, with an
initial learning rate of 0.002 and decaying by 5% every epoch</t>
  </si>
  <si>
    <t xml:space="preserve"> After initial experiments
using different model parameters, we found that a two layer LSTM
network of 512 nodes per layer provided a good trade-off between
the fidelity of the learned distribution and the size of the network,
which limits the rate of training and inference.</t>
  </si>
  <si>
    <t xml:space="preserve">We report on the results of DeepSmith testing of the 10 OpenCL
systems </t>
  </si>
  <si>
    <t>compiler robustness over time</t>
  </si>
  <si>
    <t>Manual</t>
  </si>
  <si>
    <t xml:space="preserve"> &lt;API sequence, annotation&gt;</t>
  </si>
  <si>
    <t>to predict
API sequences by considering the individual importance of
APIs using IDF
For extracting APIs, we
parse source code files into ASTs (Abstract Syntax Trees)
using Eclipse’s JDT compiler 
 We analyze all classes, recording field declarations
together with their type bindings. We replace all object
types with their real class types. Then, we extract API sequence from individual methods by traversing the AST of
the method body
To annotate the obtained API sequences with natural
language descriptions, we extract method-level code summaries, specifically, the first sentence of a documentation
comment2
for a method.</t>
  </si>
  <si>
    <t>7 million annotated code snippets</t>
  </si>
  <si>
    <t>negative log likelihood, sgd and adadelta</t>
  </si>
  <si>
    <t>We analyze two parameters,
that is, the dimension of word embedding and the number
of hidden units. We vary the values of these two parameters
and evaluate their impact on the BLEU scores.
The optimum number of hidden units
is around 1000.</t>
  </si>
  <si>
    <t xml:space="preserve">Dataset: GitHub projects
Benchmarks: Code
Search with Pattern Mining [24, 46] and SWIM </t>
  </si>
  <si>
    <t>natural language query and code snippet. Overall, CODEnn takes a ⟨code, description⟩ pair as input and
predicts their cosine similarity cos(c,d).</t>
  </si>
  <si>
    <t>We begin by collecting a large-scale corpus of code snippets,
i.e., Java methods with corresponding descriptions. We extract subelements (including method names, tokens, and API sequences)
from the methods. We build the training tuples using Java methods that have documentation comments
from open-source projects on GitHub [3]. For each Java method, we use the method declaration as the code
element and the first sentence of its documentation comment as its
natural language description.
For each Java method, we extract its
name and parse the name into a sequence of tokens according
to camel case 
parsing the AST using the Eclipse JDT compiler [2]
and traversing the AST
To collect tokens from a Java method, we tokenize the method body, split each token according to camel case [1],
and remove the duplicated tokens. We also remove stop words (such
as the and in) and Java keywords as they frequently occur in source
code and are not discriminative.
we use the Eclipse JDT compiler [2] to parse the AST from a Java
method and extract the JavaDoc Comment from the AST</t>
  </si>
  <si>
    <t>The embedding process takes 3 important pieces from source code: the method name, the api invocation sequence and the tokens of the source code. These are embedded individually and then combined into a single vector. The method name is embedded with a RNN with maxpooling and a tanh activation fucntion. These are embedded as a d-dimensional vecotr. API sequence is embedded in an identicle way. The tokens have no order and are embedded via a multilayer perceptron with a fully connected layer. Tokens are embedded and then embeddings combined to a method vector with a tanh activation function and max pooling. The 3 embeddings are concatenated and fused into one vecotr through a fully connected layer. Descriptions are embedded as a sequence of word embeddings with tanh activation and maxpooling.</t>
  </si>
  <si>
    <t>Size of an embedding for the method name, api sequence and method tokens compiled into one concatenated embedding. Then an embedding for the description of the code in Natural language.</t>
  </si>
  <si>
    <t>Finally, we obtain a corpus comprising 18,233,872 commented Java
methods</t>
  </si>
  <si>
    <t>The CODEnn model is trained via the mini-batch Adam algorithm [37, 40]. Uses the cosine similarity as the loss function.</t>
  </si>
  <si>
    <t>To evaluate the effectiveness of DeepCS, we perform code search
on a search codebase using 50 real-world queries obtained from
Stack Overflow. To construct the search codebase, we choose the Java projects
that have at least 20 stars in GitHub. Different from the training corpus, they are considered in isolation and contain all code (including
those do not have Javadoc comments). There are 9,950 projects in
total. We select all 16,262,602 methods from these projects. For each
Java method, we extract a ⟨method name, API sequence, tokens⟩
triple to generate its code vector.
CodeHow is a state-of-the-art code search engine proposed recently. It is an information retrieval based code search tool that
incorporates an extended Boolean model and API matching. Lucene is a popular, conventional text search engine behind
many existing code search tools such as Sourcerer [43]</t>
  </si>
  <si>
    <t>MRR, Precision, FRank, &amp; Success Rate</t>
  </si>
  <si>
    <t>Cosine Loss</t>
  </si>
  <si>
    <t>Retrieval-Trace</t>
  </si>
  <si>
    <t>Time measurements of the applications</t>
  </si>
  <si>
    <t>We
selected 6 Android applications from the GreenOracle dataset,
as listed in Table I (step 1). 
We needed to write only one test case for a particular
application, but could enlarge our training data by running
the same test case for the multiple versions (step 2). 
We only
chose a subset of the GreenOracle dataset because it was time
consuming to collect time series of the system call and procfs
features (step 3).
We tried to pick applications that used the
phone differently than one another to provide a representation
of different hardware usage per application
To measure energy consumption we wrote test runs which
simulate common use cases of the applications (step 2).
In our study we repeated test runs 20 times
each matching the methodology of other works 
The software features we
are interested in include: system calls, and device resource
utilization (step 3). Similar to the GreenOracle [10], we used
the strace program to collect all the system calls and retrieved
measurements from /proc/stat, /proc/pid/stat, and
/proc/pid/statm file systems to collect process related
information. However, in contrast to GreenOracle, all of our
features were collected periodically throughout the duration of
a software test run.
To measure resource usage for a given application over time,
we define a time step to be a period of 0.02 seconds. The
period of 0.02 is chosen because this is similar to the sampling
rate of the GreenMiner
For each period of 0.02 seconds, we count the number of each
system call that occurs in the time step, then we approximate
additional applications resource utilization from procfs such
as CPU load.
We also collect a power sample, which is a single watt
measurement for the period, that is paired with the softwarebehavior measurements. We convert the watt measurement to
energy usage using the the duration between two watt samples
which will be used as the dependent variable in our models.
We collect the measurements and energy usage periodically
throughout a software applications usage. We then synchronize
the data measurements with energy usage to create partitions,
or time steps, of the data for training as in Figure 2b.
This provides one time step for every 0.02 seconds, and the
corresponding energy measurements
We time align and bin our measurements
for training. The software and energy measurement tools in
our experiment are not aligned with respect to time (step 4).
Therefore, for the procfs and energy measurements that we
collect we apply linear interpolation to approximate measurements at fixed times. Fixed times allow us to partition our
time series measurements into time steps which can be used
by the model as inputs. The system call measurements which
we collect are counted for each of the fixed time periods to
create time steps. We collect every feature reported by strace and the selected procfs files.
We also take the difference of consecutive samples of procfs counter.
to avoid gradient problems in neural nets we use input normalization in the preprocessing step. We used the min-max scaling for each approximated procfs measurement, system call count, and appromiated energy values.</t>
  </si>
  <si>
    <t>6 Android applications (Each application had at least 30 unique
software revisions, except Dalvik Explorer which only
had 13 software revisions)</t>
  </si>
  <si>
    <t>we rely on stochastic
gradient descent. We also use the mean relative error as the loss function. This is calculated by checking if
the predicted total energy usage for an application is similar
to the observed total energy usage for the application.</t>
  </si>
  <si>
    <t>GreenOracle is a regression tool which can predict the total energy consumption of a software application test [10] and the applications were selected from this tool.</t>
  </si>
  <si>
    <t>Total Energy Consumption</t>
  </si>
  <si>
    <t>MRE</t>
  </si>
  <si>
    <t>Software Energy</t>
  </si>
  <si>
    <t>Source Code &amp; Time</t>
  </si>
  <si>
    <t>Time</t>
  </si>
  <si>
    <t>MTEF</t>
  </si>
  <si>
    <t>Hyperparameters, Preprocessing Details, Filtering Details, &amp; No Repo</t>
  </si>
  <si>
    <t>As input, the model takes a quintuple: The name of the method under investigation, the name of the enclosing class of the method, the name of the potential target class, the distance metric propsosed by Tsantalis and Chatzigeorgiou between the method and the enclosing class, and finally the distance between the method and the target class.</t>
  </si>
  <si>
    <t xml:space="preserve"> First, we
download well-known and high quality open-source applications.
Second, for each method m from such applications, we generate
a labeled training sample.
The generation of a positive or negative example is a 50-50 change. Negative examples involve chosing a random class and not moving the method, positive items move the target class using Eclipse APIs.</t>
  </si>
  <si>
    <t>To feed the identifiers described in nature languages into neural networks, we convert words in identifiers into fixed-length
numerical vectors. The conversion is accomplished by the wellknown word2vector (continuous skip gram) proposed by Mikolov
et al. [38, 39].</t>
  </si>
  <si>
    <t>Identifiers are converted to a fixed-length vector of 200 by word2vec.</t>
  </si>
  <si>
    <t>We evaluate the proposed approach on seven open-source applications: Junit, PMD, JExcelAPI, Areca, Freeplane, jEdit, Weka. Together they have 3918 classes and 44220 methods</t>
  </si>
  <si>
    <t xml:space="preserve">The model employs binary_crossentropy as the
loss function. </t>
  </si>
  <si>
    <t>Notable, we have experimentally tried to replace this CNN with other types of neural
network layers (e.g., dense layer), but we fail to improve the performance with the replacement (for space limitation, details are
presented at [32]).</t>
  </si>
  <si>
    <t>we compare the proposed approach against JDeodorant [57] and JMove [55].</t>
  </si>
  <si>
    <t>Binary Cross-entropy</t>
  </si>
  <si>
    <t>Code Smells</t>
  </si>
  <si>
    <t>Source code</t>
  </si>
  <si>
    <t>We used ANTLR
to tokenize the source code
we used the Eclipse Java development tools to build
the AST for each file in every system
To generate method-level
corpora, we used a MethodVisitor</t>
  </si>
  <si>
    <t>One hot encoding and AST</t>
  </si>
  <si>
    <t>FIle and method level</t>
  </si>
  <si>
    <t>398 file- and 480 method-level pairs across eight
real-world Java systems;</t>
  </si>
  <si>
    <t>backpropagation through structure algorithm and a standard optimization method.
We trained
each model for at least 30 epochs</t>
  </si>
  <si>
    <t xml:space="preserve">RNNLM Toolkit [80] to
train several RtNNs for each system, varying hidden layer
sizes and depths [84]. We selected the highest quality model
for each system, using perplexity [57] as a proxy for quality, </t>
  </si>
  <si>
    <t>Baseline/Benchmark: Deckard</t>
  </si>
  <si>
    <t>Precision &amp; Timing</t>
  </si>
  <si>
    <t>Source code Method and classes</t>
  </si>
  <si>
    <t>Download projects from Qualitas.class Corpus and 46 different apache libraries. Code was extracted by finding all .java files and extracting ASTs of files with the tree starting at the compilation unit.</t>
  </si>
  <si>
    <t>4 different code representations are learned AST, Idents, CFG, Bytecode. They all have their own extraction technique and are embedded by HOPE for CFG and by a Language model RNN into an embedding</t>
  </si>
  <si>
    <t>3 embeddings of 300 Tokens for AST, CFG and Bytecode, an embedding of size 4 for CFG.</t>
  </si>
  <si>
    <t>10 projects from  Qualitas.class Corpus dataset. Over 1M lines of code in total.</t>
  </si>
  <si>
    <t>Error calculated via reconstruction of recursive auto encoder, this is backpropegated through the network by computing partial derivates of the global error function.</t>
  </si>
  <si>
    <t>No Tuning. Rather bagging and decision tree learning is used. e, Random Forest averages the predictions by each decision tree, effectively reducing the overfitting on the training sets.</t>
  </si>
  <si>
    <t>This dataset comprising 10 compiled Java projects extracted from the Qualitas.class Corpus [68]. Also use 46 libraries from Apache which have already been compiled.</t>
  </si>
  <si>
    <t>Precision, Recall, F1 Measure, &amp; Spearmans Rank</t>
  </si>
  <si>
    <t>Source code from files from a non-typed language such as unannotated Typescript.</t>
  </si>
  <si>
    <t>We collected the 1,000 top starred open-source
projects on Github that predominantly consisted of TypeScript
code on February 28, 2018. Each project was parsed
with the TypeScript compiler tsc, which infers type information
(possibly any) for all occurrences of each identifier</t>
  </si>
  <si>
    <t>viewing the input program as a sequence of
tokens is a design decision that trades off the potential to use richer
structural information (such as ASTs, dependency graphs) for the
advantage of using well-understood models for sequence tagging
whose training scales well with a large amount of data.</t>
  </si>
  <si>
    <t>Project file that is less than 5K tokens.</t>
  </si>
  <si>
    <t>After these steps, our dataset contains 776 TypeScript
projects. 
Train 620 projects 49,850 files 17,955,121 tokens. Validation  78 projects 7,854 files 3,918,175 tokens. Test 78 projects 4,650 files  1,884,385 tokens</t>
  </si>
  <si>
    <t>the model’s accuracy is measured in terms of
the cross-entropy between its produced type vector and the true,
one-hot encoded type vector. We use an Adam optimizer [23]; we initialize
the learning rate to 10−3
and reduce it every other epoch until it
reaches 10−4 where it remains stable;</t>
  </si>
  <si>
    <t>We train the deep learner for 10 epochs with a minibatch size
of up to five thousand tokens, requiring ca. 4,100 minibatches per
epoch. We use a learning configuration that is typical for these
tasks in NLP settings and fine-tuned our hyper-parameters using
our validation data. We use an Adam optimizer [23]; we initialize
the learning rate to 10−3
and reduce it every other epoch until it
reaches 10−4 where it remains stable; we set momentum to 1/e
after the first 1,000 minibatches and clip total gradients per sample
to 15. Validation error is computed at every epoch and we select
the model when this error stabilizes; for both of our RNN models,
this occurred around epoch 5.</t>
  </si>
  <si>
    <t>TSC + CheckJS. In the second experiment, we compare our deep
learning models against those types that the TypeScript compiler
(tsc) could infer (after removing type annotations), when also
equipped with a static type-inference tool for JavaScript named
CheckJS. JSNice. In our final experiment, we compare the deep learner’s
performance with that of JSNice.
ALL identifier data (training): we create an aligned corpus between tokens and types, in which every occurrence
of every identifier has a type annotation from the compiler. 
) GOLD, annotation-only data (testing): we align only the
types that developers annotated with the declaration site
where the annotation was added. All other tokens are aligned
with a no-type</t>
  </si>
  <si>
    <t>Code Comprenhension</t>
  </si>
  <si>
    <t>Abstract</t>
  </si>
  <si>
    <t>Code, natural language software artifacts</t>
  </si>
  <si>
    <t>tokenization</t>
  </si>
  <si>
    <t>code token</t>
  </si>
  <si>
    <t xml:space="preserve">Corpus of Java Projects </t>
  </si>
  <si>
    <t>Model Perplexity</t>
  </si>
  <si>
    <t>Learning Algorithm, Hyperparameters, Preprocessing Details, Filtering Details, &amp; No Repo</t>
  </si>
  <si>
    <t xml:space="preserve">a target library
class from which they gather execution traces
</t>
  </si>
  <si>
    <t>Ourapproach takes as input a target class and signatures of methods. Then, DSM runs Randoop [42] to generate a substantial number of
test cases for the input target class. Then, we record the execution of these test cases, and retain traces of invocations of methods of
the input target class as the training dataset.</t>
  </si>
  <si>
    <t xml:space="preserve">Our set of collected execution traces is a series of method sequences. Each of
these sequences starts and ends with two special symbols: &lt;START&gt;
and &lt;END&gt;, respectively. These symbols are used for separating two
different sequences. We gather all sequences together to create data
for training Recurrent Neural Networks. </t>
  </si>
  <si>
    <t xml:space="preserve">Size of an execution trace which starts and ends with a designated symbol. </t>
  </si>
  <si>
    <t>We evaluate our proposed approach for 11 target library classes
which were used before to evaluate many prior work [24, 26].</t>
  </si>
  <si>
    <t>We
can note that DSMLSTM (our default configuration) and DSMGRU
outperform DSMRNN in terms of F-measure by 7.92% and 6.88%
respectively. DSMGRU performs almost equally as well as DSMLSTM.
No hyperparameter tuning found.</t>
  </si>
  <si>
    <t>We evaluate our proposed approach for 11 target library classes
which were used before to evaluate many prior work [24, 26].
our approach outperforms all
baselines that construct FSAs from execution traces (e.g., k-tails [7],
SEKT [24], TEMI [24], etc.) by at least 28.22%</t>
  </si>
  <si>
    <t>Execution Traces</t>
  </si>
  <si>
    <t>Execution Trace</t>
  </si>
  <si>
    <t>Input-ouput examples generated by a program</t>
  </si>
  <si>
    <t>Generative Dataset from Probabilistic Machines</t>
  </si>
  <si>
    <t>One-hot-encoding</t>
  </si>
  <si>
    <t>Program states (integers)</t>
  </si>
  <si>
    <t>1280 programs</t>
  </si>
  <si>
    <t>Negative Cross Entropy Loss; gradient based optimization</t>
  </si>
  <si>
    <t>Hyperparameters are mentioned but no indication on how the optimal values were found.</t>
  </si>
  <si>
    <t>Datasets are generated</t>
  </si>
  <si>
    <t>Timing</t>
  </si>
  <si>
    <t>perceptual programming by example (PPBE) tasks as images</t>
  </si>
  <si>
    <t>Use net_0 and net_1 described in DL Architecture to embed inputs</t>
  </si>
  <si>
    <t>A a 2 by 2 grid of 28 by 28 matrix.</t>
  </si>
  <si>
    <t>1k distinct 2 by 2 PPBEs</t>
  </si>
  <si>
    <t>No Learning Algorithm Stated
One restriction that we impose is that when a new task is
presented, no more than one new untrained network can
be introduced into the library (i.e. in our experiments the
very first task has access to only net 0, and all other tasks
have access to both nets). This restriction is imposed because if a differentiable program tries to make a call to one
of N untrained networks based on an unknown parameter
net choice = Param(N), then the system effectively
sees the N nets together with the net choice parameter
as one large untrained network, which cannot usefully be
split apart into the N components after training.
we have a separate learning rate for the perceptual
networks in both the MTNN baseline and NTPT which is
100 fold smaller than the learning rate for the task-specific
parts.</t>
  </si>
  <si>
    <t>MNIST digit
To evaluate the merits of including the source code structure in NTPT models, we build baselines that replace the
differentiable program interpreter with neural networks,
thereby creating purely neural solutions to the lifelong
PPBE tasks</t>
  </si>
  <si>
    <t>PPBE</t>
  </si>
  <si>
    <t>Hyperparameters, Extraction Details, Filtering Details, &amp; No Repo</t>
  </si>
  <si>
    <t>normal
certificates as input</t>
  </si>
  <si>
    <t>We refer to the feature extraction scheme of
Dong et al. [16] and design a more accurate extraction scheme. We extract the relevant features from the version, issuer, subject,
notafter, notbefore, public key length, signature algorithm, and
extensions of the certificate.
With ZMap, we obtained 300,000
IP addresses that open the 443 port. Then, using OpenSSL
s client to connect to these IPs, we collected 181,900 certificate samples.</t>
  </si>
  <si>
    <t xml:space="preserve"> A total of 101 numbers are used
as the feature of a certificate, as the format of {2, 0, 1, 2, 1,
-1, 1, 0, 0, 0, 0, 0, 0, 0, 0, 0, 0, 0, . . . }</t>
  </si>
  <si>
    <t>A 101 numbered vector from a single certificate</t>
  </si>
  <si>
    <t>we
obtained 84,661 discrepancy-triggering certificates from
181,900 certificate seeds</t>
  </si>
  <si>
    <t>Based on the classic definition of Mnih et al. [24], the loss
function in DRLGENCERT is defined as Equation 1, in which:
• reward: After cert being changed to cert
, reward is
gotten from differential testing.
• max(network(cert)): Using a cert as input, it is the max
value in output.
• max(network(cert
)): Using cert as input, it is the max
value in output.
• γ : It is a constant, between 0 and 1. We set it to 0.9 in
our experiment.
Q-Learning Algorithm with policy based reward.</t>
  </si>
  <si>
    <t>Based on the classic definition of Mnih et al. [24], the loss
function in DRLGENCERT is defined as Equation 1, in which:
• reward: After cert being changed to cert
, reward is
gotten from differential testing.
• max(network(cert)): Using a cert as input, it is the max
value in output.
• max(network(cert
)): Using cert as input, it is the max
value in output.
• γ : It is a constant, between 0 and 1. We set it to 0.9 in
our experiment.
No tuning found.</t>
  </si>
  <si>
    <t>In our research, we implemented DRLGENCERT and carried out a series of real-world experiments based on six
popular SSL/TLS implementations, including GnuTLS [1],
MatrixSSL [3], mbedTLS [4], NSS [5], OpenSSL [6], and
wolfSSL [7].</t>
  </si>
  <si>
    <t>Discrepancy Proportion</t>
  </si>
  <si>
    <t>Reward Policy</t>
  </si>
  <si>
    <t>Custom Loss</t>
  </si>
  <si>
    <t>Certificates</t>
  </si>
  <si>
    <t>DRL</t>
  </si>
  <si>
    <t>DSM accepts as
input a set of execution traces which are sequences of methods. The output
of DSM is a finite-state automaton (FSA) that reflects interactions
between program methods in the input sequences.</t>
  </si>
  <si>
    <t>DSM is a command-line application that allows users to input
the path of data folder (i.e., “--data_dir”) where execution traces
are stored in “input.txt” file in the folder. DSM accepts traces
that contains sequences of methods; Basically its all on the user.
These sequences can be collected from execution of software systems that are known to utilize the target API libraries or APIs.
Additionally, test case generation tools (e.g., Randoop [14], etc.) can
also be used to generate a richer set of test cases that capture many
behaviors of the target libraries/APIs.
Users can run the following simple command to mine FSAs:
python3 DSM . py -- data_dir [ data folder ]</t>
  </si>
  <si>
    <t xml:space="preserve">DSM constructs a Prefix Tree Acceptor (PTA)
from method sequences of the sampled execution traces. A PTA is
a tree-like deterministic finite automaton (DFA) created by putting
all the prefixes of sequences as states, and a PTA only accepts the
sequences that it is built from. Next, DSM extracts two different types of features based on
PTA. Type I: This type of features captures information of previously
invoked methods before the state S is reached. The values of
type I features for state S is the occurrences of methods on
the path between the starting state (i.e., the root of the PTA)
and S. Type II: This type of features captures the likely methods to
be immediately called after a state is reached. Values of these
features are computed by the inferred RNNLM in the deep
learning step. </t>
  </si>
  <si>
    <t>Size of the prefix tree acceptor and execution traces.</t>
  </si>
  <si>
    <t>Target Library Class: # Class Methods: # Generated Test Cases: # Recorded Method Calls
ArrayList 18 42,865 22,996
HashMap 11 53,396 67,942
Hashtable 8 79,403 89,811
HashSet 8 23,181 257,428
LinkedList 7 13,731 4,847
NFST 5 15,8998 95,149
Signature 5 79,096 205,386
Socket 21 80,035 130,876
StringTokenizer 5 148,649 336,924
StackAr 7 549,648 13,2826
ZipOutputStream 5 162,971 43,626</t>
  </si>
  <si>
    <t xml:space="preserve">Up to the user :
--rnn_size Number of RNN states in each hidden layer
--num_layers Number of hidden layers
--model RNN type (i.e., RNN, LSTM, GRU)
--batch_size Minibatch size
--seq_length RNN sequence length
--num_epochs Number of epochs
--min_cluster Minimum number of clustering settings
--max_cluster Maximum number of clustering settings
--max_cpu Maximum number of CPUs can be used
</t>
  </si>
  <si>
    <t xml:space="preserve">In our experiments, we select 11 target library classes as the
benchmark to evaluate the effectiveness of our proposed approach.
</t>
  </si>
  <si>
    <t>Prefix Tree</t>
  </si>
  <si>
    <t>Bug reports</t>
  </si>
  <si>
    <t>Textual components of a bug report (summary and description) were combined as a single document and a word embedding model of dimensions ‘D’ is trained on these documents. Using the trained word embedding model, each bug report is converted to a vector of dimensions ‘D’ by averaging the word vectors contained in the reports.</t>
  </si>
  <si>
    <t>For each pair of bug reports, bi and bj , their corresponding
vectors, xi and xj are concatenated together to create a feature
vector of size ‘D + D = 2D’ for training of a classification deep
neural network</t>
  </si>
  <si>
    <t>Mozilla
Project’s dataset has over 700000 reports out of which there are
over 140000 duplicate bug report pairs. Open Office Project has over
100000 bug reports with over 19000 tagged duplicate bug report
pairs</t>
  </si>
  <si>
    <t>Using the joint bug
report vectors created in step (ii), a deep neural network is
trained by means of stochastic gradient descent</t>
  </si>
  <si>
    <t>For the word embedding approach, we
used the Skipgram model since, it was used in [8] with the optimized
size of dimensions as 300 and we observed the best results for deep
neural network with 2 hidden layers and a batch size of 29 (512). Tuned but not explained how.</t>
  </si>
  <si>
    <t>We have used the Mozilla Project’s and Open Office Project’s
duplicate bug report datasets generated by Lazar et al. We compare BM25F [9] as an information retrieval baseline, LDA
[1] as a topic modelling baseline, the approach proposed by Yang
et al. in [8] which also uses word embeddings, and the approach
proposed in [7] which embeds bug reports into character level ngrams.</t>
  </si>
  <si>
    <t>Unknown Method</t>
  </si>
  <si>
    <t>Unknown</t>
  </si>
  <si>
    <t>Extraction Details, Filtering Details, &amp; No Repo</t>
  </si>
  <si>
    <t>program execution traces</t>
  </si>
  <si>
    <t>In order to have sufficient data for training our models to predict the error patterns, we (1) convert
each incorrect program into multiple programs such that each new program will have only one
error, and (2) mutate all the correct programs to generate synthetic incorrect programs such that they
exhibit similar errors that students made in real program submissions.</t>
  </si>
  <si>
    <t xml:space="preserve">For one model:
Variable Trace Embedding
The entire variable trace consists of those variable values at all program
points. As a subsequent step, we split the complete trace into a list of sub-traces (one for each
variable)
For another model:
State Trace Embedding
we
propose the state trace embedding. As depicted in Table 1, each program point l introduces a new
program state expressed by the latest variable valuations at l. The entire state trace is a sequence of
program states.
For another model:
Dependency Enforcement for Variable Trace Embedding
we propose the third and final approach, dependency enforcement for variable trace embedding (hereinafter referred as dependency enforcement
embedding), that combines the advantages of variable trace embedding (i.e., compact representation
of execution traces) and state trace embedding (i.e., precise capturing of program dependencies). In
dependency enforcement embedding, a program is represented by separate variable traces, with each
variable being handled by a different RNN. </t>
  </si>
  <si>
    <t>Method size</t>
  </si>
  <si>
    <t>roughly 200k</t>
  </si>
  <si>
    <t xml:space="preserve">All networks are trained using
the Adam optimizer (Kingma &amp; Ba, 2014) with the learning and the decay rates set to their default
values (learning rate = 0.0001, beta1 = 0.9, beta2 = 0.999) and a mini-batch size of 500. </t>
  </si>
  <si>
    <t xml:space="preserve">m Assignment 2 from Microsoft-DEV204.1X: “Introduction to
C#” offered on edx and two other problems on Microsoft CodeHunt platform.
• Print Chessboard: Print the chessboard pattern using “X” and “O”
to represent the squares as shown in Figure 6.
• Count Parentheses: Count the depth of nesting parentheses in a
given string.
• Generate Binary Digits: Generate the string of binary digits for a
given integer.
</t>
  </si>
  <si>
    <t>Accuracy &amp; Tries till adequate output</t>
  </si>
  <si>
    <t>Hyperparameters, Filtering Details, &amp; No Repo</t>
  </si>
  <si>
    <t>Source code, natural language queries for features</t>
  </si>
  <si>
    <t xml:space="preserve">All Java methods were extracted </t>
  </si>
  <si>
    <t>To build our corpora, we extract the documents representing methods from every Java file in the snapshot. The text of an inner method (e.g., a method inside an anonymous class) is only attributed to that method, and not the containing one. Comments, literals, and identifiers within a method are considered as text of the method. Block comments immediately preceding an method are also included in this text.
After extracting documents and tokenizing, we split the tokens based on camel case, underscores, and non-letters. We only keep the split tokens; original tokens are discarded. We normalize to lower case before filtering non-letters, English stop words [13], Java keywords, and words shorter than three characters long. We do not stem words. Here, we must be careful to not lose ordering of the words, as this is crucial for the deep learning approach.</t>
  </si>
  <si>
    <t>This paper uses doc2vec, therefore a single data point is conisdered a single token of code and its surrounding context</t>
  </si>
  <si>
    <t>6 software systems that contain 633 queries for method-level features, complete with a ground truth</t>
  </si>
  <si>
    <t>The systems are
trained using backpropagation and gradient descent, techniques
common to many neural network based models</t>
  </si>
  <si>
    <t>6 java projects with 633 feature location queires at the method level with a ground truth</t>
  </si>
  <si>
    <t>Feature Location</t>
  </si>
  <si>
    <t>UI design image. Our neural machine translator takes as input only a raw UI image,
requiring no detailed annotations of the structure and positions
of visual elements.</t>
  </si>
  <si>
    <t xml:space="preserve">Android UI data collector used on android applications </t>
  </si>
  <si>
    <t>The RNN encoder then encodes the spatial
layout information of these image features to a summary vector
C, which is then used by the RNN decoder to generate the GUI
skeleton in token sequence representation.
The input to a RNN is a sequence of vectors (e.g., words in a
sentence in the application of RNNs to Natural Language Processing
tasks). To apply the RNN model in our task, we convert the feature
map FM ∈ RWHD outputted by the vision CNN into a sequence of
D-dimensional feature vectors (D is the depth of the feature vector).</t>
  </si>
  <si>
    <t>Size of a single image, size not expicitly said.</t>
  </si>
  <si>
    <t xml:space="preserve">We implement an Android UI data collector [52, 53] and use it to
automatically collect 185,277 pairs of UI images and GUI skeletons
from 5043 Android apps. Stoat collected totally 185,277 pairs of UI images and GUI skeletons (on average about 36.7 pairs per app)1. </t>
  </si>
  <si>
    <t>Although our neural machine translator is composed of three neural
networks (a vision CNN, a spatial layout RNN encoder, and a GUI
skeleton generation RNN decoder), these networks can be jointly
trained end-to-end with one loss function. At training time, we optimize the sum of log probabilities over
the whole training set using stochastic gradient descent [11]. 
RNN
encoder and decoder backpropagates error differentials to its input, i.e., the CNN, allowing us to jointly learn the neural network
parameters to minimize the error rate in a unified framework.</t>
  </si>
  <si>
    <t>fine-tune model hyperparameters (the number of
CNN layers, the number of Conv layer filers and the number of RNN
hidden states) using another randomly selected 3% of Android UI
dataset. Tuned but not indication on how.</t>
  </si>
  <si>
    <t xml:space="preserve">Stoat collected totally 185,277 pairs of UI images and GUI skeletons (on average about 36.7 pairs per app)1. </t>
  </si>
  <si>
    <t>BLEU Score &amp; Accuracy</t>
  </si>
  <si>
    <t>the change history (denoted as a sequence of changes
S=⟨c0, c1, ..., cn⟩) of a source file</t>
  </si>
  <si>
    <t xml:space="preserve"> first conducts change analysis for each of
the changes, and then extracts sequences from the analysis
based on a pre-defined property set of the changes. Given a specific version of a project, for each source file m,
we extract a sequence of changes that modify m from the
prior version to the given version. We then conduct change
analysis to obtain the meta and semantic information for
each change in the extracted change sequence for each m. Specifically, we extract
five different kinds of meta information: authorship, change
type, change interval, code churn and co-change.</t>
  </si>
  <si>
    <t>In summary, given a source file p and its change sequence S, we extract six sequences, which are different
types and are denoted as Ssem, Sau, Stype, Sinter, Scc and
Sco. All these six sequences have the same length n, which
is the number of changes made to p. Specifically, we create a sequence X = ⟨X0, X1, ..., Xn⟩
for each of the source file, in which Xi
is a vector encoding a set of properties by concatenating all the elements from the six types of extracted sequences.</t>
  </si>
  <si>
    <t>six sequences, which are different
types and are denoted as Ssem, Sau, Stype, Sinter, Scc and
Sco. All these six sequences have the same length n, which
is the number of changes made to p.</t>
  </si>
  <si>
    <t>The benchmark contains all
the Java open source projects whose version numbers are
provided (10 projects with 28 versions) from the PROMISE
data repository [40].</t>
  </si>
  <si>
    <t>We build our LSTM model based on the well-known
framework-tensorflow [55] with the structure of BasicLSTMCell and the learning algorithm of AdamOptimizer.</t>
  </si>
  <si>
    <t>Three major parameters, i.e., learning rate, hidden units and iterations,
are needed to be set. To tune these parameters, we use 3
experiment sets, camel (1.2_x0001_1.4), poi (2.5_x0001_3.0) and log4j
(1.1_x0001_1.2) since these projects represents the large, median
and small sizes of the total subjects in terms of the number of
source files. For the learning rate, we select
5 values: 0.001, 0.005, 0.01, 0.05 and 0.1. We try different number of hidden units including 8, 16, 64, 128, 256, 512 and
1024. The number of iterations in our study represents how
many times we go through all the instances for the training
set during learning, and we experiment values varying from
10 to 160. These three parameters are trained together and
we find that the model can achieve the best performance
with an aggressive learning rate of 0.1 and the number
of hidden unit of 128. As for the number of iterations,
the training accuracy increases slowly when it reaches 80.</t>
  </si>
  <si>
    <t xml:space="preserve"> Java open source projects whose version numbers are
provided (10 projects with 28 versions) from the PROMISE
data repository [40]. 
we first
compare our approach with the models built on different
sets of process metrics, which cover the main categories
summarized in Section 2.2. The first feature set is proposed
by Rahman et al. [12], which covers a set of 14 process
metrics. The second feature set
is proposed by Moser et al. [9], which includes 17 process
metrics extracted from change histories.  The
third feature set is SCC [17]. It mainly focuses on the semantic
types of software changes. we also
compare our approach with the models built on static code
metrics. We select the CK metrics set [13], which contains
20 features including lines of code, operand and operator
counts, number of methods in a class, the position of a class
in inheritance tree, and McCabe complexity measures [42],
and so on. We also compare with the state-ofthe-art work, which also leverages deep learning techniques
to Automatically learn Semantic Features from static code
[37], and we denote it as ASF in this work. ASF works
towards different directions compared with our approach
since our approach is to encode features automatically from
change histories instead of static code.
Logistic Regression (LR), Naive Bayes (NB), ADTree (ADT)
and RandomForest (RF). 
</t>
  </si>
  <si>
    <t>Precision, Recall, F1 Measure, ROC, AUC, &amp; Solved Tasks</t>
  </si>
  <si>
    <t>CSSI</t>
  </si>
  <si>
    <t>Images of math equations.</t>
  </si>
  <si>
    <t>CNN extraction of features from an image of math problem.</t>
  </si>
  <si>
    <t>We extract formulas from the LaTeX sources with regular
expressions</t>
  </si>
  <si>
    <t>images of resolution 1654 × 2339</t>
  </si>
  <si>
    <t>103,556
different LaTeX math equations along with rendered pictures</t>
  </si>
  <si>
    <t>we backpropagate a gradient
of the form rt ·∂ log p(z0t ;θ) / ∂θ . This gives us an unbiased estimate of the loss function gradient.
Uses log likelihood</t>
  </si>
  <si>
    <t>we also construct a
new public dataset, IM2LATEX-100K
Detexify’s training
data for handwrittten equations. (http://detexify.kirelabs.org/classify.html)
We also compare the proposed model against commercial, OCR-based mathematical expression recognition system InftyReader
For neural models, a natural comparison is to standard image captioning approaches (Xu et al., 2015), and CTCbased approaches (Shi et al., 2016).
we run additional experiments comparing our approach to other models for handwritten mathematical expressions on the CROHME 2013 and 2014 shared tasks</t>
  </si>
  <si>
    <t>Code snippet</t>
  </si>
  <si>
    <t>Use of a previous dataset which already performed the extraction. To convert code into sequential
text, we tokenize the code by {. , ” ’ : ; ) ( ! (space)}, which
has been used in [8]. We tokenize the comment by {(space)}.</t>
  </si>
  <si>
    <t xml:space="preserve">ASTs are encoded and embedded using LSTM and a RNN to embed the sequential representation of source code tokens. ASTs are transformed into binary trees in two steps: a) Split nodes with more than
2 children, generate a new right child together with the old
left child as its children, and then put all children except the
leftmost as the children of this new node. Repeat this operation
in a top-down way until only nodes with 0, 1, 2 children left;
b) Combine nodes with 1 child with its child. we parse Python code into
abstract syntax trees via ast2
lib.  </t>
  </si>
  <si>
    <t>512 with a word embedding size of 512.  find that the lengths of
most code snippets are located between 20 to 60. notice that the length of nearly all
the comments are between 5 to 15.</t>
  </si>
  <si>
    <t>108726 code-comment pairs from a previous dataset. The vocabulary is 50400 for code and 31350 for comment words.</t>
  </si>
  <si>
    <t>We employ stochastic gradient descend with the diagonal
variant of AdaGrad [31] to optimize the parameters of our
framework.   the critic network tries to minimize the
following loss function, where mean square error is used. We use the policy gradient method to optimize policy directly,
which is widely used in reinforcement learning.</t>
  </si>
  <si>
    <t>The hidden size of the encoder and decoder LSTM networks
are both set to be 512, and the word embedding size is set to be
512. The mini-batch size is set to be 64, while the learning rate
is set to be 0.001. We pretrain both actor network and critic
network with 10 epochs each, and train the actor-critic network
simultaneously 10 epoches. We record the perplexity3
/reward
every 50 iterations.</t>
  </si>
  <si>
    <t>Compared against Seq2Seq, Seq2Seq+Attn, Tree2Seq, Tree2Seq+Attn, Hybrid2seq(+Attn+DRL) (main approach)</t>
  </si>
  <si>
    <t>BLEU Score, METEOR Score, Rouge-L, &amp; CIDER</t>
  </si>
  <si>
    <t>First model: Input and output pairs into the program
Second model: Execution traces</t>
  </si>
  <si>
    <t>To encode the input/output
examples, we use a convolutional neural network with a final fully-connected layer, taken from Bunel
et al. [2018]</t>
  </si>
  <si>
    <t>Roughly 1M programs with 6 input/output pairs each</t>
  </si>
  <si>
    <t>SGD with gradient clipping, maximize log likelihood</t>
  </si>
  <si>
    <t>we used the same dataset as Bunel et al. [2018], from https://bit.
ly/karel-dataset</t>
  </si>
  <si>
    <t>Accuracy, Top K Generalization, &amp; Top K Model-Guided Search Accuracy</t>
  </si>
  <si>
    <t>I/O Vectors</t>
  </si>
  <si>
    <t xml:space="preserve">recipes </t>
  </si>
  <si>
    <t>A benchmark Crawler for recipes</t>
  </si>
  <si>
    <t>One-hot vector and a bi-directional LSTM (BDL-STM)</t>
  </si>
  <si>
    <t>Descriptions</t>
  </si>
  <si>
    <t>We crawled all remaining recipes, ultimately obtaining 68,083
recipes for the training set. [16] also provides a list of 5,171 recipes for validation, and 4,294 recipes
for test.</t>
  </si>
  <si>
    <t>Adam optimizer, SGD, no loss function stated.</t>
  </si>
  <si>
    <t>Gradients with L2 norm greater
than 5 were scaled down to have norm 5. For architectures with either standard attention mechanism
or Latent Attention, they were trained using a learning rate of 0.001 without decay, and gradients
with L2 norm greater than 40 were scaled down to have norm 40. All models were trained using
Adam [11]. All weights were initialized uniformly randomly in [−0.1, 0.1]. Mini-batches were
randomly shuffled during training. The mini-batch size is 32 and the embedding vector size d is 50</t>
  </si>
  <si>
    <t xml:space="preserve">Benchmark from Quirk at al. </t>
  </si>
  <si>
    <t>PDF objects (text data)</t>
  </si>
  <si>
    <t xml:space="preserve">These 534 files
themselves were provided to us by the Windows fuzzing team
and had been used for prior extended fuzzing of the Edge
PDF parser. This set of 534 files was itself the result of seed
minimization, that is, the process of computing a subset of a
larger set of input files which provides the same instruction
coverage as the larger set. </t>
  </si>
  <si>
    <t xml:space="preserve"> we first concatenate all the object files si
into a single file resulting in a large sequence of characters
s˜ = s1 + · · · + sn. We then split the sequence into multiple
training sequences of a fixed size d (set to d = 100 for our
experiments), such that the i
th training instance ti = ˜s[i ∗
d : (i + 1) ∗ d], where s[k : l] denotes the subsequence of s
between indices k and l</t>
  </si>
  <si>
    <t xml:space="preserve"> fixed size d (set to d = 100 for our
experiments) of characters</t>
  </si>
  <si>
    <t xml:space="preserve"> 63,000 non-binary PDF objects out of
a diverse set of 534 (well-formed) PDF files</t>
  </si>
  <si>
    <t>We report
here results of experiments obtained after training the RNN
for 10, 20, 30, 40, and 50 epochs, respectivel</t>
  </si>
  <si>
    <t>534 files
themselves were provided to us by the Windows fuzzing team
and had been used for prior extended fuzzing of the Edge
PDF parser
Benchmark: we measured their coverage of the Edge
PDF parser, to be used as a baseline for later experiments.</t>
  </si>
  <si>
    <t>Coverage of Edges</t>
  </si>
  <si>
    <t>CFGLA</t>
  </si>
  <si>
    <t>Natural</t>
  </si>
  <si>
    <t>PDF Vector</t>
  </si>
  <si>
    <t>Learning Algorithm &amp; No Repo</t>
  </si>
  <si>
    <t xml:space="preserve">Stack Overflow duplicate questions and their corresponding translations </t>
  </si>
  <si>
    <t>Stack-overflow</t>
  </si>
  <si>
    <t>Skip-gram</t>
  </si>
  <si>
    <t>0.3 million duplicate questions from the data dump</t>
  </si>
  <si>
    <t>Gradient decsent, adam optimizer, Mean squared error loss function.</t>
  </si>
  <si>
    <t>Window sizes=1,3,5. The number of filters is 32. Cosine Loss. Regularization with l2 norm. It was applied a hyperparameter optimization on the dimensionality of word embeddings (25, 50 , 100, 200 and 400)</t>
  </si>
  <si>
    <t xml:space="preserve">Stack overflow data dump fo January 2016. </t>
  </si>
  <si>
    <t>Forum Analysis</t>
  </si>
  <si>
    <t>input/outputs pairs and (program, task) pairs</t>
  </si>
  <si>
    <t>: Initial DSL D, set of tasks X, iterations I</t>
  </si>
  <si>
    <t>List Processing: 236 human-interpretable list
manipulation tasks, each with 15 input/output examples 
Text Editing: 217 text editing tasks
Symbolic Regression: 100 symbolic regression problems</t>
  </si>
  <si>
    <t xml:space="preserve">minimizing the expected KLdivergence,
gradient descent </t>
  </si>
  <si>
    <t>Timing &amp; Solved Tasks</t>
  </si>
  <si>
    <t>Hyperparameters, Implementation, Preprocessing Details, Filtering Details, &amp; No Repo</t>
  </si>
  <si>
    <t>source code</t>
  </si>
  <si>
    <t>we first convert a given program into static single assignment (SSA) form [22], and
construct a control flow graph, each of whose nodes represents a single program statement. We then
transform each node into an abstract syntax tree (AST) representing the corresponding statement.</t>
  </si>
  <si>
    <t>Each program consists of three parts: a number of assumption or assignment
statements, one loop which contains nested if-else statements with arithmetic operations, and one
assertion statement</t>
  </si>
  <si>
    <t>133 programs</t>
  </si>
  <si>
    <t xml:space="preserve"> a fine-grained reward is also designed for each step. In the last step, a continuous feedback
is provided based on the counterexamples collected by the agent itself.
We use advantage actor critic (A2C) to train the above reinforcement learning policy
 our objective is to maximize the expected policy reward:</t>
  </si>
  <si>
    <t>By default, the embedding size used throughout the paper is 128. Batch size is set to 10. To compute the
graph structured external memory representation, we run the message passing operator (as described in
Equation (1)) for 20 steps. Learning rate is set to 0:001 and fixed.
No tuning mechanism given.</t>
  </si>
  <si>
    <t>benchmark programs from recent works [3, 7, 8] and the 2017
SyGuS competition [31]</t>
  </si>
  <si>
    <t>Solved Tasks</t>
  </si>
  <si>
    <t>Actor Critic</t>
  </si>
  <si>
    <t>reinforcement</t>
  </si>
  <si>
    <t>GNN</t>
  </si>
  <si>
    <t>Extraction Details &amp; Filtering Details</t>
  </si>
  <si>
    <t>Student written program.</t>
  </si>
  <si>
    <t>To gather data, we exploit the fact that programs are executable — that we can evaluate any piece of code on an arbitrary input (i.e., the precondition), and observe the state
after, (the postcondition). For a program and its constituent
parts we can thus collect arbitrarily many such precondition/postcondition mappings. This data provides the training set from which we can learn a shared representation
for programs.
For a given program S we extract Hoare triples by executing it on an exemplar set of unit tests. These tests span
a variety of reasonable starting conditions. We instrument
the execution of the program such that each time a subtree
A ⊂ S is executed, we record the value, P, of all variables
before execution, and the value, Q, of all variables after execution and save the triple (P, A, Q). We run all programs
on unit tests, collecting triples for all subtrees. Doing so
results in a large dataset {(Pi, Ai, Qi)} n i=1 from which we
collapse equivalent triples.</t>
  </si>
  <si>
    <t>The
main approach that we espouse in this paper is to simultaneously find an embedding of states and programs into
feature space where pre and postconditions are points in
this space and programs are mappings between them. This is known as Hoare Triples which contain the preconditions (P), the features (A) that are useful for predicting the post conditions (Q)</t>
  </si>
  <si>
    <t xml:space="preserve">(P, A, Q)-triples — so-called Hoare triples (Hoare, 1969) </t>
  </si>
  <si>
    <t xml:space="preserve"> We use real student data from the Code.org Hour of Code which has been
attempted by over 27 million learners making it, to the best
of our knowledge, the largest online course to-date.</t>
  </si>
  <si>
    <t>We run joint optimization using minibatch stochastic gradient descent without momentum, using ordinary backpropagation to calculate the gradient. Use Cross entropy loss and adagrad.</t>
  </si>
  <si>
    <t>We use random
search (Bergstra &amp; Bengio, 2012) to optimize over hyperparameters (e.g, regularization parameters, matrix dimensions, and minibatch size). Learning rates are set using
Adagrad (Duchi et al., 2011). We seed our parameters using a “smart” initialization in which we first learn an autoencoder on the state space, and perform a vector-valued
ridge regression for each unique program to extract a matrix mapping the features of the precondition to the features of the post condition.</t>
  </si>
  <si>
    <t>We evaluate our model on three assignments from two different courses, Code.org’s Hour of Code (HOC) which
has submissions from over 27 million students and Stanfords Programming Methodology course, a first-term introductory programming course, which has collected submissions over many years from almost three thousand students.
We rely on a few baselines against which to evaluate our
methods, but the main baseline that we compare to is a simplification of the NPM-RNN model (which we will call,
simply, RNN) in which we drop the program embedding
terms Mj from each node
To evaluate
the extent to which our program embedding matrices are
composable, we use a corpus of 5000 programs that are
composed of a subprogram A followed by another subprogram B (Compose-2).</t>
  </si>
  <si>
    <t>source code and object code</t>
  </si>
  <si>
    <t xml:space="preserve"> Before compilation, we ran
only the preprocessor of GCC, in order to clean the sources
of non-code text, such as comments, macros, #ifdef
commands and more.
In order to compile the source code with optimizations, we
use the GCC compiler (Stallman et al., 2009) with the optimization levels -O1, -O2 or -O3.
we tell GCC to output debugging information that includes the statement-level
alignment between each C function and the object code
compiled from it. Therefore, each sample in the resulting dataset consists of source code, object code compiled
at some optimization level and the statement-by-statement
alignment between them. </t>
  </si>
  <si>
    <t>Each statement is treated as a sequence of tokens, where
the last token of each such sequence is always the end-ofstatement (EOS) token. A function is given by concatenating all such sequences to one sequence.</t>
  </si>
  <si>
    <t>450 tokens</t>
  </si>
  <si>
    <t>53,000 short functions from real projects
150,000 short functions synthesized from pyfuzz</t>
  </si>
  <si>
    <t>During training, the Negative Log Likelihood (NLL) loss
is used. the loss is
the mean of NLL values of all N rows.
The Adam learning rate
scheme (Kingma &amp; Ba, 2015) is used, with a learning rate
of 0.001, β1 = 0.9, β2 = 0.999, and _x000f_ = 1e − 08.</t>
  </si>
  <si>
    <t>90
open-source projects of the GNU project</t>
  </si>
  <si>
    <t>256 × 256 target image and a rendering of the
drawing commands so far (encoded as a two-channel image)</t>
  </si>
  <si>
    <t>We trained our network by sampling specs S and target images I for randomly generated scenes
We introduce noise into the LATEX rendering process by:
• Rescaling the image intensity by a factor chosen uniformly at random from [0.5, 1.5]
• Translating the image by ±3 pixels chosen uniformly random
• Rendering the LATEX using the pencildraw style, which adds random perturbations to the
paths drawn by LATEXin a way designed to resemble a pencil.
• Randomly perturbing the positions and sizes of primitive LATEXdrawing commands
Empirically this noise process is close enough to the kinds of variations introduced by an actual hand
drawing that the learned model generalizes to our test set of hand drawings, despite having never
been trained on any real hand drawings.</t>
  </si>
  <si>
    <t>256 x 256 images</t>
  </si>
  <si>
    <t>Trained on 10^5 scenes</t>
  </si>
  <si>
    <t>Maximize the likelihood of S given I, with respect to model parameters θ, by gradient
ascent.
for hand drawings, we learn a surrogate likelihood
function</t>
  </si>
  <si>
    <t>Accuracy &amp; Timing</t>
  </si>
  <si>
    <t>Gradient Ascent</t>
  </si>
  <si>
    <t>Surrogate Likelihood</t>
  </si>
  <si>
    <t>Transformer</t>
  </si>
  <si>
    <t>Hyperparameters, Preprocessing Details, &amp; Filtering Details</t>
  </si>
  <si>
    <t>vulnerability description (text)</t>
  </si>
  <si>
    <t>we crawl
vulnerability descriptions and expert-rated CVSS scores for all
vulnerabilities published in the CVE Details website. We map
the expert rated CVSS scores to the corresponding severity
levels as described in Section II-B. Our dataset contains entries
in the form of &lt;vulnerability description, expert-rated CVSS
severity level&gt; for each crawled vulnerability.</t>
  </si>
  <si>
    <t>We train word embeddings
with a corpus of crawled vulnerability descriptions using
continuous skip-gram model [18] (the Python implementation
in Gensim [19]) The output of word embedding training is a
dictionary of word vectors for each word in the vocabulary of
crawled vulnerability descriptions.
Given a vulnerability
description, vectors of words in the description sentences are
first looked up in the word embeddings dictionary and then
are concatenated into a vulnerability description vector.</t>
  </si>
  <si>
    <t>2-3 sentences per vulnerability description
300-dimensional
word embeddings</t>
  </si>
  <si>
    <t>83 thousands
of vulnerabilities</t>
  </si>
  <si>
    <t>The training is
guided by hinge loss of the severity level predicted by a SVM
classifier against the experted rated severity level.
during training to regularize the CNN by stochastically disable a fraction of its neurons. Set to 0.5
we apply the Adam update algorithm [29] to optimize
our CNNs loss function. In order to prevent our model from
overfitting, we use the l2 norm regularization</t>
  </si>
  <si>
    <t xml:space="preserve"> In order to balance the
error rate and the time cost, we conduct experiments with 12
values for the number of iterations ranged from 1 to 1000
In order to find a suitable batch
size, we conduct experiments with three batch size values, i.e.,
32, 64, 128. 
We conduct experiments with three different number of
filters, i.e., N = 32, 64, or 128. 
We conduct experiments with three word-embedding dimensionality
value (i.e., 50, 150, 300) on the vulnerability description corpus. </t>
  </si>
  <si>
    <t xml:space="preserve"> CVE Details [7] websites
</t>
  </si>
  <si>
    <t>Hinge Loss</t>
  </si>
  <si>
    <t>functions</t>
  </si>
  <si>
    <t>We lex each function using our custom lexer. After lexing, each function ranges in length
from 10 to 300 tokens</t>
  </si>
  <si>
    <t>function granularity level.</t>
  </si>
  <si>
    <t>SATE IV: 117, 738 functions of which 41, 171 contain a vulnerability and 76, 567 do not.</t>
  </si>
  <si>
    <t>We rely heavily on pre-training to give our GAN a good starting point. Our generators are
pre-trained as de-noising autoencoders on the desired data
We use WGAN in our
model 
we adopt a curriculum learning strategy where we incrementally increase
the length of produced sequences throughout training
 We employ
a traditional NMT model as the generator, and replace the typical negative likelihood loss
with the gradient stemming from the loss of an adversarial discriminator.
gradient stemming from the loss of an adversarial discriminator</t>
  </si>
  <si>
    <t>The generators learning rate is decayed by a factor of 0.9 every 10 epochs. In models
where we employ curriculum learning, this decay is only performed after the curriculum is
completed. Networks are trained for 200, 400, and 1000 epochs for the sorting, CFG, and
SATE4 experiments, respectively.
No mechanism for tuning given.</t>
  </si>
  <si>
    <t>Datasets: sequences of sorted numbers and Context
Free Grammar (CFG), and SATE IV</t>
  </si>
  <si>
    <t>GANs</t>
  </si>
  <si>
    <t>Preprocessing Details &amp; Filtering Details</t>
  </si>
  <si>
    <t>program source code</t>
  </si>
  <si>
    <t xml:space="preserve">We represent program source code as graphs and use different edge types to
model syntactic and semantic relationships between different tokens. The backbone of a program
graph is the program’s abstract syntax tree (AST), consisting of syntax nodes (corresponding to nonterminals in the programming language’s grammar) and syntax tokens (corresponding to terminals).
We label syntax nodes with the name of the nonterminal from the program’s grammar, whereas
syntax tokens are labeled with the string that they represent. We use Child edges to connect nodes
according to the AST. 
To capture the flow of control and data through a program, we add additional edges connecting
different uses and updates of syntax tokens corresponding to variables.
</t>
  </si>
  <si>
    <t>graphs having on average 2,228 (median 936) nodes and 8,350 (median 3,274)
edges</t>
  </si>
  <si>
    <t xml:space="preserve">29 projects with about 2.9M LOC for VarMisuse
</t>
  </si>
  <si>
    <t>the VARMISUSE task from open source C# projects on GitHub
Benchmarks: VarMisuse Task and VarNaming</t>
  </si>
  <si>
    <t>Learning Algorithm, Hyperparameters, &amp; Extraction Details</t>
  </si>
  <si>
    <t>Input Grid from Karel DSL, input/output examples</t>
  </si>
  <si>
    <t>CNN to generate a joint embedding. Source Code Tokens</t>
  </si>
  <si>
    <t>Sequences of Tokens</t>
  </si>
  <si>
    <t>Input/Output States (1 million examples) and another dataset of 10000 examples</t>
  </si>
  <si>
    <t>Adam Optimizer, log likelihood and SGD</t>
  </si>
  <si>
    <t>Fixed values: 512-dimensional embedding, learning rate is 10e-4. For Conv, kernel size is 3, padding is 1, and 16 to 32 ReLU.
Grid Search</t>
  </si>
  <si>
    <t>synthetic dataset generated by randomly sampling programs from the Domian-Specific Language</t>
  </si>
  <si>
    <t>Karel DSL &amp; I/O Examples</t>
  </si>
  <si>
    <t>Karel DSL</t>
  </si>
  <si>
    <t>Mock Up GUI Image</t>
  </si>
  <si>
    <t>RICO dataset, apktool and UIAutomater helped to gather and clean the data. The group made an app synthesizer to augment the dataset</t>
  </si>
  <si>
    <t>They implement a depth first search strategy in conjunction with their execution engine to extract necessary information about the GUI and it's components. This engine also uses andorids uiautoamtor framework to extract GUI related information.</t>
  </si>
  <si>
    <t>Screen size 1200x1920</t>
  </si>
  <si>
    <t>191300 labeled GUI components and 14382 unique GUI screens from the top 250 android apps</t>
  </si>
  <si>
    <t>Stochastic gradient descent with momentum.</t>
  </si>
  <si>
    <t>Epochs, learning rate and are found empirically</t>
  </si>
  <si>
    <t>RICO and synthetically generated data</t>
  </si>
  <si>
    <t>Precision, Top K Generalization, &amp; Confusion Matrix</t>
  </si>
  <si>
    <t>Recursive traces for algorithms</t>
  </si>
  <si>
    <t>The training data for the Neural Programmer-Interpreter consists of full execution traces for the
program of interest. A single element of an execution trace consists of a step input-step output pair,
which can be synthesized from Algorithm 1: this corresponds to, for a given time-step, the step
input tuple (e, p, a) and step output tuple (r, p2, a2).</t>
  </si>
  <si>
    <t>methods</t>
  </si>
  <si>
    <t>the training set for addition contains 200 traces
The training set for bubble sort contains 100 traces
The training set for topological sort contains 6 traces
The training set for quicksort contains 4 traces</t>
  </si>
  <si>
    <t>We found that changing the NPI training traces is a simple way to enable this.
In particular, we construct new training traces which explicitly contain recursive elements and show
that with this type of trace, NPI easily learns recursive programs. 
We train using the Adam optimizer</t>
  </si>
  <si>
    <t xml:space="preserve">We describe the
recursive re-formulation of traces for two tasks from the original NPI paper—grade-school addition
and bubble sort. we implement recursive traces for our
own topological sort and quicksort tasks.
For these programs, we re-use the appropriate program sets (the associated subprograms), and we refer the reader to the appendix of Reed &amp; de Freitas (2016) for further details on
the subprograms used in addition and bubble sort. </t>
  </si>
  <si>
    <t>Synthesis</t>
  </si>
  <si>
    <t>ArXiv</t>
  </si>
  <si>
    <t>This model takes raw source code as input from java, python and C languages.</t>
  </si>
  <si>
    <t>Since the paper takes datasets from other papers, the extraction process is already completed and they can freely access the source code files.</t>
  </si>
  <si>
    <t>Raw source code is used as opposed to embeddings, however, the approach involves separating source code tokens in subword until rather than full tokens. The RNN then attempts to predict subword units (BPE model)</t>
  </si>
  <si>
    <t>Unknown, appears to be source code methods</t>
  </si>
  <si>
    <t>13362 projects with  ~1436M tokens Java. 4601 projects with ~1685M tokens C. 27535 projects and ~1056M tokens.</t>
  </si>
  <si>
    <t xml:space="preserve">The model updates with minibatch stochastic gradient decent. If the cross entropy is larger than the previous epoch
then we halve the learning rate and this can happen for a maximum of 4 times, otherwise training stops. </t>
  </si>
  <si>
    <t>In all our experiments we used a learning rate of 0.1, dropout of 0.5 [66] and a maximum of 50 training iterations using stochastic gradient descent
with a minibatch of 32 for the small training sets and a minibatch
size of 64 for the full training sets. After each iteration we tested
the network on a validation set and measured its cross entropy.  In our initial experiments we found GRUs to slightly
outperform LSTMs when trained on the Java corpus, so we use
them in our model.</t>
  </si>
  <si>
    <t>For Java we used the Java Github corpus of Allamanis et al.
[6], which consists of more than 14000 popular open source Java
projects. Following the procedure described in [6], the C corpus
was mined in [26] and the Python corpus was mined in [28]. For
lexical analysis in Java we used the lexer implemented in [37].</t>
  </si>
  <si>
    <t>BPE</t>
  </si>
  <si>
    <t>Open Vocabulary Issue</t>
  </si>
  <si>
    <t>Questions</t>
  </si>
  <si>
    <t>We follow the construction in [39] for converting a table
into a directed graph that can be queried, where rows and cells are converted to graph nodes while
column names become labeled directed edges</t>
  </si>
  <si>
    <t>WIKITABLEQUESTIONS: 2,108 tables and 18,496 questionanswer pairs
WIKISQL: 24,241 tables and 80,654 question-program pairs</t>
  </si>
  <si>
    <t>MAPO:  an expectation over the high-reward trajectories inside a memory buffer,
and a separate expectation over trajectories outside of the buffer
We use
Adam optimizer for training and the learning rate is 10^3</t>
  </si>
  <si>
    <t>All the hyperparameters are tuned on the
dev set</t>
  </si>
  <si>
    <t>Datasets. WIKITABLEQUESTIONS [39] contains tables extracted from Wikipedia and questionanswer pairs about the tables
WIKISQL</t>
  </si>
  <si>
    <t>MAPO</t>
  </si>
  <si>
    <t>Directed Graph</t>
  </si>
  <si>
    <t>Source code bug violations from a hunk of source code</t>
  </si>
  <si>
    <t>We apply a static analysis tool to every revision of the associated project’s
source code. Given the resource-intensive nature of this
process, we focus in this study on the FindBugs [22] tool,
although our method is applicable to other static analysis
tools such as Facebook Infer5, Google ErrorProne6, etc.  
For each individual violation instance, we record, as a six-tuple value,
all information on the violation type, the enclosing program
entity (e.g., project, class or method), the commit id, the
file path, and the location (i.e., start and end line numbers)
where the violation is detected.
after applying a static analysis tool to a specific revision of a project, one can
obtain a set of violations. In the next version, another set of
violations can be produced by the tool. If there is any change
in the next revision, new violations can be introduced and
existing ones may disappear. In many cases however, code
changes can move violation positions, making this process
a non-trivial task</t>
  </si>
  <si>
    <t>A given violation code is therefore parsed into a refined AST tree and converted into a token vector. Token vectors
are further embedded with Word2Vec [46] and converted
into numeric vectors which can be fed to CNNs to learn
discriminating features of violation code.
 All code hunks of violations are parsed with the
refined AST tree and are tokenized into textual vectors by
traversing their refined AST trees with the depth-first search
algorithm to obtain two kinds of tokens: one is the AST
node type and another is the identifier (i.e., raw token) of this node. For example, the code “int a” is tokenized as a
vector of four tokens (PrimitiveType, int, Variable, a).
FOR CNN: The input is two-dimensional numeric vectors
of preprocessed violations.</t>
  </si>
  <si>
    <t>We follow the workaround tested by Wang et
al. [47] and append 0 to all vectors to make all vector sizes
consistent with the size of the longest vector. violations are represented with numeric vectors using
Word2Vec with the following parameters (Size of vector = 300; Window size = 4; Min word frequency = 1)
The input is two-dimensional numeric vectors
of preprocessed violations.</t>
  </si>
  <si>
    <t>Table 1 shows the number of projects and violations used
in this study. There are 730 projects with 291,615 commits
where 250,387,734 violations are detected; these violations
are associated with 400 types defined by FindBugs. After
applying our violation tracking method presented in Section 2.2 to these violations, as a result, 16,918,530 distinct
violations are identified.</t>
  </si>
  <si>
    <t>loss function mean squared logarithmic error
Optimization algorithm stochastic gradient descent</t>
  </si>
  <si>
    <t xml:space="preserve"> The literature has
consistently reported that effective models for Word2Vec
and deep learning applications require well-tuned parameters [17], [56], [57], [58], [59]. In this study, all parameters
12
of the two models are tuned through a visualizing network
training UI20 provided by DeepLearning4J.
Considered parameters are # nodes in hidden layers, learning rate, Optimization algorithm, pooling type, activation (output layer ), (other layers), 
loss function </t>
  </si>
  <si>
    <t xml:space="preserve">Overall, our fix pattern mining approach is applied to
35,590 violation fixing changes, which are associated with
288 violation types.
We collect a subset of unfixed violations
in the top-50 fixed violation types (described in Section 3.5)
as the testing data of this experiment to evaluate the effectiveness of fixed patterns
We run FindBugs on the 395 buggy
versions of the 6 Java projects used to establish Defects4J.
We consider 10 open source Java projects
collected from Github.com on 30th September 2017
json-simple 12 2,505
commons-io 117 28,541
commons-lang 148 77,577
commons-math 841 186,425
ant 859 219,506
cassandra 1,625 216,192
mahout 1,145 222,345
aries 1,570 216,646
poi 4,562 894,514
camel 8,119 1,079,671
</t>
  </si>
  <si>
    <t>Top K Model-Guided Search Accuracy</t>
  </si>
  <si>
    <t>UI20</t>
  </si>
  <si>
    <t>Source code repository, source api library.</t>
  </si>
  <si>
    <t>we crawl a source code repository and extract API call sequences, method
names and comments from source code. We crawl a large corpus of source code from
GitHub.
The extracted API call sequences should include all APIs used in a method, no
matter they are from the source (or target) library or any
other libraries (as the example shown in Fig. 4). We normalize
the call of overloading APIs as one API by ignoring their
parameter lists.</t>
  </si>
  <si>
    <t>We consider APIs as words and apply continuous skip-gram model to a corpus of API call sequences to learn API usage embeddings.
Furthermore, based on the corpus of method names (or
comments), we train a name (or comment) skip-thoughts
model [12]. Skip-thoughts model essentially incorporates
the unsupervised learning mechanism of continuous skipgram model [11] into the RNN encoder-decoder architecture [20].</t>
  </si>
  <si>
    <t>As API call sequences are usually short (5.3 on average, 4 on median
in our dataset), we set the size of context window at 5 (i.e.,
t = 2 in Eq. 1). Given a library, we find all APIs of this
library by crawling the library’s official API website (more
details in Section 3.2.3). We take the average of the API
vectors of all APIs of this library as the library embedding.
Therefore, we set the API
embedding dimension at 500.</t>
  </si>
  <si>
    <t>To train our skipthought model and API embedding model, we downloaded
135,127 Java projects from Boa dataset [31], [32]. Boa (http:
//boa.cs.iastate.edu/) is a domain-specific language and
infrastructure that eases mining software repositories. These projects contain 2,058,240
source-code files. We extract API call sequences from the
crawled code using a partial program analysis (PPA) [21]
tool for Java. We collect a corpus of 10,554,900 API call
sequences which includes 952,829 unique APIs for learning
API embeddings</t>
  </si>
  <si>
    <t>The objective function is
to maximize the sum of log probabilities of the surrounding
context words conditioned on the center word. 
The two RNN components of the RNN encoder-decoder
model are jointly trained to maximize the conditional loglikelihood</t>
  </si>
  <si>
    <t>The most important parameter for the continuous skip-gram
model [11] is the dimension of the API vectors to be learned.
We test five different API embedding dimensions from 100
to 500 with the increment 100 which is commonly adopted
in other works [50], [51] using word embedding in SE
context. 
 To see the impacts of the parameters on encoding
API name/document similarity, we vary the value of these
two parameters with word embedding dimension from 100
to 700 while number of hidden units from 600 to 1400 which
is commonly adopted in other software-engineering related
works [51], [52].
We can see that when the dimension of
the input-layer word embedding is 600, the skip-thoughts
model achieves the best results for encoding both API name
similarity (Fig. 8(c)) and API doc similarity (Fig. 8(a)). For
the number of hidden units, the performance of 800 units is
similar to that of 1200 units for encoding API doc similarity
(Fig. 8(b)). But 800-units setting has better MRR (0.231 vs
0.218) and Re@1 (0.141 vs 0.125), compared with 1200-units
setting. Furthermore, smaller unit number indicates faster
training and prediction. The RNN model with 800 hidden
units also produces the best performance to encode API
name similarity (Fig. 8(d)). Therefore, we set the word embedding dimension at 600 and the number of RNN hidden
units at 800.
We obtain the best results in all MRR and Re@k
metrics for the four pairs of ground-truth libraries, when
we set α as 0.3 (for API usage similarity), β as 0.2 (for API
document similarity), and γ as 0.5 (for API name similarity).</t>
  </si>
  <si>
    <t>This dataset
involves 4 pairs of similar libraries: (Apache Commons
IO [37], Guava IO [38]), (Apache Commons Lang [39],
Guava Base [40]), (JSON [41], gson [42]) and (mockito [43],
jMock [44]). Therefore, we have 82×2 = 164 query APIs
for the evaluation.
The first baseline similarity is the traditional IR similarity based on the TF-IDF metric [54]. This baseline
similarity is also used in Pandita et al.’s paper [9] to infer likely API mappings by the textual similarity of API documents.
Apart from the traditional TF-IDF, we also set up some
state-of-the-art sentence embedding algorithms based
on the deep learning methods. The second baseline is
based on the Doc2vec [55] model which composes word
embeddings into sentence or document embeddings
with neural networks. The third baseline is a sentence
embedding model based on weighted average of word
vectors in the sentence using PCA/SVD (Principal
Component Analysis/Singular-Value Decomposition),
and it is called smooth inverse frequency (SIF) [56].
Another baseline are Simple Word-Embedding based
Models (SWEMs) [57] with three variations, consisting
of parameter-free pooling operations such as average,
max-pooling and concatenating the average and maxpooling embedding.</t>
  </si>
  <si>
    <t>MRR &amp; Recall</t>
  </si>
  <si>
    <t>Source Code &amp; Repo Metadata</t>
  </si>
  <si>
    <t>Source code from classes and generated contextual flow graphs</t>
  </si>
  <si>
    <t>converts it to statements in an Intermediate
Representation (IR), using the LLVM Compiler Infrastructure [39].</t>
  </si>
  <si>
    <t>The LLVM IR, which is explained
in detail in Section 4, is then processed to a robust representation that we call conteXtual Flow Graphs
(XFGs). XFGs are constructed from both the data- and control-flow of the code, thus inherently
supporting loops and function calls.
XFGs (e.g., Fig. 2d) are directed multigraphs, where two nodes can be connected by more than
one edge. XFG nodes can either be variables or label identifiers (e.g., basic block, function name),
appearing in the figure as ovals or rectangles respectively. Correspondingly, an edge either represents
data-dependence (in black), carrying an LLVM IR statement; or execution dependence (light blue).
XFG Construction We generate XFGs incrementally from LLVM IR, as follows:
1. Read LLVM IR statements once, storing function names and return statements.
2. Second pass over the statements, adding nodes and edges according to the following rule-set:
(a) Data dependencies within a basic block are connected.
(b) Inter-block dependencies (e.g., φ-expressions) are both connected directly and through
the label identifier (statement-less edges).
(c) Identifiers without a dataflow parent are connected to their root (label or program root).</t>
  </si>
  <si>
    <t>dim size = 200</t>
  </si>
  <si>
    <t>Embedding dataset:
vocab: 8,565
XFG statement pairs: 640,926,292
Coding Tasks
POJ-104 dataset 104 program classes written by 500 different people</t>
  </si>
  <si>
    <t>The Adam
optimizer [37] is used with the default published hyperparameters and softmax cross-entropy loss.</t>
  </si>
  <si>
    <t>Visually inspected clustering plots and analogous testing for different context sizes. Used Default parameters</t>
  </si>
  <si>
    <t>we evaluate inst2vec on three different tasks, comparing with manually-extracted
features and state-of-the-art specialized deep learning approaches
The algorithm classification task uses the POJ-104 [49] dataset2
, collected from a Pedagogical Open Judge system. We compare our approach with Tree-Based CNNs (TBCNN) [49], the best-performing
algorithm classifier in the POJ-104 dataset. 
Heterogeneous Compute Device Mapping: inst2vec and inst2vec-imm (i.e., with immediate value handling) are compared with a
manual code feature extraction approach by Grewe et al. [29] and DeepTune [18], in terms of runtime
prediction accuracies and resulting speedup
 Optimal Thread Coarsening Factor Prediction: We again compare the achieved speedups of
inst2vec with manual features [46], DeepTune, and DeepTune with transfer learning applied</t>
  </si>
  <si>
    <t>Source Code &amp; Flow Graphs</t>
  </si>
  <si>
    <t>Flow Graphs</t>
  </si>
  <si>
    <t>representation of a query (problem with inputs and outputs) as a constraint tree built out of conjunctions,
disjunctions, and calls to relations (constraints)</t>
  </si>
  <si>
    <t xml:space="preserve">We programmatically generate training data by querying (evalo P I O ) in miniKanren, where
the program, inputs, and outputs are all unknown. We put several other restrictions on the inputs
and outputs so that the examples are sufficiently expressive. When input/output expressions contain
constants, we choose random constants to ensure variety. </t>
  </si>
  <si>
    <t>Two NNs are used to embed representations since "In the RNN model, we lose considerable information by removing the identity of logic variables. Two
constraints associated with a logic variable may independently be satisfiable, but may be obviously
unsatisfiable together"
We use an RNN with bi-directional LSTM units [23] to score constraints, with each constraint
separately tokenized and embedded
The specific type of GNN model we use is a Gated Graph Neural Network (GGNN) [27]. Each node
has an initial embedding, which is refined through message passing along the edges. The final root
node embedding of each constraint is taken to be the embedding representation of the constraint.
Since the graph structure is a DAG, we use a synchronous message schedule for message passing.</t>
  </si>
  <si>
    <t>2,600 input/output examples</t>
  </si>
  <si>
    <t xml:space="preserve">Cross-entropy loss is used. For optimization we use RMSProp [30], with weight decay for regularization.
</t>
  </si>
  <si>
    <t>Increasing the number of passes
 (training epochs) did not yield improvements.</t>
  </si>
  <si>
    <t>We use a small subset of Lisp as our target language. This
subset consists of cons, car, cdr, along with several constants and function application. 
In this second set of
experiments we additionally compare against state-of-the-art systems λ
2
, Escher, and Myth.
 Tree Manipulation Problems
In this experiment, we explore generalizability.. We use the same model weights as above to synthesize
three families of programs of varying complexity: Repeat(N) which repeats a token N times,
DropLast(N) which drops the last element in an N element list, and BringToFront(N) which
brings the last element to the front in an N element list. As a measure of how synthesis difficulty
increases with N, Repeat(N) takes 4 + 3N steps, DropLast(N) takes 1
2N2 +
5
2N + 1 steps, and
BringToFront(N) takes 1
2N2 +
7
2N + 4 steps. The largest training program takes optimally 22
steps to synthesize. The number of optimal steps in synthesis correlates linearly with program size.</t>
  </si>
  <si>
    <t>input grid from the Karel DSL</t>
  </si>
  <si>
    <t xml:space="preserve">All training, validation, and test programs were generated by treating the Karel DSL as a probabilistic
context free grammar and performing top-down expansion with uniform probability at each node.
The input grids were generated by creating a grid of a random size and inserting the agent, markers,
and obstacles at random. The output grid was generated by executing the program on the input grid,
and if the agent ran into an obstacle or did not move, then the example was thrown out and a new
input grid was generated. </t>
  </si>
  <si>
    <t xml:space="preserve">We limit the nesting depth of control flow to be at most 4 (i.e. at most 4
nested if/while blocks can be chosen in a valid program). We sample I/O grids of size n × m, where
n and m are integers sampled uniformly from the range 2 to 20. We sample programs of size upto 20
statements. </t>
  </si>
  <si>
    <t xml:space="preserve">1,000,000 programs
</t>
  </si>
  <si>
    <t>Training was performed using
SGD + momentum and gradient clipping using an in-house toolkit. Cross Entropy loss.
Portfolio-Adapted Program Induction: One way of taking advantage of such background tasks is with straightforward transfer learning,
which we refer to as portfolio-adapted program induction (denoted as PLAIN+ADAPT). Here, we
have a portfolio of models each trained on a single background I/O task. To train an induction model
for a new task, we select the “best” background model and use it as an initialization point for training
our new model. This is analogous to the type of transfer learning used in standard classification
tasks like image recognition or machine translation [10, 15]. The criteria by which we select this
background model is to score the training I/O examples for the new task with each model in the
portfolio, and select the one with the highest log-likelihood. (Uses SGD)
Meta Program Induction: An alternative method is to train a single network which represents an entire (exponentially large)
family of tasks, and the latent representation of a particular task is represented by conditioning on
the training I/O examples for that task. We refer to this type of model as meta induction (denoted as
META) because instead of using SGD to learn a latent representation of a particular task based on I/O
examples, we are using SGD to learn how to learn a latent task representation based on I/O examples.
More specifically, our meta induction architecture takes as input a set of demonstration examples
(I1, O1), ...,(Ik, Ok) and an additional eval input ˆI, and emits the corresponding output Oˆ. The number of demonstration examples k is typically small, e.g., 1 to 5. At
training time, we are given a large number of tasks with k + 1 examples each. During training,
one example is chosen at random to represent the eval example, the others are used to represent the
demonstration examples. At test time, we are given k I/O examples which correspond to a new task
that was not seen at training, along with one or more eval inputs ˆI. Then, we are able to generate
the corresponding Oˆ for the new task without performing any SGD. We set
k = 5 in all experiments
Adapted Meta Program Induction:  The previous approach to use n &gt; k I/O examples at test
time seems reasonable, but certainly not optimal. An alternative approach is to combine the best aspects of META
and PLAIN+ADAPT, and adapt the meta model to a particular new task using SGD. To do this, we can repeatedly
sample k + 1 I/O examples from the n total examples
provided, and fine tune the META model for the new task
in the exact manner that it was trained originally. For decoding, we still perform the same algorithm as the META
model, but the weights have been adapted for the particular
task being decoded. In order to mitigate overfitting, we found that it is useful
to perform “data-mixture regularization,” where the I/O examples for the new task are mixed with
random training data corresponding to other tasks.</t>
  </si>
  <si>
    <t>The dropout, learning rate, and batch size were optimized with grid
search for each value of n using a separate set of validation tasks
Varying the Model Size and Varying the Amount of META Training was also done</t>
  </si>
  <si>
    <t>Dataset from the Karel DSL
To test the efficacy of our methods, we constructed a new benchmark of programs
written in the Karel programming language [17].</t>
  </si>
  <si>
    <t>Preprocessing Details &amp; No Repo</t>
  </si>
  <si>
    <t>k demo videos (k = 10 for Karel and 25 for ViZDoom)</t>
  </si>
  <si>
    <t>Each program code C_m
is randomly sampled from an environment specific DSL
and compiled into an executable form
The corresponding demonstrations are generated by running the program on different initial states.</t>
  </si>
  <si>
    <t xml:space="preserve">Embed demo video into a state vector for each frame which is then combined and summarized into a representation vector for the whole video.
The demonstration encoder receives a demonstration video
as input and produces an latent vector that captures the
actions and perception of an agent. At each time step, to
interpret visual input, we employ a stack of convolutional
layers, to encode a state st to its embedding as a state vector
Since the demonstration encoder needs to handle demonstrations with variable numbers of frames, we employ an
LSTM (Long Short Term Memory) (Hochreiter &amp; Schmidhuber, 1997) to encode each state vector and summarized
representation at the same time.
</t>
  </si>
  <si>
    <t xml:space="preserve"> The maximum length of the demonstrations is
20.
For ViZDoom: frames of demonstration with 120 × 160 × 3 pixels</t>
  </si>
  <si>
    <t xml:space="preserve">Karel: 
35,000 unique programs
525,000‬ demonstrations
ViZDoom: 
88,000 programs
3,080,000 demonstrations
</t>
  </si>
  <si>
    <t xml:space="preserve">
The proposed model learns a conditional distribution between a set of demonstrations D and a corresponding code.  By employing the LSTM program
decoder, this problem becomes an autoregressive sequence
prediction (Sutskever et al., 2014). For a given demonstration and previous code token wi−1, our model is trained
to predict the following ground truth token w
∗
i
, where the
cross entropy loss is optimized
Auxiliary tasks:
Predicting action sequences Given a demo vector v
k
demo
encoded by the summarizer, an action decoder LSTM produces a sequence of actions. During training, a sequential
cross entropy loss similar to Equation 5 is optimized:
we
formulate the perception vector prediction as a sequential
multi-label binary classification problem and optimizes the
binary cross entropy</t>
  </si>
  <si>
    <t xml:space="preserve"> learnable program embedding, program
arguments passed on by the calling program, and a feature representation of the environment.
In
this work we train the NPI with fully-supervised execution traces; each program
has example sequences of calls to the immediate subprograms conditioned on the
input</t>
  </si>
  <si>
    <t xml:space="preserve">Different programs are run and their execution traces are gathered. The approach evaluated 21 different programs including addition, sorting and trajectory planning from image pixels. Fully supervised execution traces are gathered for training. </t>
  </si>
  <si>
    <t>Execution traces are embedded as input to the DL model for training. These traces are varied in length, the approach applies the chain rule to model the joint probability of the possible program executions.</t>
  </si>
  <si>
    <t xml:space="preserve">In this work, we consider several environments: a 1-D array with read-only
pointers and a swap action, a 2-D scratch pad with read-write pointers, and a CAD renderer with
controllable elevation and azimuth movements. Note that the sequence of actions for a program is
not fixed, but dependent also on the input state.
The approach trains on execution traces </t>
  </si>
  <si>
    <t>21 programs and subprograms
 For training
data, we used renderings of the 3D car CAD models from (Fidler et al., 2012).</t>
  </si>
  <si>
    <t>To train the NPI we use curriculum learning and supervision via example execution traces. We train
by gradient ascent on the likelihood in equation (7). USes max log likelihood and adam optimizer.</t>
  </si>
  <si>
    <t xml:space="preserve"> For all tasks, the core LSTM had two layers of size 256.
We trained the NPI using the ADAM solver (Kingma &amp; Ba, 2015) with base learning rate 0.0001,
batch size 1, and decayed the learning rate by a factor of 0.95 every 10,000 steps.</t>
  </si>
  <si>
    <t>XCalls , XTypes ,
and XKeys of a method</t>
  </si>
  <si>
    <t>We decompiled the APKs using JADX (Skylot, 2017) to generate their source code
We then pre-processed all method bodies to translate the code from Java to
AML, preserving names of relevant API calls and data types as well as the high-level control flow.
From each program, we extracted the sets XCalls , XTypes ,
and XKeys as well as a sketch Y. Lacking separate natural language dscriptions for programs, we defined keywords to be words obtained by splitting the names of the
API types and calls that the program uses, based on camel
case</t>
  </si>
  <si>
    <t xml:space="preserve">We abstract this call into an abstract method call
The keywords skip, while, if-then-else, and trycatch preserve information about control flow and exception handling. Boolean conditions Cseq are
replaced by abstract expressions: lists whose elements abstract the API calls in Cseq.
</t>
  </si>
  <si>
    <t xml:space="preserve">1500 Android apps
150,000 methods
</t>
  </si>
  <si>
    <t>150,000 methods</t>
  </si>
  <si>
    <t>We used a mini-batch size of 50, a learning rate of 0.0006 for
the Adam gradient-descent optimizer (Kingma &amp; Ba, 2014), and ran the training for 50 epochs. Cross entropy loss function</t>
  </si>
  <si>
    <t>Accuracy, Jicard Distance, &amp; Minimum Absolute Difference</t>
  </si>
  <si>
    <t>Abstract intent and filter</t>
  </si>
  <si>
    <t>We employ the ic3 [35] tool for computing abstract intents and
filters, and the primo tool [33] for abstract matching, which reports must or may results. An abstract intent ι
#
computed by ic3
has the same representation as an intent: it is a tuple (act,cats),
except that strings in act and cats are interpreted as regular expressions.</t>
  </si>
  <si>
    <t>Uses their own Type-Directed Encoders to take an abstract intent or filter and turns it into a real valued vector of size n
we encode categorical
types using an enumEnc function, which we implement as a lookup
table whose elements w are learned automatically</t>
  </si>
  <si>
    <t>10,500 Android applications
148,788 links</t>
  </si>
  <si>
    <t xml:space="preserve">We chose
cross entropy as our loss function and RMSprop </t>
  </si>
  <si>
    <t>We used the primo [33] corpus</t>
  </si>
  <si>
    <t>F1 Measure, Kruskal's y, &amp; ROC</t>
  </si>
  <si>
    <t>ic3</t>
  </si>
  <si>
    <t>TDE</t>
  </si>
  <si>
    <t>Production rules generated from real-world customer string manipulation problems and program input/output pairs</t>
  </si>
  <si>
    <t>Char Embedding</t>
  </si>
  <si>
    <t>Input/Output Spec (375 tasks) Thanks to the Markovian search properties described above, these scenarios
generate a dataset of 400, 000+ intermediate search decisions.</t>
  </si>
  <si>
    <t xml:space="preserve">Adaml, loglikelihood, </t>
  </si>
  <si>
    <t>Learning rate 10e-2, batch size of 32, early stopping on the validation loss. No information about tuning.</t>
  </si>
  <si>
    <t>We compare our method against two state-of-the-art neural synthesis algorithms: RobustFill (Devlin et al., 2017) and DeepCoder (Balog et al., 2017). For RobustFill, we use the bestperforming Attention-C model and use their recommended DP-Beam Search with a beam size of
100 as it seems to perform the best</t>
  </si>
  <si>
    <t>We first use
the syntactically correct student submissions to obtain the set of
all valid token sequences and then use a threshold frequency value
to decide whether to relabel a token to a general IDENT token for
handling rarely used tokens (such as infrequent variable/method
names)</t>
  </si>
  <si>
    <t>A token is encoded into a fixed-length one-hot vector</t>
  </si>
  <si>
    <t>mean is 7.13 LOC with a standard
deviation of 3.52.</t>
  </si>
  <si>
    <t>74, 818 Python programs</t>
  </si>
  <si>
    <t>We used a learning rate of 0.002, a
sequence length of 10, and a batch size of 50. We use the batch
gradient descent method with rmsprop (decay rate 0.97) to learn
the weights, where the gradients were clipped at a threshold of 1
 train the model for 50 epochs</t>
  </si>
  <si>
    <t>We also varied
the number of hidden layers (1/2), the hidden units(128/256), and
the type of RNN cells (RNN/LSTM),</t>
  </si>
  <si>
    <t>Our benchmark set consists of student submissions for 9 programming problems recurPower, iterPower, oddTuples, evalPoly, compDeriv, gcdRecur, hangman1, hangman2, and gcdIter taken from
the edX course.</t>
  </si>
  <si>
    <t>software reliability data is a time-series</t>
  </si>
  <si>
    <t>truncated
backpropagation</t>
  </si>
  <si>
    <t>We ran the proposed model 5 times on the datasets with different
values of hyperparameters</t>
  </si>
  <si>
    <t>four industrial datasets coming from four products of a major Russian company</t>
  </si>
  <si>
    <t>Root Mean Squared Error</t>
  </si>
  <si>
    <t>Extraction Details, Preprocessing Details, Filtering Details, &amp; No Repo</t>
  </si>
  <si>
    <t>proof source code</t>
  </si>
  <si>
    <t>Tokenized proofs</t>
  </si>
  <si>
    <t xml:space="preserve">single words
300-dimensional
embeddings </t>
  </si>
  <si>
    <t xml:space="preserve">
        #files      # tokens        # vocab
Coq   3,589      9,817,678   37,813
HOL 11,410  107,576,235    1,837</t>
  </si>
  <si>
    <t>The network is trained
across 10 epochs with an initial learning rate of 0.002 per token that
is decayed by half every epoch starting epoch 5. 
back-propagate, gradient descent with negative log likelihood.</t>
  </si>
  <si>
    <t>Coq: 17 active (based on
the number of proof scripts and commits) Coq projects on GitHub
for this study
Kaliszyk et al., collected the HOLStep dataset,</t>
  </si>
  <si>
    <t>Accuracy &amp; Cross Entropy</t>
  </si>
  <si>
    <t>24 software metrics</t>
  </si>
  <si>
    <t xml:space="preserve"> during preprocessing, we extract
several pieces of information about the methods, namely: (1) their
semantic signature (Section 2.3), and (2) assorted software metrics.
We capture the semantics of methods using a semantic signature
consisting of what we call Action tokens. The Action tokens of a
method are the tokens corresponding to methods called and fields
accessed by that method. Additionally, we capture array accesses
(e.g. filename[i] and filename[i+1]) as ArrayAccess and ArrayAccessBinary actions, respectively. This is to capture this important
semantic information that Java encodes as syntax.
Semantic signatures are extracted during preprocessing.
extract methods with 50 or more tokens from these
projects; this ensures we do not have empty methods in the dataset</t>
  </si>
  <si>
    <t>n, the hash values of the metrics for each query
and its candidates are compared. If metric hash of the query and a
candidate are equal, we report them as clones; this is because Type1 and Type-2 clones have similar structures and thus, equal metric
values. If the metric hash is not equal, we pair the candidates with
the query and create feature vectors for the candidate pairs.</t>
  </si>
  <si>
    <t>48 dimensional metrics feature vector</t>
  </si>
  <si>
    <t>50k random Java projects
50M feature vectors</t>
  </si>
  <si>
    <t>Relative entropy is commonly used to quantify
the distance between two distributions. Training is carried out by
stochastic gradient descent with the learning rate of 0.0001. The
learning rate is reduced by 3% after each training step (epoch) to
improve the convergence of learning. The parameters are initialized
randomly using ‘he normal’[17], a common initialization technique
in deep learning
for 50 epochs and training is terminated if the validation loss stops
increasing for two consecutive epochs.</t>
  </si>
  <si>
    <t>To find the model, we experiment with several architectures, for
each architecture, several number of layers and units, and several
hyper-parameter settings such as learning rate (the rate for updating the weight parameters) and loss function. To compare these
models, we compute several classification metrics including accuracy (the rate of correct predictions based on validation dataset abels), Precision (the fraction of retrieved instances that are relevant), Recall (the fraction of relevant instances that are retrieved),
Receiver Operating Characteristic (ROC) curve (true positive rate
against false positive rate), and Area Under the ROC Curve (AUC).</t>
  </si>
  <si>
    <t>Only for evaluation: BigCloneBench
compare Oreo’s detection performance against the latest versions of the four publicly available clone detection tools, namely:
SourcererCC [44], NiCad [42], CloneWorks [52], and Deckard [18].
We also wanted to include tools such as SeByte [25], Kamino [39],
JSCTracker [13], Agec [22], and approaches presented in [47, 53,
55, 56], which claim to detect Type-4 clones</t>
  </si>
  <si>
    <t>Precision, Recall, Accuracy, ROC, &amp; AUC</t>
  </si>
  <si>
    <t>Code Metrics Vectors</t>
  </si>
  <si>
    <t>Siamese</t>
  </si>
  <si>
    <t>Input Metrics &amp; Filtering Details</t>
  </si>
  <si>
    <t>List of LOCs and BCs thru time.</t>
  </si>
  <si>
    <t>To calculate the LOC metric in this study, the .mdl files of
the Simulink models are assessed by counting each line in the
XML-like representation of the respective model. They do not
contain comments or similar non-code related entities. The BC
metric counts blocks in a model using the function sldiagnostics,
which is built-in in the Matlab/Simulink environment. The
function considers all blocks in the model, even masked blocks
on the lowest layers.</t>
  </si>
  <si>
    <t>Lines of Code (LOCs) and Block Count (BC)</t>
  </si>
  <si>
    <t xml:space="preserve">48 software models
4,547 revisions </t>
  </si>
  <si>
    <t>As it is not the aim of this study to investigate
perfect parameterizations but instead to provide a practical
overview of existing approaches and their applicability in
practice, we decided to use existing parameter estimation
algorithms. The libraries providing the approaches usually
also provide optimization algorithms for parameter estimation.</t>
  </si>
  <si>
    <t>Simulink models
simulating electronic control unit (ECU) functionality.</t>
  </si>
  <si>
    <t>Learning Algorithm, Preprocessing Details, &amp; No Repo</t>
  </si>
  <si>
    <t>issues in an iteration as text</t>
  </si>
  <si>
    <t>We collected the data of past iterations (also referred to as
sprints in those projects) and issues from five large open
source projects which follow the agile Scrum methodology:
Apache, JBoss, JIRA, MongoDB, and Spring. The project
descriptions and their agile adoptions have been reported
in Table 5.
All five projects use JIRA-Agile for their development
which is a well-known issue and project tracking tool that
supports agile practices. We use the Representational State
Transfer (REST) API provided by JIRA to query and collect
iteration and issue reports in JavaScript Object Notation
(JSON) format. Note that the JIRA Agile plug-in supports
both the Scrum and Kanban practices, but we collected only
the iterations following the Scrum practice. From the JIRA
API, we were also able to obtain issues’ change log and the
list of complete/incomplete issues of each iteration.
To build a feature vector representing an iteration, we
extracted fifteen attributes associated with an iteration (e.g.,
its duration, the number of participants, etc.). In addition,
an iteration is also characterized by its issues, thus we also
extracted twelve attributes associated with an issue (e.g.,
type, priority, number of comments, etc.) and a graph
describing the dependency between these issues (e.g., one
issue blocks another issue). The complexity descriptors of
the dependency graph (e.g., number of nodes, edges, fan
in and fan out) form a group of features for an iteration</t>
  </si>
  <si>
    <t>bag of words</t>
  </si>
  <si>
    <t>56,687 issues from 3,834 iterations</t>
  </si>
  <si>
    <t xml:space="preserve"> five large
open source projects, namely Apache, JBoss, JIRA, MongoDB, and Spring</t>
  </si>
  <si>
    <t>Precision, Recall, F1 Measure, AUC, MMAE, Mean Absolute Error, &amp; Matthews Correlation Coefficient</t>
  </si>
  <si>
    <t>Issue Report Features</t>
  </si>
  <si>
    <t>Kwoledge units from stack overflow (question + answers)</t>
  </si>
  <si>
    <t xml:space="preserve">100.000 knowledge units for the word embedding. 6400 pairs of knowledge units for training and 1600 for testing </t>
  </si>
  <si>
    <t>gradient descent, adam optimizer, cosine loss function.</t>
  </si>
  <si>
    <t xml:space="preserve">Manual ground truth </t>
  </si>
  <si>
    <t>Learning Algorithm, Hyperparameters, Filtering Details, &amp; No Repo</t>
  </si>
  <si>
    <t>EMSE</t>
  </si>
  <si>
    <t xml:space="preserve"> past issue reports in
JavaScript Object Notation (JSON) format
+
Number of crafted features</t>
  </si>
  <si>
    <t>sparse logistic regression
model and performed feature selection on those risk factors to choose those with good
discriminative power. In our study, we compared two different feature selection techniques:
1-penalized logistic regression model and using p-value from logistic regression model.</t>
  </si>
  <si>
    <t>multiple handcraft features</t>
  </si>
  <si>
    <t>~13K projects</t>
  </si>
  <si>
    <t>8 projects</t>
  </si>
  <si>
    <t>Precision, Recall, F1 Measure, AUC, MMAE, &amp; MMCE</t>
  </si>
  <si>
    <t>Input-output examples</t>
  </si>
  <si>
    <t xml:space="preserve">Random generator </t>
  </si>
  <si>
    <t>Character embeddings</t>
  </si>
  <si>
    <t>1024 million random I/O examples (training)</t>
  </si>
  <si>
    <t>256 million random programs (training)</t>
  </si>
  <si>
    <t>SGD + gradient clipping</t>
  </si>
  <si>
    <t>Size of recurrent and fully connected layers is 512. Embedding size is 128. 2 million minibatch updated. 
A small amount of hyperparameter tuning was done on a synthetic
validation set that was generated like the training.</t>
  </si>
  <si>
    <t>Input/Output examples of a domain-specific language with a random generator</t>
  </si>
  <si>
    <t>Text or files</t>
  </si>
  <si>
    <t>word2vec</t>
  </si>
  <si>
    <t>769366 artifact pairs</t>
  </si>
  <si>
    <t xml:space="preserve">Based on this loss function, we used a stochastic gradient
descent method [67] to update the network parameters. Uses Negative log likelihood. </t>
  </si>
  <si>
    <t>PTC corpus</t>
  </si>
  <si>
    <t>Precision &amp; Recall</t>
  </si>
  <si>
    <t>sentences/words</t>
  </si>
  <si>
    <t xml:space="preserve">We extracted
from the latest available Stack Overflow dump (dated July 2017) the
list of all discussions 
The labeling process was performed by five of the authors (from
now on, evaluators) and supported by a Web application we built.
The Web app showed to each evaluator a node (extracted from a
sentence) to label with a sentiment going from -2 to +2, with -2
indicating strong negative, -1 weak negative, 0 neutral, +1 weak
positive, and +2 strong positive score. The choice of the five-levels
sentiment classification was not random, but driven by the observation of the movie reviews training set made publicly available
by the authors of the Stanford CoreNLP [32] sentiment analysis
tool7. 
To avoid any bias, the Web app did not show to the evaluator
the complete sentence from which the node was extracted. Indeed,
knowing the context in which a word/sentence is used could introduce a bias in the assessment of its sentiment polarity. </t>
  </si>
  <si>
    <t>sentence or word</t>
  </si>
  <si>
    <t>1,500 manually labeled sentences/words</t>
  </si>
  <si>
    <t>In our study, they are mainly due to the configuration
of sentiment analysis tools/approaches we used. In most cases, we
use the default or suggested parameters</t>
  </si>
  <si>
    <t>StackOverflow</t>
  </si>
  <si>
    <t>Source code files</t>
  </si>
  <si>
    <t>Extracted  top active Java GitHub projects on January
22nd 2015. We obtained the most popular projects by taking the
sum of the z-scores of the number of watchers and forks of each
project, using the GitHub Archive. Starting from the top project,
we selected the top 20 projects excluding projects that were in a
domain that was previously selected. We also included only projects
with more than 50 collaborators and more than 500 commits. 
We only selected mature, active, and diverse projects with large development teams.</t>
  </si>
  <si>
    <t xml:space="preserve"> Each source code token and feature maps to a learned Ddimensional vector in continuous space. The token-vectors are multiplied with the position-dependent context matrixCi and summed, then added to the sum of all the feature-vectors. The resulting vector is the D-dimensional representation of the current source code identifier. We split identifier names
into subtokens based on camel case and underscores, resulting in a
set of subtokens that we use to compose new identifiers. </t>
  </si>
  <si>
    <t>Vector of size D, in this study D was determined to be 50. Based off the coputational complexity vs performance</t>
  </si>
  <si>
    <t>Source code files from the top 20 GitHub projects found with the predefined parameters.</t>
  </si>
  <si>
    <t>To learn these parameters, it has recently been shown [39, 38] that an alternative to the maximum likelihood method called noise contrastive estimation (NCE) [21] is effective. NCE measures how well the model p(t|c) can distinguish the real data in the training set from “fantasy data” that is generated from a simple noise distribution.
We optimize the model parameters using stochastic gradient descent. We employ NCE for all models in this paper.</t>
  </si>
  <si>
    <t>We used learning rate 0.07, D = 50, minibatch size 100, dropout 20% [48], generated 10 distractors for each
sample for each epoch and trained for a maximum of 25 epochs
picking the parameters that achieved the maximum likelihood in a
held out validation set (the 10% of the training data). The context
size was set to K = 6 and subtoken context size was set to M = 3.
Before the training started, parameters were initialized around 0
with uniform additive noise (scaled by 10−4
). The bias parameters
b were initialized such that P(t|c) matches the empirical (unigram)
distribution of the tokens (or subtokens for the subtoken model).
All the hyperparameters except for D were tuned using Bayesian
optimization on bigbluebutton for method declarations. The parameter D is special in that as we increase it, the performance of
each model increases monotonically (assuming a good validation
set), with diminishing returns. Also, an increase in D increases the
computational complexity of training and testing each model. We
picked D = 50 that resulted in a good trade-off of the computational
complexity vs. performance.</t>
  </si>
  <si>
    <t>They evaulated their model on the 20 project github dataset with the 30% reserved for testing. They compared against an ngram model, a model with no features, their mondel containing features and their subtoken model. The paper breaks down a variety of considered features and their influence over the results.</t>
  </si>
  <si>
    <t>NCE</t>
  </si>
  <si>
    <t>Log-Bilinear</t>
  </si>
  <si>
    <t>Java Source Code</t>
  </si>
  <si>
    <t xml:space="preserve">To build the corpora for our study, we used the JFlex scanner generator [59], which was packaged with a full Java lexical analyzer, to tokenize the source code in a repository of 16,221 Java projects cloned from GitHub. We augmented the production rules in the lexer since it originally did not support Java annotations. After tokenizing the files in each project, we sampled projects from the repository without replacement, querying enough projects to gather over seven million tokens. </t>
  </si>
  <si>
    <t>Feeding Preprocessed code tokens to initial layer of RNN</t>
  </si>
  <si>
    <t>A single source code token</t>
  </si>
  <si>
    <t>1,030 Projects, 7,344,442 tokens, and 125,181 unique tokens</t>
  </si>
  <si>
    <t>Stochastic Gradient Descent with negative log likelihood</t>
  </si>
  <si>
    <t>These models
have expansive design spaces spanned by several hyperparameters. We chose to measure the performance by varying
the size m of the hidden layer and the number of steps τ
in the truncated back-propagation through time algorithm. To
train and test RNNs, we used the RNNLM Toolkit [46]. We
instantiated 10 models with the same random seed, but we
varied m from 50 to 500 units with sigmoid activations.2 For
each model, we truncated the back-propagation through time
algorithm at τ = 10 levels, updating the context every 10
iterations, and factorized the output layer into 268 classes.
We used the default starting learning rate of 0.1 and the
default _x0008_2 regularization parameter of 10−6. The learning
rate was annealed during training by monitoring the model’s
performance on the development set: After each training
epoch, PP on the development set was computed to govern the
learning rate schedule [46].</t>
  </si>
  <si>
    <t>173 Java projects, 1.3 million tokens, 32,124 unique tokens</t>
  </si>
  <si>
    <t>Model Perplexity &amp; PP</t>
  </si>
  <si>
    <t>Training, Preprocessing Details, &amp; No Repo</t>
  </si>
  <si>
    <t>Benchmarks</t>
  </si>
  <si>
    <t>word2vec and GloVe</t>
  </si>
  <si>
    <t>295714(train) and 73931(testing)</t>
  </si>
  <si>
    <t>Stochastic gradient descent (cross entropy)</t>
  </si>
  <si>
    <t>Fixed parameters. Embedding size 300. Filter sizes: 3,4,5
Hyperparameter tuning is done only to
a certain extent, more can be done in this regard to
improve the results further.</t>
  </si>
  <si>
    <t>Bug datasets from Open Office, Eclipse and NetBeans curated by Lazar, et al 2014</t>
  </si>
  <si>
    <t>Tokens, input/output pairs</t>
  </si>
  <si>
    <t>For each element (ni, Ti) (1 ≤ i ≤ L) in the stack top’s list l, we use a lookup table
A over all terminals and non-terminals to convert ni into the embedding space. Specifically, we
compute a D-dimensional vector ei = A(ni) for 1 ≤ i ≤ L. Thus, we compute e1, ..., eL from l.</t>
  </si>
  <si>
    <t>Embedding tables</t>
  </si>
  <si>
    <t>Input/Output samples (input is a sequence of tokens and the output is its parse tree). Different sizes from 100 to 1.000.000 random and not randomly generated.</t>
  </si>
  <si>
    <t>cross entropy loss, gradient policy learning with adam optimizer.</t>
  </si>
  <si>
    <t>Learning rate is 0.01. Hidden state size for LSTM is 50. Mini batch size is 1. Hyperparameters are given but the method for manipulation is not given. We choose their hyperparameters based on their papers respectively, and further tune on
our datasets to get better experimental results.</t>
  </si>
  <si>
    <t>Toy language</t>
  </si>
  <si>
    <t>Source tree</t>
  </si>
  <si>
    <t>we develop a pCFG-based program generator and a subset of the core CoffeeScript grammar.
We utilize the CoffeeScript
compiler to generate the corresponding ground truth JavaScript programs.
we employ the same approach as in [22] to crawl several open-source
projects, which have both a Java and a C# implementation. Same as in [22], we pair the methods in
Java and C# based on their file names and method name</t>
  </si>
  <si>
    <t xml:space="preserve"> the first step is to convert both the source tree and the target tree into a binary tree. To this end,
we employ the Left-Child Right-Sibling representation for this conversion</t>
  </si>
  <si>
    <t>120,000 pairs of source and target programs</t>
  </si>
  <si>
    <t>The hyper-parameters used in different models can be found in the supplementary material.  Grid search batch size, RNN layers etc.</t>
  </si>
  <si>
    <t xml:space="preserve">
we employ three tasks: (1)
a synthetic translation task from an imperative language to a functional language; (2) translation
between CoffeeScript and JavaScript, which are both full-fledged languages; and (3) translation of
real-world projects from Java to C#, which has been used as a benchmark in the literature.</t>
  </si>
  <si>
    <t>Program Translation</t>
  </si>
  <si>
    <t>Trees</t>
  </si>
  <si>
    <t>Given a target function and a vulnerable function, VulSeeker first constructs the labeled semantic flow graphs and extracts basic block features as numerical vectors for both of them. Then the embedding vector of the whole binary function is generated by feeding the numerical vectors of basic blocks to the customized semantics aware DNN model.</t>
  </si>
  <si>
    <t>Firstly, VulSeeker constructs the LSFGs (Labeled semantic flow graph ) for the two binary functions. Then it extracts 8 types of lightweight
instruction features and encodes them as a numerical vector for
each basic block of the LSFG
We use IDAPython provided by IDA Pro [12] to create the CFG
for the basic blocks of each binary function
Based on the CFG,
we infer whether there should be a data pointing edge between
two basic blocks by leveraging the LLVM IR plugin [10] on IDA
Pro
We utilize the IDAPython to extract
features for each basic block. Then we encode the 8 features of
each basic block as a numerical vector</t>
  </si>
  <si>
    <t>Dataset I: 735,540
functions with 9,345K basic blocks
Dataset II: 4643 firmware images</t>
  </si>
  <si>
    <t>VulSeeker calculates their similarity with the Cosine function as the loss function
apply the stochastic gradient descent algorithm to automatically
learn model parameters</t>
  </si>
  <si>
    <t>Dataset I: BusyBox, OpenSSl and Coreutils
Dataset II: consists
of 4643 firmware images for various architectures from [6]</t>
  </si>
  <si>
    <t>Accuracy, ROC, &amp; AUC</t>
  </si>
  <si>
    <t>Security &amp; Clone Detection</t>
  </si>
  <si>
    <t>IDA Pro</t>
  </si>
  <si>
    <t>Hyperparameters, Training, Extraction Details, Filtering Details, &amp; No Repo</t>
  </si>
  <si>
    <t>compiled binaries</t>
  </si>
  <si>
    <t>The preprocessor is implemented as a plug-in of the
binary analysis tool IDA Pro 6.8 [24]. From each function in a binary, three types of information are extracted, i.e. its raw bytes</t>
  </si>
  <si>
    <t>100×100×1 input tensor where bytes are stored</t>
  </si>
  <si>
    <t xml:space="preserve">2,489,793 positive
samples (i.e., pairs of matching functions) from 66,823 pairs of crossversion binaries </t>
  </si>
  <si>
    <t>contrastive loss function is used
SGD with standard backprop is used.
we use the RMSProp optimizer [25], set the learning
rate to 0.001, and set the forgetting factor to 0.9. In the Siamese
network (Eq.4), we set the margin m, i.e., the minimal distance
between dissimilar functions, to 1.0. Furthermore, we set the ξ in
the overall similarity score formula (e.g., Equation 11) to 0.75. For
each mini-batch, 100 positive samples are selected and 200 semihard negative samples are generated online.</t>
  </si>
  <si>
    <t xml:space="preserve">The Siamese network
is trained for 200 epochs (3.075 h/epoch), to tune the parameters in
the CNN embedding network.
We have conducted a set of experiments to select proper parameters and design decisions. Due to the time and resource limitation,
we train each model setting with 25% samples of the training set
for 30 epochs. We evaluate each model’s performance on a subset
of the testing set, in which the number of positive samples of each
binary pair is no less than 100.
</t>
  </si>
  <si>
    <t>Github and Debian package repository</t>
  </si>
  <si>
    <t>Constrastive Loss</t>
  </si>
  <si>
    <t>Preprocessing Details, Filtering Details, &amp; No repos</t>
  </si>
  <si>
    <t>Combining Deep Learning with Information Retrieval to Localize Buggy Files for Bug Reports</t>
  </si>
  <si>
    <t>N/A-metrics</t>
  </si>
  <si>
    <t>mrr</t>
  </si>
  <si>
    <t>non-RocOrAUC</t>
  </si>
  <si>
    <t>non-BLEU</t>
  </si>
  <si>
    <t>non-Acc</t>
  </si>
  <si>
    <t>Prec</t>
  </si>
  <si>
    <t>non-Recall</t>
  </si>
  <si>
    <t>non-F1</t>
  </si>
  <si>
    <t>N/A-Tuning</t>
  </si>
  <si>
    <t>N/A-OptMethod</t>
  </si>
  <si>
    <t>N/A-Learning</t>
  </si>
  <si>
    <t>N/A-Loss</t>
  </si>
  <si>
    <t>non-RepoMeta</t>
  </si>
  <si>
    <t>non-I/O</t>
  </si>
  <si>
    <t>non-Vision</t>
  </si>
  <si>
    <t>Code</t>
  </si>
  <si>
    <t>non-Natural</t>
  </si>
  <si>
    <t>non-Reprod</t>
  </si>
  <si>
    <t>non-ExDe</t>
  </si>
  <si>
    <t>non-Prep</t>
  </si>
  <si>
    <t>non-LearningAlg</t>
  </si>
  <si>
    <t>non-NoRepo</t>
  </si>
  <si>
    <t>Hyper</t>
  </si>
  <si>
    <t>Filter</t>
  </si>
  <si>
    <t>Suggesting Accurate Method and Class Names</t>
  </si>
  <si>
    <t>non-mrr</t>
  </si>
  <si>
    <t>F1</t>
  </si>
  <si>
    <t>N/A-Data</t>
  </si>
  <si>
    <t>NoRepo</t>
  </si>
  <si>
    <t>non-Hyper</t>
  </si>
  <si>
    <t>non-Filter</t>
  </si>
  <si>
    <t>Neural programmer-interpreters</t>
  </si>
  <si>
    <t>Acc</t>
  </si>
  <si>
    <t>non-Prec</t>
  </si>
  <si>
    <t>non-Code</t>
  </si>
  <si>
    <t>Learning program embeddings to propagate feedback on student code</t>
  </si>
  <si>
    <t>Deep Representations for Software Engineering</t>
  </si>
  <si>
    <t>metrics</t>
  </si>
  <si>
    <t>LearningAlg</t>
  </si>
  <si>
    <t>Exploring the use of deep learning for feature location</t>
  </si>
  <si>
    <t>Toward Deep Learning Software Repositories</t>
  </si>
  <si>
    <t>Prep</t>
  </si>
  <si>
    <t>Deep learning code fragments for code clone detection</t>
  </si>
  <si>
    <t>Learning a dual-language vector space for domain-specific cross-lingual question retrieval</t>
  </si>
  <si>
    <t>Predicting semantically linkable knowledge in developer online forums via convolutional neural network</t>
  </si>
  <si>
    <t>Deep API Learning</t>
  </si>
  <si>
    <t>BLEU</t>
  </si>
  <si>
    <t>A convolutional attention network for extreme summarization of source code</t>
  </si>
  <si>
    <t>Automatically Learning Semantic Features for Defect Prediction</t>
  </si>
  <si>
    <t>Latent attention for if-then program synthesis</t>
  </si>
  <si>
    <t>I/O</t>
  </si>
  <si>
    <t>Applying Deep Learning Based Automatic Bug Triager to Industrial Projects</t>
  </si>
  <si>
    <t>ExDe</t>
  </si>
  <si>
    <t>Automatic Text Input Generation for Mobile Testing</t>
  </si>
  <si>
    <t>Automatically generating commit messages from diffs using neural machine translation</t>
  </si>
  <si>
    <t>Bayesian specification learning for finding API usage errors</t>
  </si>
  <si>
    <t>Are deep neural networks the best choice for modeling source code?</t>
  </si>
  <si>
    <t>CCLearner: A Deep Learning-Based Clone Detection Approach</t>
  </si>
  <si>
    <t>Deep Green: Modelling Time-Series of Software Energy Consumption</t>
  </si>
  <si>
    <t>Differentiable programs with neural libraries</t>
  </si>
  <si>
    <t>Image-to-markup generation with coarse-to-fine attention</t>
  </si>
  <si>
    <t>Learn&amp;Fuzz: Machine learning for input fuzzing</t>
  </si>
  <si>
    <t>Learning to align the source code to the compiled object code</t>
  </si>
  <si>
    <t>Learning to Predict Severity of Software Vulnerability Using Only Vulnerability Description</t>
  </si>
  <si>
    <t>Making neural programming architectures generalize via recursion</t>
  </si>
  <si>
    <t>Neural program metainduction.</t>
  </si>
  <si>
    <t>Deepcoder: Learning to write programs</t>
  </si>
  <si>
    <t>Robustfill: Neural program learning under noisy i/o</t>
  </si>
  <si>
    <t>Semantically Enhanced Software Traceability Using Deep Learning Techniques</t>
  </si>
  <si>
    <t>Towards Accurate Duplicate Bug Retrieval Using Deep Learning Techniques</t>
  </si>
  <si>
    <t>Predicting and Evaluating Software Model Growth in the Automotive Industry</t>
  </si>
  <si>
    <t>Predicting Delivery Capability in Iterative Software Development</t>
  </si>
  <si>
    <t>Predicting the delay of issues with due dates in software projects</t>
  </si>
  <si>
    <t>RocOrAUC</t>
  </si>
  <si>
    <t>Automatic categorization with deep neural network for open-source Java projects</t>
  </si>
  <si>
    <t>A Neural Framework for Retrieval and Summarization of Source Code</t>
  </si>
  <si>
    <t>An Empirical Investigation into Learning Bug-fixing Patches in the Wild via Neural Machine Translation</t>
  </si>
  <si>
    <t>Reprod</t>
  </si>
  <si>
    <t>Deep Learning Based Feature Envy Detection</t>
  </si>
  <si>
    <t>Neural Code Comprehension: A Learnable Representation of Code Semantics</t>
  </si>
  <si>
    <t>Neural guided constraint logic programming for program synthesis</t>
  </si>
  <si>
    <t>Improving Automatic Source Code Summarization via Deep Reinforcement Learning</t>
  </si>
  <si>
    <t>Neural Program Synthesis from Diverse Demonstration Videos</t>
  </si>
  <si>
    <t>Neural sketch learning for conditional program generation</t>
  </si>
  <si>
    <t>Neural-augmented Static Analysis of Android Communication</t>
  </si>
  <si>
    <t>Neuro-Symbolic Program Corrector for Introductory Programming Assignments</t>
  </si>
  <si>
    <t>On the Adoption of Neural Networks in Modeling Software Reliability</t>
  </si>
  <si>
    <t>Leveraging grammar and reinforcement learning for neural program synthesis</t>
  </si>
  <si>
    <t>Neural-guided deductive search for real-time program synthesis from examples</t>
  </si>
  <si>
    <t>Towards synthesizing complex programs from input-output</t>
  </si>
  <si>
    <t>On the Naturalness of Proofs</t>
  </si>
  <si>
    <t>Oreo: Detection of Clones in the Twilight Zone</t>
  </si>
  <si>
    <t>Deep Learning Type Inference</t>
  </si>
  <si>
    <t>DSM: A Specification Mining Tool Using Recurrent Neural Network Based Language Model</t>
  </si>
  <si>
    <t>Combining Symbolic Expressions and Black-box Function Evaluations in Neural Programs</t>
  </si>
  <si>
    <t>Deep Code Search</t>
  </si>
  <si>
    <t>DWEN: Deep Word Embedding Network for Duplicate Bug Report Detection in Software Repositories</t>
  </si>
  <si>
    <t>From UI Design Image to GUI Skeleton: A Neural Machine Translator to Bootstrap Mobile GUI Implementation</t>
  </si>
  <si>
    <t>DRLgencert: Deep Learning-Based Automated Testing of Certificate Verification in SSL/TLS Implementations</t>
  </si>
  <si>
    <t>Compiler Fuzzing Through Deep Learning</t>
  </si>
  <si>
    <t>Deep Specification Mining</t>
  </si>
  <si>
    <t>Sentiment Analysis for Software Engineering: How Far Can We Go?</t>
  </si>
  <si>
    <t>Tree-to-tree neural networks for program translation</t>
  </si>
  <si>
    <t>VulSeeker: A Semantic Learning Based Vulnerability Seeker for Cross-platform Binary</t>
  </si>
  <si>
    <t>αDiff: cross-version binary code similarity detection with DNN</t>
  </si>
  <si>
    <t>Dynamic Neural Program Embedding for Program Repair</t>
  </si>
  <si>
    <t>Learning to represent programs with graphs</t>
  </si>
  <si>
    <t>Automatic Program Synthesis of Long Programs with a Learned Garbage Collector</t>
  </si>
  <si>
    <t>Improving Neural Program Synthesis with Inferred Execution Traces</t>
  </si>
  <si>
    <t>Learning Libraries of Subroutines for Neurally–Guided Bayesian Program Induction</t>
  </si>
  <si>
    <t>Learning loop invariants for program verification</t>
  </si>
  <si>
    <t>Learning to infer graphics programs from hand-drawn images</t>
  </si>
  <si>
    <t>Learning to repair software vulnerabilities with generative adversarial networks</t>
  </si>
  <si>
    <t>Memory Augmented Policy Optimization for Program Synthesis and Semantic Parsing</t>
  </si>
  <si>
    <t>A deep learning model for estimating story points</t>
  </si>
  <si>
    <t>Automatic feature learning for predicting vulnerable software components</t>
  </si>
  <si>
    <t>Automating Intention Mining</t>
  </si>
  <si>
    <t>How Well Do Change Sequences Predict Defects? Sequence Learning from Software Changes</t>
  </si>
  <si>
    <t>Mining Fix Patterns for FindBugs Violations</t>
  </si>
  <si>
    <t>Deep learning similarities from different representations of source code</t>
  </si>
  <si>
    <t>Machine Learning-Based Prototyping of Graphical User Interfaces for Mobile Apps</t>
  </si>
  <si>
    <t>Maybe Deep Neural Networks are the Best Choice for Modeling Source Code</t>
  </si>
  <si>
    <t>Mining Likely Analogical APIs across Third-Party Libraries via Large-Scale Unsupervised API Semantics Embedding</t>
  </si>
  <si>
    <t>ID</t>
  </si>
  <si>
    <t>Premises</t>
  </si>
  <si>
    <t>Conclusion</t>
  </si>
  <si>
    <t>Support</t>
  </si>
  <si>
    <t>Confidence</t>
  </si>
  <si>
    <t>LaPlace</t>
  </si>
  <si>
    <t>Gain</t>
  </si>
  <si>
    <t>p-s</t>
  </si>
  <si>
    <t>Lift</t>
  </si>
  <si>
    <t>416 Rules In Total</t>
  </si>
  <si>
    <t>Useful?</t>
  </si>
  <si>
    <t>non-Vision, non-Natural</t>
  </si>
  <si>
    <t>non-BLEU, non-F1</t>
  </si>
  <si>
    <t>non-Vision, non-F1</t>
  </si>
  <si>
    <t>non-mrr, non-F1</t>
  </si>
  <si>
    <t>non-RepoMeta, non-F1</t>
  </si>
  <si>
    <t>non-Vision, non-mrr, non-Natural</t>
  </si>
  <si>
    <t>non-mrr, non-Natural</t>
  </si>
  <si>
    <t>non-RocOrAUC, non-Natural</t>
  </si>
  <si>
    <t>non-Vision, non-RepoMeta</t>
  </si>
  <si>
    <t>non-BLEU, supervised</t>
  </si>
  <si>
    <t>non-Vision, non-Prep</t>
  </si>
  <si>
    <t>non-I/O, non-Natural</t>
  </si>
  <si>
    <t>non-RepoMeta, non-Natural</t>
  </si>
  <si>
    <t>non-RocOrAUC, non-mrr, non-Natural</t>
  </si>
  <si>
    <t>non-Vision, non-mrr</t>
  </si>
  <si>
    <t>non-BLEU, non-Natural</t>
  </si>
  <si>
    <t>non-BLEU, non-RepoMeta</t>
  </si>
  <si>
    <t>non-mrr, non-RepoMeta</t>
  </si>
  <si>
    <t>non-BLEU, non-Reprod</t>
  </si>
  <si>
    <t>non-mrr, supervised</t>
  </si>
  <si>
    <t>non-RepoMeta, non-Reprod</t>
  </si>
  <si>
    <t>non-RocOrAUC, non-Vision, non-mrr</t>
  </si>
  <si>
    <t>non-RocOrAUC, non-Prep</t>
  </si>
  <si>
    <t>non-RocOrAUC, supervised</t>
  </si>
  <si>
    <t>non-I/O, non-RepoMeta</t>
  </si>
  <si>
    <t>non-BLEU, non-Vision, non-RepoMeta</t>
  </si>
  <si>
    <t>non-RocOrAUC, non-Vision, non-RepoMeta</t>
  </si>
  <si>
    <t>non-BLEU, non-mrr, non-RepoMeta</t>
  </si>
  <si>
    <t>non-RocOrAUC, non-mrr, non-RepoMeta</t>
  </si>
  <si>
    <t>non-BLEU, non-RocOrAUC, non-Natural</t>
  </si>
  <si>
    <t>non-BLEU, non-Vision, non-Natural</t>
  </si>
  <si>
    <t>non-RocOrAUC, non-Vision</t>
  </si>
  <si>
    <t>non-RocOrAUC, non-mrr</t>
  </si>
  <si>
    <t>non-RocOrAUC, non-RepoMeta</t>
  </si>
  <si>
    <t>non-Vision, non-I/O</t>
  </si>
  <si>
    <t>non-mrr, non-I/O</t>
  </si>
  <si>
    <t>non-mrr, non-Reprod</t>
  </si>
  <si>
    <t>non-BLEU, non-ExDe</t>
  </si>
  <si>
    <t>non-Vision, non-Reprod</t>
  </si>
  <si>
    <t>non-mrr, non-ExDe</t>
  </si>
  <si>
    <t>non-RocOrAUC, non-Reprod</t>
  </si>
  <si>
    <t>non-BLEU, non-Prep</t>
  </si>
  <si>
    <t>non-Vision, non-ExDe</t>
  </si>
  <si>
    <t>non-I/O, non-ExDe</t>
  </si>
  <si>
    <t>non-BLEU, non-RocOrAUC, non-RepoMeta</t>
  </si>
  <si>
    <t>non-BLEU, non-RocOrAUC</t>
  </si>
  <si>
    <t>non-BLEU, non-Vision</t>
  </si>
  <si>
    <t>non-BLEU, non-mrr</t>
  </si>
  <si>
    <t>non-BLEU, non-I/O</t>
  </si>
  <si>
    <t>non-RocOrAUC, non-I/O</t>
  </si>
  <si>
    <t>non-RocOrAUC, non-F1</t>
  </si>
  <si>
    <t>non-RocOrAUC, non-ExDe</t>
  </si>
  <si>
    <t>non-BLEU, non-RocOrAUC, non-Vision</t>
  </si>
  <si>
    <t>non-BLEU, non-RocOrAUC, non-mrr</t>
  </si>
  <si>
    <t>non-BLEU, non-Vision, non-mrr</t>
  </si>
  <si>
    <t>non-BLEU, non-mrr, non-Natural</t>
  </si>
  <si>
    <t>293 Rules In Total</t>
  </si>
  <si>
    <t>What classification metrics are used to evaluate the model</t>
  </si>
  <si>
    <t>Mean Average Precision and Mean Recuproval Rank</t>
  </si>
  <si>
    <t>To measure the quality of a suggestion, we compute the F1 score
and the accuracy for the retrieval over the subtokens of each correct
token. Thus, all methods are given partial credit if the predicted
name is not an exact match but shares subtokens with the correct
name. F1 is the harmonic mean of precision and recall and is a
standard measure [32] because it conservative: as a harmonic mean, its value is 
influenced most by the lowest of precision and recall. 
We also compute the accuracy of each prediction: a prediction is
correct when the model predicts exactly (exact match) the actual
token. When computing the F1 score for suggestion rank k &gt; 1, we
pick the precision, recall, and F1 of the rank l ≤ k that results in the
highest F1 score.</t>
  </si>
  <si>
    <t>prediction accuracy</t>
  </si>
  <si>
    <t>To understand how much functionality of a program is captured in our embeddings, we evaluate the accuracy to which
we can use the program embedding matrices learned by the
NPM model</t>
  </si>
  <si>
    <t>Mean Recipricol Rank of the Returned documents</t>
  </si>
  <si>
    <t>PP, model complexity</t>
  </si>
  <si>
    <t>Percision and time</t>
  </si>
  <si>
    <t>Validation Accuracy</t>
  </si>
  <si>
    <t xml:space="preserve">Accuracy, Precision, Recall, and F-1  </t>
  </si>
  <si>
    <t>The input space of our search
problem consists of vectors (vc, x0, y0, θ, vp)
vc = car velocity,
x0, y0 = position of pedestrian,
θ = orientation of pedestrian,
vp = velocity of pedestrian</t>
  </si>
  <si>
    <t>test generation strategy based on adaptive random search. Fitness functions are generated from analysis of the PeVI model and used to predict fitness values through a DL network</t>
  </si>
  <si>
    <t>5 dim vector</t>
  </si>
  <si>
    <t>we consider the following well-known training
algorithms to develop our surrogate models: Bayesian regularization backpropagation (BR) [39], Levenberg-Marquardt
(LM) [30], and Scaled conjugate gradient backpropagation
(SCG)  (Best found = BR)
we rely on population-based and
multi-objective search optimization algorithms
we choose the Non-dominated
Sorting Genetic Algorithm version 2 (NSGAII).  goal of optimization is to
minimize the fitness functions F1 to Fk (make the net's fitness scores resemble actual fitness scores)</t>
  </si>
  <si>
    <t>Training neural networks requires tuning a number of
parameters, particularly the number of (hidden) layers, the
number of neurons in each hidden layer and the number of
epochs. Further, we need to choose among the three training
algorithms (i..e, BR, LM, and SCG). Finding the best values
for these parameters and selecting the best performing algorithm in our case is addressed in our empirical evaluation
(Section 6).</t>
  </si>
  <si>
    <t>Benchmark: Just NSGAII and random search</t>
  </si>
  <si>
    <t>coefficient of determination, hypervolume (HV) and generational distance (GD)</t>
  </si>
  <si>
    <t xml:space="preserve">BLEU score, FRank, and relevancy ratio </t>
  </si>
  <si>
    <t>Exact match is the percentage of the method names predicted exactly, while the
F1 score is computed in a per-subtoken basis
We measure the out-of-vocabulary
(OOV) word accuracy as the percentage of the outof-vocabulary subtokens that are correctly predicted by
copy_attention.</t>
  </si>
  <si>
    <t>F1, Precion and Recall</t>
  </si>
  <si>
    <t>Used top-k accuracy with k = 1 and 3</t>
  </si>
  <si>
    <t>Screen Coverage was used to evaluate the tool. This counted the amount of unique screens their approach was able to reach versus the Random approach.</t>
  </si>
  <si>
    <t>The authors used the BLEU score to evaluate their approach. Authors also performed a study with Humans to evaluate the semantic similarity their commit messages have to real commit messages with a 7 point Likert scale.</t>
  </si>
  <si>
    <t>Accuracy of possible bugs
Our definition of a “possible bug” is based on the following: is
a behavior an instance of Android API usage that is questionable
enough that we would expect it to be raised as an issue in a formal
code review
the KL-divergence between the
behavior model for the given program and a program in the corpus</t>
  </si>
  <si>
    <t>Used entropy, top-k accuracy with k ∈ 1, 5, and Mean n Reciprocal
Ranking (MRR)</t>
  </si>
  <si>
    <t>Recall (R) measures among all known true clone pairs, how
many of them are detected by a clone detection approach
Precision (P) measures among all of the clone pairs reported
by a clone detection approach, how many of them are actually
true clone pairs
To properly evaluate the precision of CCLEARNER and
other approaches, we randomly sampled each tool’s reported
clone pairs, and manually examined the method pairs to check
whether they were true clones. To ensure that our sampled
data is representative, we chose 385 reported clones for each
approach. When an approach reports hundreds of thousands of
clone pairs, 385 is a statistically significant sample size with
a 95% confidence level and ±5% confidence interval.
C score (C) combines Pestimated and RT1−ST3 to measure
the overall accuracy of clone detection as below:
C = (2 ∗ P_estimated ∗ R_(T1−ST3)) / (P_estimated + R_(T1−ST3))
.</t>
  </si>
  <si>
    <t>ICMSE</t>
  </si>
  <si>
    <t>Checking their relative prediction error of total energy consumption for given software test runs</t>
  </si>
  <si>
    <t>Pure accuracy at adding numbers, applying operators to random numbers, and the Math task.</t>
  </si>
  <si>
    <t xml:space="preserve">Our core evaluation method is to check the accuracy of the
rendered markup output image xˆ compared to the true image x.We also include standard intrinsic text generation metrics, conditional language model perplexity and
BLEU score (Papineni et al., 2002), on both tokenized and
normalized gold data.
</t>
  </si>
  <si>
    <t>we measured their coverage of the Edge
PDF parser</t>
  </si>
  <si>
    <t>g accuracy, which is computed per object-code statement as follows. First, the network predicts pseudo-probabilities of
aligning source code statements to each object code statement. Second, in order to obtain hard alignments, we take
the index of the maximal element in each row of the predicted soft alignment matrix. Third, for every object code
statement, we count a true alignment only if the aligned
source code statement is the ground truth alignment. The
accuracy is reported separately for the three optimization
levels and for all of them combined.</t>
  </si>
  <si>
    <t>We use Accuracy Precision, Recall and F1-measure that
are commonly used to evaluate the effectiveness of prediction
problems in the literature</t>
  </si>
  <si>
    <t>Use accuracy of whether model was able to produce the same output as the program</t>
  </si>
  <si>
    <t xml:space="preserve">Conditional confusion matrix (average false positive probability)
Timings, </t>
  </si>
  <si>
    <t>Generalization Accuracy</t>
  </si>
  <si>
    <t>Precision-Recall</t>
  </si>
  <si>
    <t>Accuracy, Recall, Precision</t>
  </si>
  <si>
    <t>Root Mean Squared
Error (RMSE) was used as main evaluation metric</t>
  </si>
  <si>
    <t>: Mean Absolute Error (MAE) [6] to measure the predictive performance
of our models in a term of the errors between the actual and
the predicted velocityðDifferenceÞ. However, different
projects have different velocityðDifferenceÞ ranges (see
Table 7). Thus, we needed to normalize the MAE (by dividing it with the interquartile range) to allow for comparisons
of the MAE across the studied project.
precision, recall, F-measure,
Area Under the ROC Curve (AUC) to measure the performance in classifying the outcome of an iteration. We also
used another metric called Macro-averaged Mean Absolute
Error (MMAE) [42] to assess the distance between actual
and predicted classes since the classes is ordinal, we can
order them, e.g., over achieved is better than achieved
We thus also used Matthews correlation coefficient (MCC) to compare models</t>
  </si>
  <si>
    <t>Precision/Recall/F-measures/AUC/Macro-averaged Mean Cost-Error (MMCE)/Macro-averaged Mean Absolute Error (MMAE)</t>
  </si>
  <si>
    <t>accuracy</t>
  </si>
  <si>
    <t>All the 50 snippets are ranked by a specific model,
and the rank of the golden snippet ci
, denoted by ri
, is used to
compute the Mean Reciprocal Rank (MRR)3
. We repeat 20 times the
procedure for different random distractor snippets and compute
the mean with 0.95 confidence interval of the MRR. We evaluate the generated
text by computing BLEU-4 score [23] and METEOR score [3] against
the reference texts. Both metrics are commonly used for automatic
evaluation of machine translation. 200 Code snippets for golden set were used for code summarization.</t>
  </si>
  <si>
    <t>The model was able to successfully generate a fix for 538 out
of 5,835 cases (9.22% of the BFPs in the test set). Just the use of precision based on the ground truth of developer bug fix</t>
  </si>
  <si>
    <t>After the evaluation, we calculate the precision, recall, and F1 of
the proposed approach</t>
  </si>
  <si>
    <t>Visual inspection of plots and Analogies and Tests We also evaluate inst2vec by automatically generating a list of statement
analogies (“a” is to “b” as “c” is to “?”, or “a:b; c:?”) that appear in our vocabulary using the LLVM on whether top-5 neighbors contained the correct answer.</t>
  </si>
  <si>
    <t>BLEU [29], METEOR [34], ROUGE-L [35] and CIDER [36].</t>
  </si>
  <si>
    <t>we evaluate
accuracy based on the synthesized codes and the underlying
program (sequence accuracy and program accuracy) as well
as the execution of the program (execution accuracy)</t>
  </si>
  <si>
    <t>We then measured the number of test programs for which a program that is
equivalent to the expected one appeared in the top-10 results from the model.
M1. This binary metric measures whether the expected program appeared in a syntactically
equivalent form in the results. Of course, an impediment to measuring this is that the
names of variables used in the expected and predicted programs may not match. It is
neither reasonable nor useful for any model of code to learn the exact variable names in
the training data. Therefore, in performing this equivalence check, we abstract away the
variable names and compare the rest of the program’s Abstract Syntax Tree (AST) instead.
M2. This metric measures the minimum Jaccard distance between the sets of sequences of API
calls made by the expected and predicted programs. It is a measure of how close to the
original program were we able to get in terms of sequences of API calls.
M3. Similar to metric M2, this metric measures the minimum Jaccard distance between the sets
of API calls in the expected and predicted programs.
M4. This metric computes the minimum absolute difference between the number of statements
in the expected and sampled programs, as a ratio of that in the former.
M5. Similar to metric M4, this metric computes the minumum absolute difference between the
number of control structures in the expected and sampled programs, as a ratio of that in the
former. Examples of control structures are branches, loops, and try-catch statements.</t>
  </si>
  <si>
    <t>F1 score, ROC, and • Kruskal’s γ is used to measure the correlation between the ranking computed by our model and the ground truth on may links</t>
  </si>
  <si>
    <t>diffs</t>
  </si>
  <si>
    <t>They first extracted the first sentence of each collected commit message. Next, to reduce their vocabulary size and
improve the performance of NMT, they removed commit ids from
diffs, and removed issue ids from reference messages. Then, they
removed merge commits, rollback commits and commits with a
diff that is larger than 1MB. Finally, they broke reference messages and diffs into tokens. But they did not convert tokens
into lowercase, and nor did they split the CamelCase tokens.</t>
  </si>
  <si>
    <t>a few sentences</t>
  </si>
  <si>
    <t>nearest neighbor (NN) algorithm</t>
  </si>
  <si>
    <t>Since we wish to investigate the reason behind NMT’s good performance and compare the performance of NNGen and NMT, we
simply use Jiang et al.’s dataset to conduct our experiments. Jiang
et al. have gratefully published their dataset [1]. To make our paper
self-contained, we briefly describe the building process of Jiang et
al.’s dataset in following paragraphs.
Also Comapre against Jiang et al's appraoch which is based on Neural machine Translation</t>
  </si>
  <si>
    <t>using the corpus-level BLEU-4 score
Each participant is asked to read 100 commits
and assess the semantic similarities between reference messages and
each of commit messages generated by NNGen and NMT.</t>
  </si>
  <si>
    <t>Accuracy of whether the model generated a fixed the syntax or not</t>
  </si>
  <si>
    <t>Top-1 Generalization Accuracy</t>
  </si>
  <si>
    <t>Cross-entropy (typically just called entropy) is our primary metric
Prediction accuracy top-1/5/10:</t>
  </si>
  <si>
    <t>accuracy, precision, recall, ROC, and AUC.</t>
  </si>
  <si>
    <t>We evaluate our models on the accuracy and consistency of their
predictions. We measure the
rank of the correct prediction and extract top-K accuracy metrics.
The RNN also emits a
probability with its top prediction, which can be used to reflect its
“confidence” at that location. This can be used to set a minimum
confidence threshold, below which DeepTyper’s suggestions are
not presented. Thus, we also show precision/recall results when
varying this confidence threshold for DeepTyper</t>
  </si>
  <si>
    <t>F measure</t>
  </si>
  <si>
    <t>Accuracy Precision Recall, Model Error True Error</t>
  </si>
  <si>
    <t>We use four common metrics to
measure the effectiveness of code search, namely, FRank, SuccessRate@k, Precision@k, and Mean Reciprocal Rank (MRR).</t>
  </si>
  <si>
    <t>Recall rate</t>
  </si>
  <si>
    <t>The first metric we use is exact match rate. we adopt BLEU (BiLingual Evaluation Understudy) [47]
as another metric.  We manually study the differences between
these generated GUI skeletons and their ground truth</t>
  </si>
  <si>
    <t>They measured their ability to collect cirtificates, generating certificates that triggger discrepancies. And determining how many / what kind of flaws were found. Descrepancy Proportion.</t>
  </si>
  <si>
    <t>we provide a
quantitative analysis of compiler robustness over time, using the
compiler crash rate of every LLVM release in the past two years
as a metric of compiler robustness. 
compiler robustness over time</t>
  </si>
  <si>
    <t>True positive, false positive, true negative, false negative
precision, recall, and F-measure to measure the
accuracy of automata output by a specification mining algorithm
against ground truth models</t>
  </si>
  <si>
    <t>We assessed the accuracy of the opinion miner by computing recall
and precision for each category (positive, neutral, and negative)</t>
  </si>
  <si>
    <t>program accuracy, which is the percentage of the
predicted target programs that are exactly the same as the ground truth in the dataset.</t>
  </si>
  <si>
    <t>Accuracy, ROC, and AUC for dataset I
top-k candidates for dataset II</t>
  </si>
  <si>
    <t>evaluate whether the matching function is in
the top K matching candidates reported by a given BCSD, namely
Recall@K</t>
  </si>
  <si>
    <t>Accuracy on whether their model was able to predict the correct type of error in a program.
They also used their program embeddings in SARFGEN for program repair to see if they could predict top 1 error each time and repair the program with the corrections and report how many tries it takes for them to get the a correct solution.</t>
  </si>
  <si>
    <t>Accuracy of whether it picked the correct VarName in the VarNaming task and if they selected the incorrect use of a Var for the VarMisuse task</t>
  </si>
  <si>
    <t>Accuracy of solving the test inputs
We employ the CIDEr [13] score in order to compute this
similarity. CIDEr is considered a relatively semantic measure for similarity between two sentences,
and is computed based on a weighted combination of n-grams that takes into account the words’
frequency
We next perform an ablation analysis in order to study the contribution of each component.</t>
  </si>
  <si>
    <t>Top-K Exact
Match, which measures how often one of the top K output programs of the model textually matches
the original program exactly; and
Top-K Generalization, which denotes the fraction of test instances
for which one of the top K output programs will have the correct behavior across the 5 input/output
examples used to specify the program to the model, as well as the held-out 6th input/output example.
Top-K Model-Guided Search
Accuracy. In this metric, we consider the top K program outputs in order, from most likely to least
likely. We test each candidate program on the 5 input/output examples that specify the program, and
see if it works correctly on those 5.</t>
  </si>
  <si>
    <t>% of solved tasks and time to solve</t>
  </si>
  <si>
    <t>number of instances solved and ablation study</t>
  </si>
  <si>
    <t>Eval 1: Avg amount of errors when producing diagrams
Eval 2: Top-1 most likely sample exactly matches the ground
truth
Timings</t>
  </si>
  <si>
    <t>Sorting task: Order Accuracy and Sequence Accuracy
CGF: CFG accuracy and BLEU score</t>
  </si>
  <si>
    <t>The approach is compared against: Random Guessing, Mean, and Median methods and six alternatives (e.g. using Doc2Vec and Random
Forests) in the metrics of Mean Absolute Error, Median Absolute Error,
and the Standardized Accuracy. Random guessing is a naive benchmark used to
assess if an estimation model is useful. Random
guessing performs random sampling (with equal
probability) over the set of issues with known story
points, chooses randomly one issue from the sample,
and uses the story point value of that issue as the
estimate of the target issue. Approach compared against  Random
Forests (RF), Support Vector Machine (SVM), Automatically Transformed Linear Model (ATLM), and
Linear Regression (LR).  They tested
the statistical significance of the absolute errors achieved
with the two models using the Wilcoxon Signed Rank Test</t>
  </si>
  <si>
    <t>A confusion matrix is used to evaluate the performance of
our predictive models. The confusion matrix is then used to
store the correct and incorrect decisions made by a classifier. Precision, Recall, and F-measure for the vulnerable
files. Area Under the ROC Curve (AUC) is used to evaluate the degree of discrimination achieved by the
model. The value of AUC is ranged from 0 to 1 and
random prediction has AUC of 0.5. The advantage
of AUC is that it is insensitive to decision threshold
like precision and recall. The higher AUC indicates a
better predictor.</t>
  </si>
  <si>
    <t>Followed by Di Sorbo et al.’s study [10],
we use accuracy, precision, recall, and F1-score to evaluate
the performance of our approach. The approach also measures, time and memory consumption of their approach. Lastly, a user study is performed to determine the quality of the CNN to classify the intentions. Also helps to validate the manual labeling done by the authors for the manually curated dataset.</t>
  </si>
  <si>
    <t>Precision, Recall and F-measure are the conventional performance measures for defect prediction
Area Under the
ROC Curve (AUC), for evaluation. The Receiver Operating
Characteristic (ROC) plots the true positive rate against false
positive rate. ROC illustrates the performance of a classifier
model when its discrimination threshold is varied.</t>
  </si>
  <si>
    <t xml:space="preserve">% of violations that are fixed compared to the set fixed by develoeprs. </t>
  </si>
  <si>
    <t>Precision, Recall and F-Measure
Spearman's rank correctlion done for correlation study.
Also calculate Intersection, difference and Exclusive percentage of the 4 representations.</t>
  </si>
  <si>
    <t>Mean Accuracy, Median Accuracy, Precision, Recall</t>
  </si>
  <si>
    <t>Text from stack overflow</t>
  </si>
  <si>
    <t>Taken from a previous experiment by Xu et al.</t>
  </si>
  <si>
    <t>Uses word2vec in order to get a word embedding</t>
  </si>
  <si>
    <t>Kept in Pandas dataframe fortmat including the post ID, related post ID, and a link type which is determined by a score between the 2 posts.</t>
  </si>
  <si>
    <t>N/A for DL, for ML they used differential evolution.</t>
  </si>
  <si>
    <t>Tested stack overflow dataset</t>
  </si>
  <si>
    <t xml:space="preserve">precision, recall, f1 score, time in seconds, </t>
  </si>
  <si>
    <t>Top-1 classification of the GUI components, also uses a confusion matrix and precision.</t>
  </si>
  <si>
    <t>MRR evaluation. The intrinsic metric that we use is cross entropy, which is a standard measure employed in previous work</t>
  </si>
  <si>
    <t>In our experiment, we adopt two metrics to measure the performance of our analogical-APIs recommendation results:
Recall rate@k (Re@k) and Mean Reciprocal Rank (MRR). Therefore, apart from Re@k, we also adopt MRR which only cares about the single highest-ranked relevant item as an evaluation metric in this work.</t>
  </si>
  <si>
    <t>Past</t>
  </si>
  <si>
    <t>Present</t>
  </si>
  <si>
    <t>Percentage</t>
  </si>
  <si>
    <t>Distance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</si>
</sst>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9">
    <font>
      <sz val="10.0"/>
      <color rgb="FF000000"/>
      <name val="Arial"/>
    </font>
    <font>
      <b/>
      <sz val="10.0"/>
      <name val="Arial"/>
    </font>
    <font>
      <sz val="10.0"/>
      <name val="Arial"/>
    </font>
    <font>
      <u/>
      <sz val="10.0"/>
      <color rgb="FF0000FF"/>
      <name val="Arial"/>
    </font>
    <font>
      <color rgb="FF4A86E8"/>
      <name val="Arial"/>
    </font>
    <font>
      <color rgb="FF000000"/>
      <name val="Arial"/>
    </font>
    <font>
      <u/>
      <color rgb="FF0000FF"/>
      <name val="Arial"/>
    </font>
    <font>
      <name val="Arial"/>
    </font>
    <font>
      <u/>
      <sz val="10.0"/>
      <color rgb="FF0000FF"/>
      <name val="Arial"/>
    </font>
    <font>
      <color rgb="FF000000"/>
      <name val="Roboto"/>
    </font>
    <font>
      <u/>
      <color rgb="FF4A86E8"/>
      <name val="Arial"/>
    </font>
    <font/>
    <font>
      <u/>
      <sz val="10.0"/>
      <color rgb="FF0000FF"/>
      <name val="Arial"/>
    </font>
    <font>
      <u/>
      <color rgb="FF0000FF"/>
      <name val="Arial"/>
    </font>
    <font>
      <u/>
      <sz val="10.0"/>
      <color rgb="FF0000FF"/>
      <name val="Arial"/>
    </font>
    <font>
      <u/>
      <sz val="10.0"/>
      <color rgb="FF0000FF"/>
      <name val="Arial"/>
    </font>
    <font>
      <b/>
      <sz val="11.0"/>
      <name val="Calibri"/>
    </font>
    <font>
      <sz val="11.0"/>
      <name val="Calibri"/>
    </font>
    <font>
      <b/>
    </font>
  </fonts>
  <fills count="9">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666666"/>
        <bgColor rgb="FF666666"/>
      </patternFill>
    </fill>
    <fill>
      <patternFill patternType="solid">
        <fgColor rgb="FFCCCCCC"/>
        <bgColor rgb="FFCCCCCC"/>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3" fontId="1"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4" fontId="3" numFmtId="0" xfId="0" applyAlignment="1" applyBorder="1" applyFill="1" applyFont="1">
      <alignment horizontal="center"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4" fontId="9" numFmtId="0" xfId="0" applyAlignment="1" applyBorder="1" applyFont="1">
      <alignment horizontal="center" readingOrder="0" shrinkToFit="0" vertical="center" wrapText="1"/>
    </xf>
    <xf borderId="1" fillId="0" fontId="2" numFmtId="3" xfId="0" applyAlignment="1" applyBorder="1" applyFont="1" applyNumberFormat="1">
      <alignment horizontal="center" shrinkToFit="0" vertical="center" wrapText="1"/>
    </xf>
    <xf borderId="1" fillId="0" fontId="10" numFmtId="0" xfId="0" applyAlignment="1" applyBorder="1" applyFont="1">
      <alignment horizontal="center"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4" fontId="9" numFmtId="0" xfId="0" applyAlignment="1" applyBorder="1" applyFont="1">
      <alignment horizontal="center" readingOrder="0" vertical="center"/>
    </xf>
    <xf borderId="1" fillId="4" fontId="5" numFmtId="0" xfId="0" applyAlignment="1" applyBorder="1" applyFont="1">
      <alignment horizontal="center" readingOrder="0"/>
    </xf>
    <xf borderId="1" fillId="0" fontId="13"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14" numFmtId="0" xfId="0" applyAlignment="1" applyBorder="1" applyFont="1">
      <alignment horizontal="center" readingOrder="0" shrinkToFit="0" vertical="center" wrapText="1"/>
    </xf>
    <xf borderId="1" fillId="4" fontId="5" numFmtId="0" xfId="0" applyAlignment="1" applyBorder="1" applyFont="1">
      <alignment horizontal="center" readingOrder="0" vertical="center"/>
    </xf>
    <xf borderId="1" fillId="4" fontId="15" numFmtId="0" xfId="0" applyAlignment="1" applyBorder="1" applyFont="1">
      <alignment horizontal="center" readingOrder="0" shrinkToFit="0" vertical="center" wrapText="1"/>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0" fontId="18" numFmtId="0" xfId="0" applyAlignment="1" applyFont="1">
      <alignment horizontal="center" readingOrder="0"/>
    </xf>
    <xf borderId="0" fillId="0" fontId="11" numFmtId="0" xfId="0" applyAlignment="1" applyFont="1">
      <alignment readingOrder="0"/>
    </xf>
    <xf borderId="0" fillId="0" fontId="11" numFmtId="2" xfId="0" applyAlignment="1" applyFont="1" applyNumberFormat="1">
      <alignment readingOrder="0"/>
    </xf>
    <xf borderId="0" fillId="3" fontId="18" numFmtId="0" xfId="0" applyAlignment="1" applyFont="1">
      <alignment horizontal="center" readingOrder="0"/>
    </xf>
    <xf borderId="0" fillId="5" fontId="11" numFmtId="0" xfId="0" applyAlignment="1" applyFill="1" applyFont="1">
      <alignment readingOrder="0"/>
    </xf>
    <xf borderId="0" fillId="5" fontId="11" numFmtId="2" xfId="0" applyAlignment="1" applyFont="1" applyNumberFormat="1">
      <alignment readingOrder="0"/>
    </xf>
    <xf borderId="0" fillId="0" fontId="11" numFmtId="2" xfId="0" applyFont="1" applyNumberFormat="1"/>
    <xf borderId="0" fillId="0" fontId="11" numFmtId="164" xfId="0" applyAlignment="1" applyFont="1" applyNumberFormat="1">
      <alignment readingOrder="0"/>
    </xf>
    <xf borderId="0" fillId="5" fontId="7" numFmtId="0" xfId="0" applyAlignment="1" applyFont="1">
      <alignment horizontal="right" vertical="bottom"/>
    </xf>
    <xf borderId="0" fillId="6" fontId="7" numFmtId="0" xfId="0" applyAlignment="1" applyFill="1" applyFont="1">
      <alignment horizontal="right" vertical="bottom"/>
    </xf>
    <xf borderId="0" fillId="6" fontId="11" numFmtId="0" xfId="0" applyAlignment="1" applyFont="1">
      <alignment readingOrder="0"/>
    </xf>
    <xf borderId="0" fillId="7" fontId="7" numFmtId="0" xfId="0" applyAlignment="1" applyFill="1" applyFont="1">
      <alignment horizontal="right" vertical="bottom"/>
    </xf>
    <xf borderId="0" fillId="7" fontId="11" numFmtId="0" xfId="0" applyAlignment="1" applyFont="1">
      <alignment readingOrder="0"/>
    </xf>
    <xf borderId="0" fillId="5" fontId="11" numFmtId="164" xfId="0" applyAlignment="1" applyFont="1" applyNumberFormat="1">
      <alignment readingOrder="0"/>
    </xf>
    <xf borderId="0" fillId="3"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1" fillId="8" fontId="2" numFmtId="0" xfId="0" applyAlignment="1" applyBorder="1" applyFill="1" applyFont="1">
      <alignment horizontal="center" shrinkToFit="0" vertical="center" wrapText="1"/>
    </xf>
    <xf borderId="1" fillId="8" fontId="2" numFmtId="0" xfId="0" applyAlignment="1" applyBorder="1" applyFont="1">
      <alignment horizontal="center" readingOrder="0" shrinkToFit="0" vertical="center" wrapText="1"/>
    </xf>
    <xf borderId="0" fillId="8" fontId="11" numFmtId="0" xfId="0" applyAlignment="1" applyFont="1">
      <alignment horizontal="center" readingOrder="0"/>
    </xf>
    <xf borderId="0" fillId="8"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0" fontId="2" numFmtId="3" xfId="0" applyAlignment="1" applyBorder="1" applyFont="1" applyNumberFormat="1">
      <alignment horizontal="center" readingOrder="0" shrinkToFit="0" vertical="center" wrapText="1"/>
    </xf>
    <xf borderId="0" fillId="4" fontId="5" numFmtId="0" xfId="0" applyAlignment="1" applyFont="1">
      <alignment horizontal="center" readingOrder="0" vertical="center"/>
    </xf>
    <xf borderId="2" fillId="0" fontId="5" numFmtId="0" xfId="0" applyAlignment="1" applyBorder="1" applyFont="1">
      <alignment horizontal="center" shrinkToFit="0" vertical="center" wrapText="1"/>
    </xf>
    <xf borderId="3" fillId="8" fontId="5"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3" fillId="4" fontId="2" numFmtId="0" xfId="0" applyAlignment="1" applyBorder="1" applyFont="1">
      <alignment horizontal="center" shrinkToFit="0" vertical="center" wrapText="1"/>
    </xf>
    <xf borderId="3" fillId="4"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18"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8" width="25.0"/>
    <col customWidth="1" min="39" max="39" width="15.86"/>
    <col customWidth="1" min="40" max="40" width="19.71"/>
    <col customWidth="1" min="41" max="41" width="23.57"/>
    <col customWidth="1" min="42" max="42" width="21.14"/>
    <col customWidth="1" min="43" max="43" width="11.57"/>
    <col customWidth="1" min="44" max="44" width="19.29"/>
    <col customWidth="1" min="45" max="45" width="18.0"/>
  </cols>
  <sheetData>
    <row r="1" ht="28.5" customHeight="1">
      <c r="A1" s="1" t="s">
        <v>0</v>
      </c>
      <c r="B1" s="2" t="s">
        <v>1</v>
      </c>
      <c r="C1" s="2" t="s">
        <v>2</v>
      </c>
      <c r="D1" s="3" t="s">
        <v>3</v>
      </c>
      <c r="E1" s="1" t="s">
        <v>4</v>
      </c>
      <c r="F1" s="1" t="s">
        <v>5</v>
      </c>
      <c r="G1" s="1" t="s">
        <v>6</v>
      </c>
      <c r="H1" s="1" t="s">
        <v>7</v>
      </c>
      <c r="I1" s="1" t="s">
        <v>8</v>
      </c>
      <c r="J1" s="1" t="s">
        <v>9</v>
      </c>
      <c r="K1" s="1" t="s">
        <v>10</v>
      </c>
      <c r="L1" s="1"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4" t="s">
        <v>27</v>
      </c>
      <c r="AC1" s="4" t="s">
        <v>28</v>
      </c>
      <c r="AD1" s="4" t="s">
        <v>29</v>
      </c>
      <c r="AE1" s="4" t="s">
        <v>30</v>
      </c>
      <c r="AF1" s="4" t="s">
        <v>31</v>
      </c>
      <c r="AG1" s="4" t="s">
        <v>32</v>
      </c>
      <c r="AH1" s="4" t="s">
        <v>33</v>
      </c>
      <c r="AI1" s="4" t="s">
        <v>34</v>
      </c>
      <c r="AJ1" s="4" t="s">
        <v>35</v>
      </c>
      <c r="AK1" s="3" t="s">
        <v>36</v>
      </c>
      <c r="AL1" s="3" t="s">
        <v>37</v>
      </c>
      <c r="AM1" s="3" t="s">
        <v>38</v>
      </c>
      <c r="AN1" s="3" t="s">
        <v>39</v>
      </c>
      <c r="AO1" s="3" t="s">
        <v>40</v>
      </c>
      <c r="AP1" s="3" t="s">
        <v>41</v>
      </c>
      <c r="AQ1" s="3" t="s">
        <v>42</v>
      </c>
      <c r="AR1" s="3" t="s">
        <v>43</v>
      </c>
      <c r="AS1" s="3" t="s">
        <v>44</v>
      </c>
    </row>
    <row r="2" ht="28.5" customHeight="1">
      <c r="A2" s="5" t="str">
        <f>HYPERLINK("https://arxiv.org/pdf/1602.03001.pdf","A convolutional attention network for extreme summarization of source code")</f>
        <v>A convolutional attention network for extreme summarization of source code</v>
      </c>
      <c r="B2" s="6" t="s">
        <v>45</v>
      </c>
      <c r="C2" s="6">
        <v>2016.0</v>
      </c>
      <c r="D2" s="6" t="s">
        <v>46</v>
      </c>
      <c r="E2" s="6" t="s">
        <v>47</v>
      </c>
      <c r="F2" s="7" t="s">
        <v>48</v>
      </c>
      <c r="G2" s="7" t="s">
        <v>49</v>
      </c>
      <c r="H2" s="6" t="s">
        <v>50</v>
      </c>
      <c r="I2" s="6" t="s">
        <v>51</v>
      </c>
      <c r="J2" s="7" t="s">
        <v>52</v>
      </c>
      <c r="K2" s="6" t="s">
        <v>53</v>
      </c>
      <c r="L2" s="6" t="s">
        <v>54</v>
      </c>
      <c r="M2" s="7" t="s">
        <v>20</v>
      </c>
      <c r="N2" s="7" t="s">
        <v>55</v>
      </c>
      <c r="O2" s="7" t="s">
        <v>56</v>
      </c>
      <c r="P2" s="7" t="s">
        <v>56</v>
      </c>
      <c r="Q2" s="7" t="s">
        <v>56</v>
      </c>
      <c r="R2" s="7" t="str">
        <f>IFERROR(__xludf.DUMMYFUNCTION("IF(REGEXMATCH(M2, ""Accuracy""), ""Yes"", ""No"")"),"No")</f>
        <v>No</v>
      </c>
      <c r="S2" s="7" t="str">
        <f>IFERROR(__xludf.DUMMYFUNCTION("IF(REGEXMATCH(M2, ""Precision""), ""Yes"", ""No"")"),"No")</f>
        <v>No</v>
      </c>
      <c r="T2" s="7" t="str">
        <f>IFERROR(__xludf.DUMMYFUNCTION("IF(REGEXMATCH(M2, ""Recall""), ""Yes"", ""No"")"),"No")</f>
        <v>No</v>
      </c>
      <c r="U2" s="7" t="str">
        <f>IFERROR(__xludf.DUMMYFUNCTION("IF(REGEXMATCH(M2, ""F1 Measure""), ""Yes"", ""No"")"),"Yes")</f>
        <v>Yes</v>
      </c>
      <c r="V2" s="7" t="s">
        <v>57</v>
      </c>
      <c r="W2" s="7" t="s">
        <v>23</v>
      </c>
      <c r="X2" s="7" t="s">
        <v>58</v>
      </c>
      <c r="Y2" s="7" t="s">
        <v>59</v>
      </c>
      <c r="Z2" s="7" t="s">
        <v>60</v>
      </c>
      <c r="AA2" s="7" t="s">
        <v>61</v>
      </c>
      <c r="AB2" s="7" t="s">
        <v>31</v>
      </c>
      <c r="AC2" s="7" t="s">
        <v>55</v>
      </c>
      <c r="AD2" s="7" t="s">
        <v>56</v>
      </c>
      <c r="AE2" s="7" t="s">
        <v>56</v>
      </c>
      <c r="AF2" s="7" t="s">
        <v>62</v>
      </c>
      <c r="AG2" s="7" t="s">
        <v>56</v>
      </c>
      <c r="AH2" s="7" t="s">
        <v>63</v>
      </c>
      <c r="AI2" s="7" t="s">
        <v>64</v>
      </c>
      <c r="AJ2" s="7" t="s">
        <v>65</v>
      </c>
      <c r="AK2" s="7" t="s">
        <v>66</v>
      </c>
      <c r="AL2" s="7" t="s">
        <v>67</v>
      </c>
      <c r="AM2" s="7" t="str">
        <f>IFERROR(__xludf.DUMMYFUNCTION("IF(REGEXMATCH($AL2, ""Reproducible""), ""Yes"", ""No"")"),"No")</f>
        <v>No</v>
      </c>
      <c r="AN2" s="7" t="s">
        <v>56</v>
      </c>
      <c r="AO2" s="7" t="s">
        <v>56</v>
      </c>
      <c r="AP2" s="7" t="s">
        <v>56</v>
      </c>
      <c r="AQ2" s="7" t="str">
        <f>IFERROR(__xludf.DUMMYFUNCTION("IF(REGEXMATCH($AL2, ""No Repo""), ""Yes"", ""No"")"),"Yes")</f>
        <v>Yes</v>
      </c>
      <c r="AR2" s="7" t="str">
        <f>IFERROR(__xludf.DUMMYFUNCTION("IF(REGEXMATCH($AL2, ""Hyperparameters""), ""Yes"", ""No"")"),"No")</f>
        <v>No</v>
      </c>
      <c r="AS2" s="7" t="str">
        <f>IFERROR(__xludf.DUMMYFUNCTION("IF(REGEXMATCH($AL2, ""Filtering Details""), ""Yes"", ""No"")"),"Yes")</f>
        <v>Yes</v>
      </c>
    </row>
    <row r="3" ht="28.5" customHeight="1">
      <c r="A3" s="8" t="s">
        <v>68</v>
      </c>
      <c r="B3" s="9" t="s">
        <v>69</v>
      </c>
      <c r="C3" s="9">
        <v>2018.0</v>
      </c>
      <c r="D3" s="6" t="s">
        <v>46</v>
      </c>
      <c r="E3" s="9" t="s">
        <v>70</v>
      </c>
      <c r="F3" s="9" t="s">
        <v>71</v>
      </c>
      <c r="G3" s="9" t="s">
        <v>72</v>
      </c>
      <c r="H3" s="9" t="s">
        <v>73</v>
      </c>
      <c r="I3" s="9" t="s">
        <v>74</v>
      </c>
      <c r="J3" s="9" t="s">
        <v>75</v>
      </c>
      <c r="K3" s="9" t="s">
        <v>76</v>
      </c>
      <c r="L3" s="9" t="s">
        <v>77</v>
      </c>
      <c r="M3" s="10" t="s">
        <v>78</v>
      </c>
      <c r="N3" s="10" t="s">
        <v>55</v>
      </c>
      <c r="O3" s="7" t="s">
        <v>56</v>
      </c>
      <c r="P3" s="7" t="s">
        <v>56</v>
      </c>
      <c r="Q3" s="10" t="s">
        <v>56</v>
      </c>
      <c r="R3" s="7" t="str">
        <f>IFERROR(__xludf.DUMMYFUNCTION("IF(REGEXMATCH(M3, ""Accuracy""), ""Yes"", ""No"")"),"Yes")</f>
        <v>Yes</v>
      </c>
      <c r="S3" s="7" t="str">
        <f>IFERROR(__xludf.DUMMYFUNCTION("IF(REGEXMATCH(M3, ""Precision""), ""Yes"", ""No"")"),"Yes")</f>
        <v>Yes</v>
      </c>
      <c r="T3" s="7" t="str">
        <f>IFERROR(__xludf.DUMMYFUNCTION("IF(REGEXMATCH(M3, ""Recall""), ""Yes"", ""No"")"),"Yes")</f>
        <v>Yes</v>
      </c>
      <c r="U3" s="7" t="str">
        <f>IFERROR(__xludf.DUMMYFUNCTION("IF(REGEXMATCH(M3, ""F1 Measure""), ""Yes"", ""No"")"),"No")</f>
        <v>No</v>
      </c>
      <c r="V3" s="10" t="s">
        <v>79</v>
      </c>
      <c r="W3" s="7" t="s">
        <v>80</v>
      </c>
      <c r="X3" s="7" t="s">
        <v>55</v>
      </c>
      <c r="Y3" s="10" t="s">
        <v>59</v>
      </c>
      <c r="Z3" s="10" t="s">
        <v>60</v>
      </c>
      <c r="AA3" s="11" t="s">
        <v>81</v>
      </c>
      <c r="AB3" s="11" t="s">
        <v>30</v>
      </c>
      <c r="AC3" s="11" t="s">
        <v>55</v>
      </c>
      <c r="AD3" s="7" t="s">
        <v>56</v>
      </c>
      <c r="AE3" s="11" t="s">
        <v>62</v>
      </c>
      <c r="AF3" s="11" t="s">
        <v>56</v>
      </c>
      <c r="AG3" s="11" t="s">
        <v>56</v>
      </c>
      <c r="AH3" s="11" t="s">
        <v>82</v>
      </c>
      <c r="AI3" s="11" t="s">
        <v>64</v>
      </c>
      <c r="AJ3" s="11" t="s">
        <v>65</v>
      </c>
      <c r="AK3" s="11" t="s">
        <v>83</v>
      </c>
      <c r="AL3" s="11" t="s">
        <v>42</v>
      </c>
      <c r="AM3" s="7" t="str">
        <f>IFERROR(__xludf.DUMMYFUNCTION("IF(REGEXMATCH($AL3, ""Reproducible""), ""Yes"", ""No"")"),"No")</f>
        <v>No</v>
      </c>
      <c r="AN3" s="11" t="s">
        <v>56</v>
      </c>
      <c r="AO3" s="11" t="s">
        <v>56</v>
      </c>
      <c r="AP3" s="11" t="s">
        <v>56</v>
      </c>
      <c r="AQ3" s="7" t="str">
        <f>IFERROR(__xludf.DUMMYFUNCTION("IF(REGEXMATCH($AL3, ""No Repo""), ""Yes"", ""No"")"),"Yes")</f>
        <v>Yes</v>
      </c>
      <c r="AR3" s="7" t="str">
        <f>IFERROR(__xludf.DUMMYFUNCTION("IF(REGEXMATCH($AL3, ""Hyperparameters""), ""Yes"", ""No"")"),"No")</f>
        <v>No</v>
      </c>
      <c r="AS3" s="7" t="str">
        <f>IFERROR(__xludf.DUMMYFUNCTION("IF(REGEXMATCH($AL3, ""Filtering Details""), ""Yes"", ""No"")"),"No")</f>
        <v>No</v>
      </c>
    </row>
    <row r="4" ht="28.5" customHeight="1">
      <c r="A4" s="12" t="str">
        <f>HYPERLINK("https://ieeexplore.ieee.org/document/8255666","A deep learning model for estimating story points")</f>
        <v>A deep learning model for estimating story points</v>
      </c>
      <c r="B4" s="13" t="s">
        <v>84</v>
      </c>
      <c r="C4" s="13">
        <v>2018.0</v>
      </c>
      <c r="D4" s="14" t="s">
        <v>85</v>
      </c>
      <c r="E4" s="13" t="s">
        <v>86</v>
      </c>
      <c r="F4" s="13" t="s">
        <v>87</v>
      </c>
      <c r="G4" s="13" t="s">
        <v>88</v>
      </c>
      <c r="H4" s="13" t="s">
        <v>89</v>
      </c>
      <c r="I4" s="13" t="s">
        <v>90</v>
      </c>
      <c r="J4" s="15" t="s">
        <v>91</v>
      </c>
      <c r="K4" s="15" t="s">
        <v>92</v>
      </c>
      <c r="L4" s="13" t="s">
        <v>93</v>
      </c>
      <c r="M4" s="15" t="s">
        <v>94</v>
      </c>
      <c r="N4" s="7" t="s">
        <v>95</v>
      </c>
      <c r="O4" s="7" t="s">
        <v>56</v>
      </c>
      <c r="P4" s="7" t="s">
        <v>56</v>
      </c>
      <c r="Q4" s="15" t="s">
        <v>56</v>
      </c>
      <c r="R4" s="7" t="str">
        <f>IFERROR(__xludf.DUMMYFUNCTION("IF(REGEXMATCH(M4, ""Accuracy""), ""Yes"", ""No"")"),"Yes")</f>
        <v>Yes</v>
      </c>
      <c r="S4" s="7" t="str">
        <f>IFERROR(__xludf.DUMMYFUNCTION("IF(REGEXMATCH(M4, ""Precision""), ""Yes"", ""No"")"),"No")</f>
        <v>No</v>
      </c>
      <c r="T4" s="7" t="str">
        <f>IFERROR(__xludf.DUMMYFUNCTION("IF(REGEXMATCH(M4, ""Recall""), ""Yes"", ""No"")"),"No")</f>
        <v>No</v>
      </c>
      <c r="U4" s="7" t="str">
        <f>IFERROR(__xludf.DUMMYFUNCTION("IF(REGEXMATCH(M4, ""F1 Measure""), ""Yes"", ""No"")"),"No")</f>
        <v>No</v>
      </c>
      <c r="V4" s="15" t="s">
        <v>79</v>
      </c>
      <c r="W4" s="11" t="s">
        <v>23</v>
      </c>
      <c r="X4" s="11" t="s">
        <v>96</v>
      </c>
      <c r="Y4" s="15" t="s">
        <v>59</v>
      </c>
      <c r="Z4" s="15" t="s">
        <v>97</v>
      </c>
      <c r="AA4" s="11" t="s">
        <v>98</v>
      </c>
      <c r="AB4" s="11" t="s">
        <v>99</v>
      </c>
      <c r="AC4" s="11" t="s">
        <v>99</v>
      </c>
      <c r="AD4" s="7" t="s">
        <v>56</v>
      </c>
      <c r="AE4" s="7" t="s">
        <v>56</v>
      </c>
      <c r="AF4" s="11" t="s">
        <v>56</v>
      </c>
      <c r="AG4" s="11" t="s">
        <v>56</v>
      </c>
      <c r="AH4" s="11" t="s">
        <v>100</v>
      </c>
      <c r="AI4" s="11" t="s">
        <v>64</v>
      </c>
      <c r="AJ4" s="11" t="s">
        <v>101</v>
      </c>
      <c r="AK4" s="11" t="s">
        <v>102</v>
      </c>
      <c r="AL4" s="11" t="s">
        <v>38</v>
      </c>
      <c r="AM4" s="7" t="str">
        <f>IFERROR(__xludf.DUMMYFUNCTION("IF(REGEXMATCH($AL4, ""Reproducible""), ""Yes"", ""No"")"),"Yes")</f>
        <v>Yes</v>
      </c>
      <c r="AN4" s="11" t="s">
        <v>56</v>
      </c>
      <c r="AO4" s="11" t="s">
        <v>56</v>
      </c>
      <c r="AP4" s="11" t="s">
        <v>56</v>
      </c>
      <c r="AQ4" s="7" t="str">
        <f>IFERROR(__xludf.DUMMYFUNCTION("IF(REGEXMATCH($AL4, ""No Repo""), ""Yes"", ""No"")"),"No")</f>
        <v>No</v>
      </c>
      <c r="AR4" s="7" t="str">
        <f>IFERROR(__xludf.DUMMYFUNCTION("IF(REGEXMATCH($AL4, ""Hyperparameters""), ""Yes"", ""No"")"),"No")</f>
        <v>No</v>
      </c>
      <c r="AS4" s="7" t="str">
        <f>IFERROR(__xludf.DUMMYFUNCTION("IF(REGEXMATCH($AL4, ""Filtering Details""), ""Yes"", ""No"")"),"No")</f>
        <v>No</v>
      </c>
    </row>
    <row r="5" ht="28.5" customHeight="1">
      <c r="A5" s="5" t="str">
        <f>HYPERLINK("https://dl-acm-org.proxy.wm.edu/citation.cfm?id=3240471","A Neural Framework for Retrieval and Summarization of Source Code")</f>
        <v>A Neural Framework for Retrieval and Summarization of Source Code</v>
      </c>
      <c r="B5" s="6" t="s">
        <v>103</v>
      </c>
      <c r="C5" s="6">
        <v>2018.0</v>
      </c>
      <c r="D5" s="6" t="s">
        <v>104</v>
      </c>
      <c r="E5" s="6" t="s">
        <v>105</v>
      </c>
      <c r="F5" s="6" t="s">
        <v>106</v>
      </c>
      <c r="G5" s="6" t="s">
        <v>107</v>
      </c>
      <c r="H5" s="6" t="s">
        <v>108</v>
      </c>
      <c r="I5" s="6" t="s">
        <v>109</v>
      </c>
      <c r="J5" s="7" t="s">
        <v>110</v>
      </c>
      <c r="K5" s="6" t="s">
        <v>111</v>
      </c>
      <c r="L5" s="6" t="s">
        <v>112</v>
      </c>
      <c r="M5" s="7" t="s">
        <v>113</v>
      </c>
      <c r="N5" s="7" t="s">
        <v>95</v>
      </c>
      <c r="O5" s="7" t="s">
        <v>62</v>
      </c>
      <c r="P5" s="7" t="s">
        <v>56</v>
      </c>
      <c r="Q5" s="7" t="s">
        <v>62</v>
      </c>
      <c r="R5" s="7" t="str">
        <f>IFERROR(__xludf.DUMMYFUNCTION("IF(REGEXMATCH(M5, ""Accuracy""), ""Yes"", ""No"")"),"No")</f>
        <v>No</v>
      </c>
      <c r="S5" s="7" t="str">
        <f>IFERROR(__xludf.DUMMYFUNCTION("IF(REGEXMATCH(M5, ""Precision""), ""Yes"", ""No"")"),"No")</f>
        <v>No</v>
      </c>
      <c r="T5" s="7" t="str">
        <f>IFERROR(__xludf.DUMMYFUNCTION("IF(REGEXMATCH(M5, ""Recall""), ""Yes"", ""No"")"),"No")</f>
        <v>No</v>
      </c>
      <c r="U5" s="7" t="str">
        <f>IFERROR(__xludf.DUMMYFUNCTION("IF(REGEXMATCH(M5, ""F1 Measure""), ""Yes"", ""No"")"),"No")</f>
        <v>No</v>
      </c>
      <c r="V5" s="7" t="s">
        <v>79</v>
      </c>
      <c r="W5" s="7" t="s">
        <v>23</v>
      </c>
      <c r="X5" s="7" t="s">
        <v>96</v>
      </c>
      <c r="Y5" s="7" t="s">
        <v>114</v>
      </c>
      <c r="Z5" s="7" t="s">
        <v>60</v>
      </c>
      <c r="AA5" s="7" t="s">
        <v>115</v>
      </c>
      <c r="AB5" s="7" t="s">
        <v>116</v>
      </c>
      <c r="AC5" s="7" t="s">
        <v>55</v>
      </c>
      <c r="AD5" s="7" t="s">
        <v>56</v>
      </c>
      <c r="AE5" s="7" t="s">
        <v>56</v>
      </c>
      <c r="AF5" s="7" t="s">
        <v>62</v>
      </c>
      <c r="AG5" s="7" t="s">
        <v>62</v>
      </c>
      <c r="AH5" s="7" t="s">
        <v>63</v>
      </c>
      <c r="AI5" s="7" t="s">
        <v>64</v>
      </c>
      <c r="AJ5" s="7" t="s">
        <v>117</v>
      </c>
      <c r="AK5" s="7" t="s">
        <v>118</v>
      </c>
      <c r="AL5" s="7" t="s">
        <v>42</v>
      </c>
      <c r="AM5" s="7" t="str">
        <f>IFERROR(__xludf.DUMMYFUNCTION("IF(REGEXMATCH($AL5, ""Reproducible""), ""Yes"", ""No"")"),"No")</f>
        <v>No</v>
      </c>
      <c r="AN5" s="7" t="s">
        <v>56</v>
      </c>
      <c r="AO5" s="7" t="s">
        <v>56</v>
      </c>
      <c r="AP5" s="7" t="s">
        <v>56</v>
      </c>
      <c r="AQ5" s="7" t="str">
        <f>IFERROR(__xludf.DUMMYFUNCTION("IF(REGEXMATCH($AL5, ""No Repo""), ""Yes"", ""No"")"),"Yes")</f>
        <v>Yes</v>
      </c>
      <c r="AR5" s="7" t="str">
        <f>IFERROR(__xludf.DUMMYFUNCTION("IF(REGEXMATCH($AL5, ""Hyperparameters""), ""Yes"", ""No"")"),"No")</f>
        <v>No</v>
      </c>
      <c r="AS5" s="7" t="str">
        <f>IFERROR(__xludf.DUMMYFUNCTION("IF(REGEXMATCH($AL5, ""Filtering Details""), ""Yes"", ""No"")"),"No")</f>
        <v>No</v>
      </c>
    </row>
    <row r="6" ht="28.5" customHeight="1">
      <c r="A6" s="5" t="str">
        <f>HYPERLINK("http://www.cs.wm.edu/~denys/pubs/ASE'18-Learning-Bug-Fixes-NMT.pdf","An Empirical Investigation into Learning Bug-fixing Patches in the Wild via Neural Machine Translation")</f>
        <v>An Empirical Investigation into Learning Bug-fixing Patches in the Wild via Neural Machine Translation</v>
      </c>
      <c r="B6" s="6" t="s">
        <v>103</v>
      </c>
      <c r="C6" s="6">
        <v>2018.0</v>
      </c>
      <c r="D6" s="6" t="s">
        <v>104</v>
      </c>
      <c r="E6" s="6" t="s">
        <v>119</v>
      </c>
      <c r="F6" s="6" t="s">
        <v>120</v>
      </c>
      <c r="G6" s="6" t="s">
        <v>121</v>
      </c>
      <c r="H6" s="6" t="s">
        <v>122</v>
      </c>
      <c r="I6" s="6" t="s">
        <v>123</v>
      </c>
      <c r="J6" s="6" t="s">
        <v>124</v>
      </c>
      <c r="K6" s="6" t="s">
        <v>125</v>
      </c>
      <c r="L6" s="6" t="s">
        <v>126</v>
      </c>
      <c r="M6" s="7" t="s">
        <v>18</v>
      </c>
      <c r="N6" s="7" t="s">
        <v>55</v>
      </c>
      <c r="O6" s="7" t="s">
        <v>56</v>
      </c>
      <c r="P6" s="7" t="s">
        <v>56</v>
      </c>
      <c r="Q6" s="7" t="s">
        <v>56</v>
      </c>
      <c r="R6" s="7" t="str">
        <f>IFERROR(__xludf.DUMMYFUNCTION("IF(REGEXMATCH(M6, ""Accuracy""), ""Yes"", ""No"")"),"No")</f>
        <v>No</v>
      </c>
      <c r="S6" s="7" t="str">
        <f>IFERROR(__xludf.DUMMYFUNCTION("IF(REGEXMATCH(M6, ""Precision""), ""Yes"", ""No"")"),"Yes")</f>
        <v>Yes</v>
      </c>
      <c r="T6" s="7" t="str">
        <f>IFERROR(__xludf.DUMMYFUNCTION("IF(REGEXMATCH(M6, ""Recall""), ""Yes"", ""No"")"),"No")</f>
        <v>No</v>
      </c>
      <c r="U6" s="7" t="str">
        <f>IFERROR(__xludf.DUMMYFUNCTION("IF(REGEXMATCH(M6, ""F1 Measure""), ""Yes"", ""No"")"),"No")</f>
        <v>No</v>
      </c>
      <c r="V6" s="7" t="s">
        <v>79</v>
      </c>
      <c r="W6" s="7" t="s">
        <v>23</v>
      </c>
      <c r="X6" s="7" t="s">
        <v>96</v>
      </c>
      <c r="Y6" s="7" t="s">
        <v>59</v>
      </c>
      <c r="Z6" s="7" t="s">
        <v>97</v>
      </c>
      <c r="AA6" s="11" t="s">
        <v>127</v>
      </c>
      <c r="AB6" s="7" t="s">
        <v>31</v>
      </c>
      <c r="AC6" s="7" t="s">
        <v>55</v>
      </c>
      <c r="AD6" s="7" t="s">
        <v>56</v>
      </c>
      <c r="AE6" s="7" t="s">
        <v>56</v>
      </c>
      <c r="AF6" s="7" t="s">
        <v>62</v>
      </c>
      <c r="AG6" s="7" t="s">
        <v>56</v>
      </c>
      <c r="AH6" s="7" t="s">
        <v>63</v>
      </c>
      <c r="AI6" s="7" t="s">
        <v>64</v>
      </c>
      <c r="AJ6" s="7" t="s">
        <v>128</v>
      </c>
      <c r="AK6" s="7" t="s">
        <v>102</v>
      </c>
      <c r="AL6" s="7" t="s">
        <v>38</v>
      </c>
      <c r="AM6" s="7" t="str">
        <f>IFERROR(__xludf.DUMMYFUNCTION("IF(REGEXMATCH($AL6, ""Reproducible""), ""Yes"", ""No"")"),"Yes")</f>
        <v>Yes</v>
      </c>
      <c r="AN6" s="7" t="s">
        <v>56</v>
      </c>
      <c r="AO6" s="7" t="s">
        <v>56</v>
      </c>
      <c r="AP6" s="7" t="s">
        <v>56</v>
      </c>
      <c r="AQ6" s="7" t="str">
        <f>IFERROR(__xludf.DUMMYFUNCTION("IF(REGEXMATCH($AL6, ""No Repo""), ""Yes"", ""No"")"),"No")</f>
        <v>No</v>
      </c>
      <c r="AR6" s="7" t="str">
        <f>IFERROR(__xludf.DUMMYFUNCTION("IF(REGEXMATCH($AL6, ""Hyperparameters""), ""Yes"", ""No"")"),"No")</f>
        <v>No</v>
      </c>
      <c r="AS6" s="7" t="str">
        <f>IFERROR(__xludf.DUMMYFUNCTION("IF(REGEXMATCH($AL6, ""Filtering Details""), ""Yes"", ""No"")"),"No")</f>
        <v>No</v>
      </c>
    </row>
    <row r="7" ht="28.5" customHeight="1">
      <c r="A7" s="16" t="str">
        <f>HYPERLINK("https://dl-acm-org.proxy.wm.edu/citation.cfm?id=3117776","Applying Deep Learning Based Automatic Bug Triager to Industrial Projects")</f>
        <v>Applying Deep Learning Based Automatic Bug Triager to Industrial Projects</v>
      </c>
      <c r="B7" s="11" t="s">
        <v>129</v>
      </c>
      <c r="C7" s="14">
        <v>2017.0</v>
      </c>
      <c r="D7" s="6" t="s">
        <v>104</v>
      </c>
      <c r="E7" s="14" t="s">
        <v>130</v>
      </c>
      <c r="F7" s="14" t="s">
        <v>55</v>
      </c>
      <c r="G7" s="14" t="s">
        <v>131</v>
      </c>
      <c r="H7" s="14" t="s">
        <v>55</v>
      </c>
      <c r="I7" s="14" t="s">
        <v>132</v>
      </c>
      <c r="J7" s="11" t="s">
        <v>55</v>
      </c>
      <c r="K7" s="11" t="s">
        <v>133</v>
      </c>
      <c r="L7" s="14" t="s">
        <v>134</v>
      </c>
      <c r="M7" s="11" t="s">
        <v>17</v>
      </c>
      <c r="N7" s="11" t="s">
        <v>55</v>
      </c>
      <c r="O7" s="7" t="s">
        <v>56</v>
      </c>
      <c r="P7" s="7" t="s">
        <v>56</v>
      </c>
      <c r="Q7" s="11" t="s">
        <v>56</v>
      </c>
      <c r="R7" s="7" t="str">
        <f>IFERROR(__xludf.DUMMYFUNCTION("IF(REGEXMATCH(M7, ""Accuracy""), ""Yes"", ""No"")"),"Yes")</f>
        <v>Yes</v>
      </c>
      <c r="S7" s="7" t="str">
        <f>IFERROR(__xludf.DUMMYFUNCTION("IF(REGEXMATCH(M7, ""Precision""), ""Yes"", ""No"")"),"No")</f>
        <v>No</v>
      </c>
      <c r="T7" s="7" t="str">
        <f>IFERROR(__xludf.DUMMYFUNCTION("IF(REGEXMATCH(M7, ""Recall""), ""Yes"", ""No"")"),"No")</f>
        <v>No</v>
      </c>
      <c r="U7" s="7" t="str">
        <f>IFERROR(__xludf.DUMMYFUNCTION("IF(REGEXMATCH(M7, ""F1 Measure""), ""Yes"", ""No"")"),"No")</f>
        <v>No</v>
      </c>
      <c r="V7" s="11" t="s">
        <v>79</v>
      </c>
      <c r="W7" s="11" t="s">
        <v>55</v>
      </c>
      <c r="X7" s="7" t="s">
        <v>55</v>
      </c>
      <c r="Y7" s="7" t="s">
        <v>59</v>
      </c>
      <c r="Z7" s="7" t="s">
        <v>55</v>
      </c>
      <c r="AA7" s="11" t="s">
        <v>135</v>
      </c>
      <c r="AB7" s="11" t="s">
        <v>136</v>
      </c>
      <c r="AC7" s="11" t="s">
        <v>136</v>
      </c>
      <c r="AD7" s="7" t="s">
        <v>56</v>
      </c>
      <c r="AE7" s="7" t="s">
        <v>56</v>
      </c>
      <c r="AF7" s="11" t="s">
        <v>56</v>
      </c>
      <c r="AG7" s="11" t="s">
        <v>56</v>
      </c>
      <c r="AH7" s="11" t="s">
        <v>100</v>
      </c>
      <c r="AI7" s="11" t="s">
        <v>64</v>
      </c>
      <c r="AJ7" s="11" t="s">
        <v>65</v>
      </c>
      <c r="AK7" s="11" t="s">
        <v>66</v>
      </c>
      <c r="AL7" s="11" t="s">
        <v>137</v>
      </c>
      <c r="AM7" s="7" t="str">
        <f>IFERROR(__xludf.DUMMYFUNCTION("IF(REGEXMATCH($AL7, ""Reproducible""), ""Yes"", ""No"")"),"No")</f>
        <v>No</v>
      </c>
      <c r="AN7" s="17" t="s">
        <v>62</v>
      </c>
      <c r="AO7" s="17" t="s">
        <v>56</v>
      </c>
      <c r="AP7" s="17" t="s">
        <v>56</v>
      </c>
      <c r="AQ7" s="7" t="str">
        <f>IFERROR(__xludf.DUMMYFUNCTION("IF(REGEXMATCH($AL7, ""No Repo""), ""Yes"", ""No"")"),"Yes")</f>
        <v>Yes</v>
      </c>
      <c r="AR7" s="7" t="str">
        <f>IFERROR(__xludf.DUMMYFUNCTION("IF(REGEXMATCH($AL7, ""Hyperparameters""), ""Yes"", ""No"")"),"Yes")</f>
        <v>Yes</v>
      </c>
      <c r="AS7" s="7" t="str">
        <f>IFERROR(__xludf.DUMMYFUNCTION("IF(REGEXMATCH($AL7, ""Filtering Details""), ""Yes"", ""No"")"),"Yes")</f>
        <v>Yes</v>
      </c>
    </row>
    <row r="8" ht="28.5" customHeight="1">
      <c r="A8" s="16" t="str">
        <f>HYPERLINK("https://dl-acm-org.proxy.wm.edu/citation.cfm?id=3106290","Are deep neural networks the best choice for modeling source code?")</f>
        <v>Are deep neural networks the best choice for modeling source code?</v>
      </c>
      <c r="B8" s="14" t="s">
        <v>129</v>
      </c>
      <c r="C8" s="14">
        <v>2017.0</v>
      </c>
      <c r="D8" s="14" t="s">
        <v>85</v>
      </c>
      <c r="E8" s="11" t="s">
        <v>138</v>
      </c>
      <c r="F8" s="14" t="s">
        <v>55</v>
      </c>
      <c r="G8" s="11" t="s">
        <v>139</v>
      </c>
      <c r="H8" s="14" t="s">
        <v>55</v>
      </c>
      <c r="I8" s="18" t="s">
        <v>140</v>
      </c>
      <c r="J8" s="11" t="s">
        <v>141</v>
      </c>
      <c r="K8" s="14" t="s">
        <v>142</v>
      </c>
      <c r="L8" s="14" t="s">
        <v>143</v>
      </c>
      <c r="M8" s="11" t="s">
        <v>144</v>
      </c>
      <c r="N8" s="7" t="s">
        <v>55</v>
      </c>
      <c r="O8" s="7" t="s">
        <v>62</v>
      </c>
      <c r="P8" s="7" t="s">
        <v>56</v>
      </c>
      <c r="Q8" s="11" t="s">
        <v>56</v>
      </c>
      <c r="R8" s="7" t="str">
        <f>IFERROR(__xludf.DUMMYFUNCTION("IF(REGEXMATCH(M8, ""Accuracy""), ""Yes"", ""No"")"),"Yes")</f>
        <v>Yes</v>
      </c>
      <c r="S8" s="7" t="str">
        <f>IFERROR(__xludf.DUMMYFUNCTION("IF(REGEXMATCH(M8, ""Precision""), ""Yes"", ""No"")"),"No")</f>
        <v>No</v>
      </c>
      <c r="T8" s="7" t="str">
        <f>IFERROR(__xludf.DUMMYFUNCTION("IF(REGEXMATCH(M8, ""Recall""), ""Yes"", ""No"")"),"No")</f>
        <v>No</v>
      </c>
      <c r="U8" s="7" t="str">
        <f>IFERROR(__xludf.DUMMYFUNCTION("IF(REGEXMATCH(M8, ""F1 Measure""), ""Yes"", ""No"")"),"No")</f>
        <v>No</v>
      </c>
      <c r="V8" s="11" t="s">
        <v>79</v>
      </c>
      <c r="W8" s="7" t="s">
        <v>23</v>
      </c>
      <c r="X8" s="7" t="s">
        <v>96</v>
      </c>
      <c r="Y8" s="11" t="s">
        <v>59</v>
      </c>
      <c r="Z8" s="11" t="s">
        <v>145</v>
      </c>
      <c r="AA8" s="11" t="s">
        <v>146</v>
      </c>
      <c r="AB8" s="11" t="s">
        <v>31</v>
      </c>
      <c r="AC8" s="11" t="s">
        <v>55</v>
      </c>
      <c r="AD8" s="7" t="s">
        <v>56</v>
      </c>
      <c r="AE8" s="7" t="s">
        <v>56</v>
      </c>
      <c r="AF8" s="11" t="s">
        <v>62</v>
      </c>
      <c r="AG8" s="11" t="s">
        <v>56</v>
      </c>
      <c r="AH8" s="11" t="s">
        <v>63</v>
      </c>
      <c r="AI8" s="11" t="s">
        <v>147</v>
      </c>
      <c r="AJ8" s="11" t="s">
        <v>101</v>
      </c>
      <c r="AK8" s="11" t="s">
        <v>148</v>
      </c>
      <c r="AL8" s="11" t="s">
        <v>149</v>
      </c>
      <c r="AM8" s="7" t="str">
        <f>IFERROR(__xludf.DUMMYFUNCTION("IF(REGEXMATCH($AL8, ""Reproducible""), ""Yes"", ""No"")"),"No")</f>
        <v>No</v>
      </c>
      <c r="AN8" s="17" t="s">
        <v>62</v>
      </c>
      <c r="AO8" s="17" t="s">
        <v>56</v>
      </c>
      <c r="AP8" s="17" t="s">
        <v>62</v>
      </c>
      <c r="AQ8" s="7" t="str">
        <f>IFERROR(__xludf.DUMMYFUNCTION("IF(REGEXMATCH($AL8, ""No Repo""), ""Yes"", ""No"")"),"Yes")</f>
        <v>Yes</v>
      </c>
      <c r="AR8" s="7" t="str">
        <f>IFERROR(__xludf.DUMMYFUNCTION("IF(REGEXMATCH($AL8, ""Hyperparameters""), ""Yes"", ""No"")"),"No")</f>
        <v>No</v>
      </c>
      <c r="AS8" s="7" t="str">
        <f>IFERROR(__xludf.DUMMYFUNCTION("IF(REGEXMATCH($AL8, ""Filtering Details""), ""Yes"", ""No"")"),"Yes")</f>
        <v>Yes</v>
      </c>
    </row>
    <row r="9" ht="28.5" customHeight="1">
      <c r="A9" s="19" t="str">
        <f>HYPERLINK("https://ieeexplore-ieee-org.proxy.wm.edu/document/7965290","Automatic categorization with deep neural network for open-source Java projects")</f>
        <v>Automatic categorization with deep neural network for open-source Java projects</v>
      </c>
      <c r="B9" s="9" t="s">
        <v>150</v>
      </c>
      <c r="C9" s="9">
        <v>2017.0</v>
      </c>
      <c r="D9" s="6" t="s">
        <v>104</v>
      </c>
      <c r="E9" s="10" t="s">
        <v>151</v>
      </c>
      <c r="F9" s="9" t="s">
        <v>152</v>
      </c>
      <c r="G9" s="9" t="s">
        <v>153</v>
      </c>
      <c r="H9" s="9" t="s">
        <v>154</v>
      </c>
      <c r="I9" s="9" t="s">
        <v>55</v>
      </c>
      <c r="J9" s="9" t="s">
        <v>55</v>
      </c>
      <c r="K9" s="9" t="s">
        <v>55</v>
      </c>
      <c r="L9" s="9" t="s">
        <v>155</v>
      </c>
      <c r="M9" s="10" t="s">
        <v>17</v>
      </c>
      <c r="N9" s="10" t="s">
        <v>55</v>
      </c>
      <c r="O9" s="7" t="s">
        <v>56</v>
      </c>
      <c r="P9" s="7" t="s">
        <v>56</v>
      </c>
      <c r="Q9" s="10" t="s">
        <v>56</v>
      </c>
      <c r="R9" s="7" t="str">
        <f>IFERROR(__xludf.DUMMYFUNCTION("IF(REGEXMATCH(M9, ""Accuracy""), ""Yes"", ""No"")"),"Yes")</f>
        <v>Yes</v>
      </c>
      <c r="S9" s="7" t="str">
        <f>IFERROR(__xludf.DUMMYFUNCTION("IF(REGEXMATCH(M9, ""Precision""), ""Yes"", ""No"")"),"No")</f>
        <v>No</v>
      </c>
      <c r="T9" s="7" t="str">
        <f>IFERROR(__xludf.DUMMYFUNCTION("IF(REGEXMATCH(M9, ""Recall""), ""Yes"", ""No"")"),"No")</f>
        <v>No</v>
      </c>
      <c r="U9" s="7" t="str">
        <f>IFERROR(__xludf.DUMMYFUNCTION("IF(REGEXMATCH(M9, ""F1 Measure""), ""Yes"", ""No"")"),"No")</f>
        <v>No</v>
      </c>
      <c r="V9" s="10" t="s">
        <v>79</v>
      </c>
      <c r="W9" s="10" t="s">
        <v>55</v>
      </c>
      <c r="X9" s="7" t="s">
        <v>55</v>
      </c>
      <c r="Y9" s="10" t="s">
        <v>55</v>
      </c>
      <c r="Z9" s="10" t="s">
        <v>55</v>
      </c>
      <c r="AA9" s="11" t="s">
        <v>156</v>
      </c>
      <c r="AB9" s="11" t="s">
        <v>31</v>
      </c>
      <c r="AC9" s="11" t="s">
        <v>55</v>
      </c>
      <c r="AD9" s="7" t="s">
        <v>56</v>
      </c>
      <c r="AE9" s="7" t="s">
        <v>56</v>
      </c>
      <c r="AF9" s="11" t="s">
        <v>62</v>
      </c>
      <c r="AG9" s="11" t="s">
        <v>56</v>
      </c>
      <c r="AH9" s="11" t="s">
        <v>63</v>
      </c>
      <c r="AI9" s="11" t="s">
        <v>64</v>
      </c>
      <c r="AJ9" s="11" t="s">
        <v>157</v>
      </c>
      <c r="AK9" s="11" t="s">
        <v>158</v>
      </c>
      <c r="AL9" s="20" t="s">
        <v>159</v>
      </c>
      <c r="AM9" s="7" t="str">
        <f>IFERROR(__xludf.DUMMYFUNCTION("IF(REGEXMATCH($AL9, ""Reproducible""), ""Yes"", ""No"")"),"No")</f>
        <v>No</v>
      </c>
      <c r="AN9" s="20" t="s">
        <v>56</v>
      </c>
      <c r="AO9" s="20" t="s">
        <v>56</v>
      </c>
      <c r="AP9" s="20" t="s">
        <v>62</v>
      </c>
      <c r="AQ9" s="7" t="str">
        <f>IFERROR(__xludf.DUMMYFUNCTION("IF(REGEXMATCH($AL9, ""No Repo""), ""Yes"", ""No"")"),"Yes")</f>
        <v>Yes</v>
      </c>
      <c r="AR9" s="7" t="str">
        <f>IFERROR(__xludf.DUMMYFUNCTION("IF(REGEXMATCH($AL9, ""Hyperparameters""), ""Yes"", ""No"")"),"Yes")</f>
        <v>Yes</v>
      </c>
      <c r="AS9" s="7" t="str">
        <f>IFERROR(__xludf.DUMMYFUNCTION("IF(REGEXMATCH($AL9, ""Filtering Details""), ""Yes"", ""No"")"),"No")</f>
        <v>No</v>
      </c>
    </row>
    <row r="10" ht="28.5" customHeight="1">
      <c r="A10" s="12" t="str">
        <f>HYPERLINK("https://ieeexplore-ieee-org.proxy.wm.edu/document/8540022","Automatic feature learning for predicting vulnerable software components")</f>
        <v>Automatic feature learning for predicting vulnerable software components</v>
      </c>
      <c r="B10" s="13" t="s">
        <v>84</v>
      </c>
      <c r="C10" s="13">
        <v>2018.0</v>
      </c>
      <c r="D10" s="14" t="s">
        <v>85</v>
      </c>
      <c r="E10" s="13" t="s">
        <v>160</v>
      </c>
      <c r="F10" s="13" t="s">
        <v>161</v>
      </c>
      <c r="G10" s="13" t="s">
        <v>162</v>
      </c>
      <c r="H10" s="13" t="s">
        <v>163</v>
      </c>
      <c r="I10" s="13" t="s">
        <v>164</v>
      </c>
      <c r="J10" s="13" t="s">
        <v>165</v>
      </c>
      <c r="K10" s="15" t="s">
        <v>166</v>
      </c>
      <c r="L10" s="13" t="s">
        <v>167</v>
      </c>
      <c r="M10" s="15" t="s">
        <v>168</v>
      </c>
      <c r="N10" s="15" t="s">
        <v>55</v>
      </c>
      <c r="O10" s="7" t="s">
        <v>56</v>
      </c>
      <c r="P10" s="15" t="s">
        <v>62</v>
      </c>
      <c r="Q10" s="15" t="s">
        <v>56</v>
      </c>
      <c r="R10" s="7" t="str">
        <f>IFERROR(__xludf.DUMMYFUNCTION("IF(REGEXMATCH(M10, ""Accuracy""), ""Yes"", ""No"")"),"No")</f>
        <v>No</v>
      </c>
      <c r="S10" s="7" t="str">
        <f>IFERROR(__xludf.DUMMYFUNCTION("IF(REGEXMATCH(M10, ""Precision""), ""Yes"", ""No"")"),"Yes")</f>
        <v>Yes</v>
      </c>
      <c r="T10" s="7" t="str">
        <f>IFERROR(__xludf.DUMMYFUNCTION("IF(REGEXMATCH(M10, ""Recall""), ""Yes"", ""No"")"),"Yes")</f>
        <v>Yes</v>
      </c>
      <c r="U10" s="7" t="str">
        <f>IFERROR(__xludf.DUMMYFUNCTION("IF(REGEXMATCH(M10, ""F1 Measure""), ""Yes"", ""No"")"),"Yes")</f>
        <v>Yes</v>
      </c>
      <c r="V10" s="15" t="s">
        <v>79</v>
      </c>
      <c r="W10" s="15" t="s">
        <v>23</v>
      </c>
      <c r="X10" s="15" t="s">
        <v>96</v>
      </c>
      <c r="Y10" s="15" t="s">
        <v>59</v>
      </c>
      <c r="Z10" s="15" t="s">
        <v>97</v>
      </c>
      <c r="AA10" s="11" t="s">
        <v>169</v>
      </c>
      <c r="AB10" s="11" t="s">
        <v>31</v>
      </c>
      <c r="AC10" s="11" t="s">
        <v>55</v>
      </c>
      <c r="AD10" s="7" t="s">
        <v>56</v>
      </c>
      <c r="AE10" s="7" t="s">
        <v>56</v>
      </c>
      <c r="AF10" s="11" t="s">
        <v>62</v>
      </c>
      <c r="AG10" s="11" t="s">
        <v>56</v>
      </c>
      <c r="AH10" s="11" t="s">
        <v>170</v>
      </c>
      <c r="AI10" s="11" t="s">
        <v>64</v>
      </c>
      <c r="AJ10" s="11" t="s">
        <v>101</v>
      </c>
      <c r="AK10" s="11" t="s">
        <v>158</v>
      </c>
      <c r="AL10" s="11" t="s">
        <v>42</v>
      </c>
      <c r="AM10" s="7" t="str">
        <f>IFERROR(__xludf.DUMMYFUNCTION("IF(REGEXMATCH($AL10, ""Reproducible""), ""Yes"", ""No"")"),"No")</f>
        <v>No</v>
      </c>
      <c r="AN10" s="11" t="s">
        <v>56</v>
      </c>
      <c r="AO10" s="11" t="s">
        <v>56</v>
      </c>
      <c r="AP10" s="11" t="s">
        <v>56</v>
      </c>
      <c r="AQ10" s="7" t="str">
        <f>IFERROR(__xludf.DUMMYFUNCTION("IF(REGEXMATCH($AL10, ""No Repo""), ""Yes"", ""No"")"),"Yes")</f>
        <v>Yes</v>
      </c>
      <c r="AR10" s="7" t="str">
        <f>IFERROR(__xludf.DUMMYFUNCTION("IF(REGEXMATCH($AL10, ""Hyperparameters""), ""Yes"", ""No"")"),"No")</f>
        <v>No</v>
      </c>
      <c r="AS10" s="7" t="str">
        <f>IFERROR(__xludf.DUMMYFUNCTION("IF(REGEXMATCH($AL10, ""Filtering Details""), ""Yes"", ""No"")"),"No")</f>
        <v>No</v>
      </c>
    </row>
    <row r="11" ht="28.5" customHeight="1">
      <c r="A11" s="21" t="str">
        <f>HYPERLINK("https://papers.nips.cc/paper/7479-automatic-program-synthesis-of-long-programs-with-a-learned-garbage-collector","Automatic Program Synthesis of Long Programs with a Learned Garbage Collector")</f>
        <v>Automatic Program Synthesis of Long Programs with a Learned Garbage Collector</v>
      </c>
      <c r="B11" s="11" t="s">
        <v>171</v>
      </c>
      <c r="C11" s="11">
        <v>2018.0</v>
      </c>
      <c r="D11" s="14" t="s">
        <v>85</v>
      </c>
      <c r="E11" s="11" t="s">
        <v>172</v>
      </c>
      <c r="F11" s="11" t="s">
        <v>173</v>
      </c>
      <c r="G11" s="11" t="s">
        <v>174</v>
      </c>
      <c r="H11" s="11" t="s">
        <v>175</v>
      </c>
      <c r="I11" s="11" t="s">
        <v>176</v>
      </c>
      <c r="J11" s="11" t="s">
        <v>177</v>
      </c>
      <c r="K11" s="11" t="s">
        <v>55</v>
      </c>
      <c r="L11" s="11" t="s">
        <v>178</v>
      </c>
      <c r="M11" s="11" t="s">
        <v>179</v>
      </c>
      <c r="N11" s="7" t="s">
        <v>95</v>
      </c>
      <c r="O11" s="7" t="s">
        <v>56</v>
      </c>
      <c r="P11" s="7" t="s">
        <v>56</v>
      </c>
      <c r="Q11" s="11" t="s">
        <v>56</v>
      </c>
      <c r="R11" s="7" t="str">
        <f>IFERROR(__xludf.DUMMYFUNCTION("IF(REGEXMATCH(M11, ""Accuracy""), ""Yes"", ""No"")"),"Yes")</f>
        <v>Yes</v>
      </c>
      <c r="S11" s="7" t="str">
        <f>IFERROR(__xludf.DUMMYFUNCTION("IF(REGEXMATCH(M11, ""Precision""), ""Yes"", ""No"")"),"No")</f>
        <v>No</v>
      </c>
      <c r="T11" s="7" t="str">
        <f>IFERROR(__xludf.DUMMYFUNCTION("IF(REGEXMATCH(M11, ""Recall""), ""Yes"", ""No"")"),"No")</f>
        <v>No</v>
      </c>
      <c r="U11" s="7" t="str">
        <f>IFERROR(__xludf.DUMMYFUNCTION("IF(REGEXMATCH(M11, ""F1 Measure""), ""Yes"", ""No"")"),"No")</f>
        <v>No</v>
      </c>
      <c r="V11" s="11" t="s">
        <v>79</v>
      </c>
      <c r="W11" s="11" t="s">
        <v>55</v>
      </c>
      <c r="X11" s="15" t="s">
        <v>55</v>
      </c>
      <c r="Y11" s="11" t="s">
        <v>59</v>
      </c>
      <c r="Z11" s="11" t="s">
        <v>145</v>
      </c>
      <c r="AA11" s="11" t="s">
        <v>180</v>
      </c>
      <c r="AB11" s="11" t="s">
        <v>29</v>
      </c>
      <c r="AC11" s="7" t="s">
        <v>55</v>
      </c>
      <c r="AD11" s="7" t="s">
        <v>62</v>
      </c>
      <c r="AE11" s="7" t="s">
        <v>56</v>
      </c>
      <c r="AF11" s="11" t="s">
        <v>56</v>
      </c>
      <c r="AG11" s="11" t="s">
        <v>56</v>
      </c>
      <c r="AH11" s="11" t="s">
        <v>181</v>
      </c>
      <c r="AI11" s="11" t="s">
        <v>64</v>
      </c>
      <c r="AJ11" s="11" t="s">
        <v>157</v>
      </c>
      <c r="AK11" s="11" t="s">
        <v>118</v>
      </c>
      <c r="AL11" s="11" t="s">
        <v>43</v>
      </c>
      <c r="AM11" s="7" t="str">
        <f>IFERROR(__xludf.DUMMYFUNCTION("IF(REGEXMATCH($AL11, ""Reproducible""), ""Yes"", ""No"")"),"No")</f>
        <v>No</v>
      </c>
      <c r="AN11" s="11" t="s">
        <v>56</v>
      </c>
      <c r="AO11" s="11" t="s">
        <v>56</v>
      </c>
      <c r="AP11" s="11" t="s">
        <v>56</v>
      </c>
      <c r="AQ11" s="7" t="str">
        <f>IFERROR(__xludf.DUMMYFUNCTION("IF(REGEXMATCH($AL11, ""No Repo""), ""Yes"", ""No"")"),"No")</f>
        <v>No</v>
      </c>
      <c r="AR11" s="7" t="str">
        <f>IFERROR(__xludf.DUMMYFUNCTION("IF(REGEXMATCH($AL11, ""Hyperparameters""), ""Yes"", ""No"")"),"Yes")</f>
        <v>Yes</v>
      </c>
      <c r="AS11" s="7" t="str">
        <f>IFERROR(__xludf.DUMMYFUNCTION("IF(REGEXMATCH($AL11, ""Filtering Details""), ""Yes"", ""No"")"),"No")</f>
        <v>No</v>
      </c>
    </row>
    <row r="12" ht="28.5" customHeight="1">
      <c r="A12" s="16" t="str">
        <f>HYPERLINK("https://dl-acm-org.proxy.wm.edu/citation.cfm?id=3097445","Automatic Text Input Generation for Mobile Testing")</f>
        <v>Automatic Text Input Generation for Mobile Testing</v>
      </c>
      <c r="B12" s="14" t="s">
        <v>150</v>
      </c>
      <c r="C12" s="14">
        <v>2017.0</v>
      </c>
      <c r="D12" s="14" t="s">
        <v>85</v>
      </c>
      <c r="E12" s="14" t="s">
        <v>182</v>
      </c>
      <c r="F12" s="14" t="s">
        <v>183</v>
      </c>
      <c r="G12" s="14" t="s">
        <v>184</v>
      </c>
      <c r="H12" s="14" t="s">
        <v>55</v>
      </c>
      <c r="I12" s="14" t="s">
        <v>185</v>
      </c>
      <c r="J12" s="14" t="s">
        <v>55</v>
      </c>
      <c r="K12" s="14" t="s">
        <v>55</v>
      </c>
      <c r="L12" s="14" t="s">
        <v>186</v>
      </c>
      <c r="M12" s="11" t="s">
        <v>187</v>
      </c>
      <c r="N12" s="7" t="s">
        <v>95</v>
      </c>
      <c r="O12" s="7" t="s">
        <v>56</v>
      </c>
      <c r="P12" s="7" t="s">
        <v>56</v>
      </c>
      <c r="Q12" s="11" t="s">
        <v>56</v>
      </c>
      <c r="R12" s="7" t="str">
        <f>IFERROR(__xludf.DUMMYFUNCTION("IF(REGEXMATCH(M12, ""Accuracy""), ""Yes"", ""No"")"),"No")</f>
        <v>No</v>
      </c>
      <c r="S12" s="7" t="str">
        <f>IFERROR(__xludf.DUMMYFUNCTION("IF(REGEXMATCH(M12, ""Precision""), ""Yes"", ""No"")"),"No")</f>
        <v>No</v>
      </c>
      <c r="T12" s="7" t="str">
        <f>IFERROR(__xludf.DUMMYFUNCTION("IF(REGEXMATCH(M12, ""Recall""), ""Yes"", ""No"")"),"No")</f>
        <v>No</v>
      </c>
      <c r="U12" s="7" t="str">
        <f>IFERROR(__xludf.DUMMYFUNCTION("IF(REGEXMATCH(M12, ""F1 Measure""), ""Yes"", ""No"")"),"No")</f>
        <v>No</v>
      </c>
      <c r="V12" s="11" t="s">
        <v>79</v>
      </c>
      <c r="W12" s="11" t="s">
        <v>55</v>
      </c>
      <c r="X12" s="7" t="s">
        <v>55</v>
      </c>
      <c r="Y12" s="11" t="s">
        <v>59</v>
      </c>
      <c r="Z12" s="11" t="s">
        <v>55</v>
      </c>
      <c r="AA12" s="11" t="s">
        <v>188</v>
      </c>
      <c r="AB12" s="11" t="s">
        <v>189</v>
      </c>
      <c r="AC12" s="11" t="s">
        <v>99</v>
      </c>
      <c r="AD12" s="7" t="s">
        <v>56</v>
      </c>
      <c r="AE12" s="11" t="s">
        <v>62</v>
      </c>
      <c r="AF12" s="11" t="s">
        <v>56</v>
      </c>
      <c r="AG12" s="11" t="s">
        <v>56</v>
      </c>
      <c r="AH12" s="11" t="s">
        <v>100</v>
      </c>
      <c r="AI12" s="11" t="s">
        <v>64</v>
      </c>
      <c r="AJ12" s="11" t="s">
        <v>101</v>
      </c>
      <c r="AK12" s="11" t="s">
        <v>66</v>
      </c>
      <c r="AL12" s="11" t="s">
        <v>190</v>
      </c>
      <c r="AM12" s="7" t="str">
        <f>IFERROR(__xludf.DUMMYFUNCTION("IF(REGEXMATCH($AL12, ""Reproducible""), ""Yes"", ""No"")"),"No")</f>
        <v>No</v>
      </c>
      <c r="AN12" s="11" t="s">
        <v>56</v>
      </c>
      <c r="AO12" s="11" t="s">
        <v>56</v>
      </c>
      <c r="AP12" s="11" t="s">
        <v>62</v>
      </c>
      <c r="AQ12" s="7" t="str">
        <f>IFERROR(__xludf.DUMMYFUNCTION("IF(REGEXMATCH($AL12, ""No Repo""), ""Yes"", ""No"")"),"No")</f>
        <v>No</v>
      </c>
      <c r="AR12" s="7" t="str">
        <f>IFERROR(__xludf.DUMMYFUNCTION("IF(REGEXMATCH($AL12, ""Hyperparameters""), ""Yes"", ""No"")"),"Yes")</f>
        <v>Yes</v>
      </c>
      <c r="AS12" s="7" t="str">
        <f>IFERROR(__xludf.DUMMYFUNCTION("IF(REGEXMATCH($AL12, ""Filtering Details""), ""Yes"", ""No"")"),"Yes")</f>
        <v>Yes</v>
      </c>
    </row>
    <row r="13" ht="28.5" customHeight="1">
      <c r="A13" s="16" t="str">
        <f>HYPERLINK("https://dl-acm-org.proxy.wm.edu/citation.cfm?id=3155583","Automatically generating commit messages from diffs using neural machine translation")</f>
        <v>Automatically generating commit messages from diffs using neural machine translation</v>
      </c>
      <c r="B13" s="14" t="s">
        <v>103</v>
      </c>
      <c r="C13" s="14">
        <v>2017.0</v>
      </c>
      <c r="D13" s="14" t="s">
        <v>85</v>
      </c>
      <c r="E13" s="14" t="s">
        <v>191</v>
      </c>
      <c r="F13" s="14" t="s">
        <v>192</v>
      </c>
      <c r="G13" s="14" t="s">
        <v>193</v>
      </c>
      <c r="H13" s="14" t="s">
        <v>194</v>
      </c>
      <c r="I13" s="14" t="s">
        <v>195</v>
      </c>
      <c r="J13" s="14" t="s">
        <v>196</v>
      </c>
      <c r="K13" s="14" t="s">
        <v>55</v>
      </c>
      <c r="L13" s="14" t="s">
        <v>197</v>
      </c>
      <c r="M13" s="11" t="s">
        <v>198</v>
      </c>
      <c r="N13" s="7" t="s">
        <v>95</v>
      </c>
      <c r="O13" s="7" t="s">
        <v>56</v>
      </c>
      <c r="P13" s="7" t="s">
        <v>56</v>
      </c>
      <c r="Q13" s="11" t="s">
        <v>62</v>
      </c>
      <c r="R13" s="7" t="str">
        <f>IFERROR(__xludf.DUMMYFUNCTION("IF(REGEXMATCH(M13, ""Accuracy""), ""Yes"", ""No"")"),"No")</f>
        <v>No</v>
      </c>
      <c r="S13" s="7" t="str">
        <f>IFERROR(__xludf.DUMMYFUNCTION("IF(REGEXMATCH(M13, ""Precision""), ""Yes"", ""No"")"),"No")</f>
        <v>No</v>
      </c>
      <c r="T13" s="7" t="str">
        <f>IFERROR(__xludf.DUMMYFUNCTION("IF(REGEXMATCH(M13, ""Recall""), ""Yes"", ""No"")"),"No")</f>
        <v>No</v>
      </c>
      <c r="U13" s="7" t="str">
        <f>IFERROR(__xludf.DUMMYFUNCTION("IF(REGEXMATCH(M13, ""F1 Measure""), ""Yes"", ""No"")"),"No")</f>
        <v>No</v>
      </c>
      <c r="V13" s="11" t="s">
        <v>79</v>
      </c>
      <c r="W13" s="11" t="s">
        <v>55</v>
      </c>
      <c r="X13" s="7" t="s">
        <v>55</v>
      </c>
      <c r="Y13" s="11" t="s">
        <v>59</v>
      </c>
      <c r="Z13" s="11" t="s">
        <v>145</v>
      </c>
      <c r="AA13" s="11" t="s">
        <v>98</v>
      </c>
      <c r="AB13" s="11" t="s">
        <v>199</v>
      </c>
      <c r="AC13" s="11" t="s">
        <v>99</v>
      </c>
      <c r="AD13" s="7" t="s">
        <v>56</v>
      </c>
      <c r="AE13" s="7" t="s">
        <v>56</v>
      </c>
      <c r="AF13" s="11" t="s">
        <v>56</v>
      </c>
      <c r="AG13" s="11" t="s">
        <v>62</v>
      </c>
      <c r="AH13" s="11" t="s">
        <v>100</v>
      </c>
      <c r="AI13" s="11" t="s">
        <v>64</v>
      </c>
      <c r="AJ13" s="7" t="s">
        <v>128</v>
      </c>
      <c r="AK13" s="7" t="s">
        <v>66</v>
      </c>
      <c r="AL13" s="7" t="s">
        <v>200</v>
      </c>
      <c r="AM13" s="7" t="str">
        <f>IFERROR(__xludf.DUMMYFUNCTION("IF(REGEXMATCH($AL13, ""Reproducible""), ""Yes"", ""No"")"),"No")</f>
        <v>No</v>
      </c>
      <c r="AN13" s="7" t="s">
        <v>56</v>
      </c>
      <c r="AO13" s="7" t="s">
        <v>56</v>
      </c>
      <c r="AP13" s="7" t="s">
        <v>56</v>
      </c>
      <c r="AQ13" s="7" t="str">
        <f>IFERROR(__xludf.DUMMYFUNCTION("IF(REGEXMATCH($AL13, ""No Repo""), ""Yes"", ""No"")"),"Yes")</f>
        <v>Yes</v>
      </c>
      <c r="AR13" s="7" t="str">
        <f>IFERROR(__xludf.DUMMYFUNCTION("IF(REGEXMATCH($AL13, ""Hyperparameters""), ""Yes"", ""No"")"),"Yes")</f>
        <v>Yes</v>
      </c>
      <c r="AS13" s="7" t="str">
        <f>IFERROR(__xludf.DUMMYFUNCTION("IF(REGEXMATCH($AL13, ""Filtering Details""), ""Yes"", ""No"")"),"No")</f>
        <v>No</v>
      </c>
    </row>
    <row r="14" ht="28.5" customHeight="1">
      <c r="A14" s="5" t="str">
        <f>HYPERLINK("https://dl-acm-org.proxy.wm.edu/citation.cfm?id=2884804","Automatically Learning Semantic Features for Defect Prediction")</f>
        <v>Automatically Learning Semantic Features for Defect Prediction</v>
      </c>
      <c r="B14" s="6" t="s">
        <v>150</v>
      </c>
      <c r="C14" s="6">
        <v>2016.0</v>
      </c>
      <c r="D14" s="6" t="s">
        <v>46</v>
      </c>
      <c r="E14" s="6" t="s">
        <v>201</v>
      </c>
      <c r="F14" s="6" t="s">
        <v>202</v>
      </c>
      <c r="G14" s="6" t="s">
        <v>203</v>
      </c>
      <c r="H14" s="6" t="s">
        <v>204</v>
      </c>
      <c r="I14" s="7" t="s">
        <v>205</v>
      </c>
      <c r="J14" s="7" t="s">
        <v>206</v>
      </c>
      <c r="K14" s="6" t="s">
        <v>207</v>
      </c>
      <c r="L14" s="6" t="s">
        <v>208</v>
      </c>
      <c r="M14" s="7" t="s">
        <v>209</v>
      </c>
      <c r="N14" s="7" t="s">
        <v>55</v>
      </c>
      <c r="O14" s="7" t="s">
        <v>56</v>
      </c>
      <c r="P14" s="7" t="s">
        <v>56</v>
      </c>
      <c r="Q14" s="7" t="s">
        <v>56</v>
      </c>
      <c r="R14" s="7" t="str">
        <f>IFERROR(__xludf.DUMMYFUNCTION("IF(REGEXMATCH(M14, ""Accuracy""), ""Yes"", ""No"")"),"No")</f>
        <v>No</v>
      </c>
      <c r="S14" s="7" t="str">
        <f>IFERROR(__xludf.DUMMYFUNCTION("IF(REGEXMATCH(M14, ""Precision""), ""Yes"", ""No"")"),"Yes")</f>
        <v>Yes</v>
      </c>
      <c r="T14" s="7" t="str">
        <f>IFERROR(__xludf.DUMMYFUNCTION("IF(REGEXMATCH(M14, ""Recall""), ""Yes"", ""No"")"),"Yes")</f>
        <v>Yes</v>
      </c>
      <c r="U14" s="7" t="str">
        <f>IFERROR(__xludf.DUMMYFUNCTION("IF(REGEXMATCH(M14, ""F1 Measure""), ""Yes"", ""No"")"),"Yes")</f>
        <v>Yes</v>
      </c>
      <c r="V14" s="7" t="s">
        <v>79</v>
      </c>
      <c r="W14" s="7" t="s">
        <v>23</v>
      </c>
      <c r="X14" s="7" t="s">
        <v>210</v>
      </c>
      <c r="Y14" s="7" t="s">
        <v>59</v>
      </c>
      <c r="Z14" s="7" t="s">
        <v>60</v>
      </c>
      <c r="AA14" s="7" t="s">
        <v>211</v>
      </c>
      <c r="AB14" s="7" t="s">
        <v>31</v>
      </c>
      <c r="AC14" s="7" t="s">
        <v>55</v>
      </c>
      <c r="AD14" s="7" t="s">
        <v>56</v>
      </c>
      <c r="AE14" s="7" t="s">
        <v>56</v>
      </c>
      <c r="AF14" s="7" t="s">
        <v>62</v>
      </c>
      <c r="AG14" s="7" t="s">
        <v>56</v>
      </c>
      <c r="AH14" s="7" t="s">
        <v>63</v>
      </c>
      <c r="AI14" s="7" t="s">
        <v>212</v>
      </c>
      <c r="AJ14" s="7" t="s">
        <v>213</v>
      </c>
      <c r="AK14" s="7" t="s">
        <v>158</v>
      </c>
      <c r="AL14" s="7" t="s">
        <v>214</v>
      </c>
      <c r="AM14" s="7" t="str">
        <f>IFERROR(__xludf.DUMMYFUNCTION("IF(REGEXMATCH($AL14, ""Reproducible""), ""Yes"", ""No"")"),"No")</f>
        <v>No</v>
      </c>
      <c r="AN14" s="7" t="s">
        <v>56</v>
      </c>
      <c r="AO14" s="7" t="s">
        <v>56</v>
      </c>
      <c r="AP14" s="7" t="s">
        <v>62</v>
      </c>
      <c r="AQ14" s="7" t="str">
        <f>IFERROR(__xludf.DUMMYFUNCTION("IF(REGEXMATCH($AL14, ""No Repo""), ""Yes"", ""No"")"),"No")</f>
        <v>No</v>
      </c>
      <c r="AR14" s="7" t="str">
        <f>IFERROR(__xludf.DUMMYFUNCTION("IF(REGEXMATCH($AL14, ""Hyperparameters""), ""Yes"", ""No"")"),"No")</f>
        <v>No</v>
      </c>
      <c r="AS14" s="7" t="str">
        <f>IFERROR(__xludf.DUMMYFUNCTION("IF(REGEXMATCH($AL14, ""Filtering Details""), ""Yes"", ""No"")"),"Yes")</f>
        <v>Yes</v>
      </c>
    </row>
    <row r="15" ht="28.5" customHeight="1">
      <c r="A15" s="12" t="str">
        <f>HYPERLINK("https://ieeexplore-ieee-org.proxy.wm.edu/document/8493285","Automating Intention Mining")</f>
        <v>Automating Intention Mining</v>
      </c>
      <c r="B15" s="13" t="s">
        <v>84</v>
      </c>
      <c r="C15" s="13">
        <v>2018.0</v>
      </c>
      <c r="D15" s="14" t="s">
        <v>85</v>
      </c>
      <c r="E15" s="13" t="s">
        <v>215</v>
      </c>
      <c r="F15" s="13" t="s">
        <v>216</v>
      </c>
      <c r="G15" s="13" t="s">
        <v>217</v>
      </c>
      <c r="H15" s="13" t="s">
        <v>218</v>
      </c>
      <c r="I15" s="13" t="s">
        <v>219</v>
      </c>
      <c r="J15" s="13" t="s">
        <v>220</v>
      </c>
      <c r="K15" s="13" t="s">
        <v>221</v>
      </c>
      <c r="L15" s="13" t="s">
        <v>222</v>
      </c>
      <c r="M15" s="15" t="s">
        <v>223</v>
      </c>
      <c r="N15" s="15" t="s">
        <v>55</v>
      </c>
      <c r="O15" s="7" t="s">
        <v>56</v>
      </c>
      <c r="P15" s="7" t="s">
        <v>56</v>
      </c>
      <c r="Q15" s="15" t="s">
        <v>56</v>
      </c>
      <c r="R15" s="7" t="str">
        <f>IFERROR(__xludf.DUMMYFUNCTION("IF(REGEXMATCH(M15, ""Accuracy""), ""Yes"", ""No"")"),"Yes")</f>
        <v>Yes</v>
      </c>
      <c r="S15" s="7" t="str">
        <f>IFERROR(__xludf.DUMMYFUNCTION("IF(REGEXMATCH(M15, ""Precision""), ""Yes"", ""No"")"),"Yes")</f>
        <v>Yes</v>
      </c>
      <c r="T15" s="7" t="str">
        <f>IFERROR(__xludf.DUMMYFUNCTION("IF(REGEXMATCH(M15, ""Recall""), ""Yes"", ""No"")"),"Yes")</f>
        <v>Yes</v>
      </c>
      <c r="U15" s="7" t="str">
        <f>IFERROR(__xludf.DUMMYFUNCTION("IF(REGEXMATCH(M15, ""F1 Measure""), ""Yes"", ""No"")"),"Yes")</f>
        <v>Yes</v>
      </c>
      <c r="V15" s="15" t="s">
        <v>79</v>
      </c>
      <c r="W15" s="15" t="s">
        <v>23</v>
      </c>
      <c r="X15" s="15" t="s">
        <v>224</v>
      </c>
      <c r="Y15" s="15" t="s">
        <v>59</v>
      </c>
      <c r="Z15" s="15" t="s">
        <v>145</v>
      </c>
      <c r="AA15" s="11" t="s">
        <v>225</v>
      </c>
      <c r="AB15" s="11" t="s">
        <v>99</v>
      </c>
      <c r="AC15" s="11" t="s">
        <v>99</v>
      </c>
      <c r="AD15" s="7" t="s">
        <v>56</v>
      </c>
      <c r="AE15" s="7" t="s">
        <v>56</v>
      </c>
      <c r="AF15" s="11" t="s">
        <v>56</v>
      </c>
      <c r="AG15" s="11" t="s">
        <v>56</v>
      </c>
      <c r="AH15" s="11" t="s">
        <v>100</v>
      </c>
      <c r="AI15" s="11" t="s">
        <v>64</v>
      </c>
      <c r="AJ15" s="11" t="s">
        <v>65</v>
      </c>
      <c r="AK15" s="11" t="s">
        <v>66</v>
      </c>
      <c r="AL15" s="11" t="s">
        <v>38</v>
      </c>
      <c r="AM15" s="7" t="str">
        <f>IFERROR(__xludf.DUMMYFUNCTION("IF(REGEXMATCH($AL15, ""Reproducible""), ""Yes"", ""No"")"),"Yes")</f>
        <v>Yes</v>
      </c>
      <c r="AN15" s="11" t="s">
        <v>56</v>
      </c>
      <c r="AO15" s="11" t="s">
        <v>56</v>
      </c>
      <c r="AP15" s="11" t="s">
        <v>56</v>
      </c>
      <c r="AQ15" s="7" t="str">
        <f>IFERROR(__xludf.DUMMYFUNCTION("IF(REGEXMATCH($AL15, ""No Repo""), ""Yes"", ""No"")"),"No")</f>
        <v>No</v>
      </c>
      <c r="AR15" s="7" t="str">
        <f>IFERROR(__xludf.DUMMYFUNCTION("IF(REGEXMATCH($AL15, ""Hyperparameters""), ""Yes"", ""No"")"),"No")</f>
        <v>No</v>
      </c>
      <c r="AS15" s="7" t="str">
        <f>IFERROR(__xludf.DUMMYFUNCTION("IF(REGEXMATCH($AL15, ""Filtering Details""), ""Yes"", ""No"")"),"No")</f>
        <v>No</v>
      </c>
    </row>
    <row r="16" ht="28.5" customHeight="1">
      <c r="A16" s="16" t="str">
        <f>HYPERLINK("https://www.cs.rice.edu/~sc40/pubs/murali-fse17.pdf","Bayesian specification learning for finding API usage errors")</f>
        <v>Bayesian specification learning for finding API usage errors</v>
      </c>
      <c r="B16" s="14" t="s">
        <v>129</v>
      </c>
      <c r="C16" s="14">
        <v>2017.0</v>
      </c>
      <c r="D16" s="14" t="s">
        <v>85</v>
      </c>
      <c r="E16" s="11" t="s">
        <v>226</v>
      </c>
      <c r="F16" s="11" t="s">
        <v>227</v>
      </c>
      <c r="G16" s="14" t="s">
        <v>55</v>
      </c>
      <c r="H16" s="14" t="s">
        <v>55</v>
      </c>
      <c r="I16" s="14" t="s">
        <v>228</v>
      </c>
      <c r="J16" s="11" t="s">
        <v>229</v>
      </c>
      <c r="K16" s="14" t="s">
        <v>55</v>
      </c>
      <c r="L16" s="14" t="s">
        <v>230</v>
      </c>
      <c r="M16" s="11" t="s">
        <v>17</v>
      </c>
      <c r="N16" s="11" t="s">
        <v>55</v>
      </c>
      <c r="O16" s="7" t="s">
        <v>56</v>
      </c>
      <c r="P16" s="7" t="s">
        <v>56</v>
      </c>
      <c r="Q16" s="11" t="s">
        <v>56</v>
      </c>
      <c r="R16" s="7" t="str">
        <f>IFERROR(__xludf.DUMMYFUNCTION("IF(REGEXMATCH(M16, ""Accuracy""), ""Yes"", ""No"")"),"Yes")</f>
        <v>Yes</v>
      </c>
      <c r="S16" s="7" t="str">
        <f>IFERROR(__xludf.DUMMYFUNCTION("IF(REGEXMATCH(M16, ""Precision""), ""Yes"", ""No"")"),"No")</f>
        <v>No</v>
      </c>
      <c r="T16" s="7" t="str">
        <f>IFERROR(__xludf.DUMMYFUNCTION("IF(REGEXMATCH(M16, ""Recall""), ""Yes"", ""No"")"),"No")</f>
        <v>No</v>
      </c>
      <c r="U16" s="7" t="str">
        <f>IFERROR(__xludf.DUMMYFUNCTION("IF(REGEXMATCH(M16, ""F1 Measure""), ""Yes"", ""No"")"),"No")</f>
        <v>No</v>
      </c>
      <c r="V16" s="11" t="s">
        <v>231</v>
      </c>
      <c r="W16" s="11" t="s">
        <v>55</v>
      </c>
      <c r="X16" s="7" t="s">
        <v>55</v>
      </c>
      <c r="Y16" s="11" t="s">
        <v>59</v>
      </c>
      <c r="Z16" s="11" t="s">
        <v>145</v>
      </c>
      <c r="AA16" s="11" t="s">
        <v>135</v>
      </c>
      <c r="AB16" s="11" t="s">
        <v>232</v>
      </c>
      <c r="AC16" s="11" t="s">
        <v>233</v>
      </c>
      <c r="AD16" s="7" t="s">
        <v>56</v>
      </c>
      <c r="AE16" s="7" t="s">
        <v>56</v>
      </c>
      <c r="AF16" s="11" t="s">
        <v>62</v>
      </c>
      <c r="AG16" s="11" t="s">
        <v>56</v>
      </c>
      <c r="AH16" s="11" t="s">
        <v>181</v>
      </c>
      <c r="AI16" s="11" t="s">
        <v>64</v>
      </c>
      <c r="AJ16" s="11" t="s">
        <v>101</v>
      </c>
      <c r="AK16" s="11" t="s">
        <v>66</v>
      </c>
      <c r="AL16" s="11" t="s">
        <v>234</v>
      </c>
      <c r="AM16" s="7" t="str">
        <f>IFERROR(__xludf.DUMMYFUNCTION("IF(REGEXMATCH($AL16, ""Reproducible""), ""Yes"", ""No"")"),"No")</f>
        <v>No</v>
      </c>
      <c r="AN16" s="7" t="s">
        <v>56</v>
      </c>
      <c r="AO16" s="7" t="s">
        <v>62</v>
      </c>
      <c r="AP16" s="11" t="s">
        <v>56</v>
      </c>
      <c r="AQ16" s="7" t="str">
        <f>IFERROR(__xludf.DUMMYFUNCTION("IF(REGEXMATCH($AL16, ""No Repo""), ""Yes"", ""No"")"),"Yes")</f>
        <v>Yes</v>
      </c>
      <c r="AR16" s="7" t="str">
        <f>IFERROR(__xludf.DUMMYFUNCTION("IF(REGEXMATCH($AL16, ""Hyperparameters""), ""Yes"", ""No"")"),"Yes")</f>
        <v>Yes</v>
      </c>
      <c r="AS16" s="7" t="str">
        <f>IFERROR(__xludf.DUMMYFUNCTION("IF(REGEXMATCH($AL16, ""Filtering Details""), ""Yes"", ""No"")"),"Yes")</f>
        <v>Yes</v>
      </c>
    </row>
    <row r="17" ht="28.5" customHeight="1">
      <c r="A17" s="16" t="str">
        <f>HYPERLINK("http://people.cs.vt.edu/nm8247/publications/icsme-research-118-camera-ready.pdf","CCLearner: A Deep Learning-Based Clone Detection Approach")</f>
        <v>CCLearner: A Deep Learning-Based Clone Detection Approach</v>
      </c>
      <c r="B17" s="14" t="s">
        <v>235</v>
      </c>
      <c r="C17" s="14">
        <v>2017.0</v>
      </c>
      <c r="D17" s="14" t="s">
        <v>85</v>
      </c>
      <c r="E17" s="14" t="s">
        <v>236</v>
      </c>
      <c r="F17" s="14" t="s">
        <v>237</v>
      </c>
      <c r="G17" s="14" t="s">
        <v>238</v>
      </c>
      <c r="H17" s="14" t="s">
        <v>239</v>
      </c>
      <c r="I17" s="14" t="s">
        <v>240</v>
      </c>
      <c r="J17" s="14" t="s">
        <v>55</v>
      </c>
      <c r="K17" s="14" t="s">
        <v>241</v>
      </c>
      <c r="L17" s="14" t="s">
        <v>242</v>
      </c>
      <c r="M17" s="11" t="s">
        <v>78</v>
      </c>
      <c r="N17" s="11" t="s">
        <v>55</v>
      </c>
      <c r="O17" s="7" t="s">
        <v>56</v>
      </c>
      <c r="P17" s="7" t="s">
        <v>56</v>
      </c>
      <c r="Q17" s="11" t="s">
        <v>56</v>
      </c>
      <c r="R17" s="7" t="str">
        <f>IFERROR(__xludf.DUMMYFUNCTION("IF(REGEXMATCH(M17, ""Accuracy""), ""Yes"", ""No"")"),"Yes")</f>
        <v>Yes</v>
      </c>
      <c r="S17" s="7" t="str">
        <f>IFERROR(__xludf.DUMMYFUNCTION("IF(REGEXMATCH(M17, ""Precision""), ""Yes"", ""No"")"),"Yes")</f>
        <v>Yes</v>
      </c>
      <c r="T17" s="7" t="str">
        <f>IFERROR(__xludf.DUMMYFUNCTION("IF(REGEXMATCH(M17, ""Recall""), ""Yes"", ""No"")"),"Yes")</f>
        <v>Yes</v>
      </c>
      <c r="U17" s="7" t="str">
        <f>IFERROR(__xludf.DUMMYFUNCTION("IF(REGEXMATCH(M17, ""F1 Measure""), ""Yes"", ""No"")"),"No")</f>
        <v>No</v>
      </c>
      <c r="V17" s="11" t="s">
        <v>243</v>
      </c>
      <c r="W17" s="7" t="s">
        <v>23</v>
      </c>
      <c r="X17" s="7" t="s">
        <v>96</v>
      </c>
      <c r="Y17" s="11" t="s">
        <v>55</v>
      </c>
      <c r="Z17" s="11" t="s">
        <v>55</v>
      </c>
      <c r="AA17" s="11" t="s">
        <v>244</v>
      </c>
      <c r="AB17" s="11" t="s">
        <v>31</v>
      </c>
      <c r="AC17" s="11" t="s">
        <v>55</v>
      </c>
      <c r="AD17" s="7" t="s">
        <v>56</v>
      </c>
      <c r="AE17" s="7" t="s">
        <v>56</v>
      </c>
      <c r="AF17" s="11" t="s">
        <v>62</v>
      </c>
      <c r="AG17" s="11" t="s">
        <v>56</v>
      </c>
      <c r="AH17" s="11" t="s">
        <v>63</v>
      </c>
      <c r="AI17" s="11" t="s">
        <v>64</v>
      </c>
      <c r="AJ17" s="11" t="s">
        <v>157</v>
      </c>
      <c r="AK17" s="11" t="s">
        <v>66</v>
      </c>
      <c r="AL17" s="11" t="s">
        <v>41</v>
      </c>
      <c r="AM17" s="7" t="str">
        <f>IFERROR(__xludf.DUMMYFUNCTION("IF(REGEXMATCH($AL17, ""Reproducible""), ""Yes"", ""No"")"),"No")</f>
        <v>No</v>
      </c>
      <c r="AN17" s="11" t="s">
        <v>56</v>
      </c>
      <c r="AO17" s="11" t="s">
        <v>56</v>
      </c>
      <c r="AP17" s="11" t="s">
        <v>62</v>
      </c>
      <c r="AQ17" s="7" t="str">
        <f>IFERROR(__xludf.DUMMYFUNCTION("IF(REGEXMATCH($AL17, ""No Repo""), ""Yes"", ""No"")"),"No")</f>
        <v>No</v>
      </c>
      <c r="AR17" s="7" t="str">
        <f>IFERROR(__xludf.DUMMYFUNCTION("IF(REGEXMATCH($AL17, ""Hyperparameters""), ""Yes"", ""No"")"),"No")</f>
        <v>No</v>
      </c>
      <c r="AS17" s="7" t="str">
        <f>IFERROR(__xludf.DUMMYFUNCTION("IF(REGEXMATCH($AL17, ""Filtering Details""), ""Yes"", ""No"")"),"No")</f>
        <v>No</v>
      </c>
    </row>
    <row r="18" ht="28.5" customHeight="1">
      <c r="A18" s="5" t="str">
        <f>HYPERLINK("https://ieeexplore.ieee.org/document/7372035","Combining Deep Learning with Information Retrieval to Localize Buggy Files for Bug Reports")</f>
        <v>Combining Deep Learning with Information Retrieval to Localize Buggy Files for Bug Reports</v>
      </c>
      <c r="B18" s="6" t="s">
        <v>103</v>
      </c>
      <c r="C18" s="6">
        <v>2015.0</v>
      </c>
      <c r="D18" s="6" t="s">
        <v>104</v>
      </c>
      <c r="E18" s="6" t="s">
        <v>245</v>
      </c>
      <c r="F18" s="6" t="s">
        <v>246</v>
      </c>
      <c r="G18" s="7" t="s">
        <v>247</v>
      </c>
      <c r="H18" s="6" t="s">
        <v>248</v>
      </c>
      <c r="I18" s="6" t="s">
        <v>249</v>
      </c>
      <c r="J18" s="6" t="s">
        <v>250</v>
      </c>
      <c r="K18" s="7" t="s">
        <v>55</v>
      </c>
      <c r="L18" s="6" t="s">
        <v>251</v>
      </c>
      <c r="M18" s="7" t="s">
        <v>252</v>
      </c>
      <c r="N18" s="7" t="s">
        <v>55</v>
      </c>
      <c r="O18" s="7" t="s">
        <v>62</v>
      </c>
      <c r="P18" s="7" t="s">
        <v>56</v>
      </c>
      <c r="Q18" s="7" t="s">
        <v>56</v>
      </c>
      <c r="R18" s="7" t="str">
        <f>IFERROR(__xludf.DUMMYFUNCTION("IF(REGEXMATCH(M18, ""Accuracy""), ""Yes"", ""No"")"),"No")</f>
        <v>No</v>
      </c>
      <c r="S18" s="7" t="str">
        <f>IFERROR(__xludf.DUMMYFUNCTION("IF(REGEXMATCH(M18, ""Precision""), ""Yes"", ""No"")"),"Yes")</f>
        <v>Yes</v>
      </c>
      <c r="T18" s="7" t="str">
        <f>IFERROR(__xludf.DUMMYFUNCTION("IF(REGEXMATCH(M18, ""Recall""), ""Yes"", ""No"")"),"No")</f>
        <v>No</v>
      </c>
      <c r="U18" s="7" t="str">
        <f>IFERROR(__xludf.DUMMYFUNCTION("IF(REGEXMATCH(M18, ""F1 Measure""), ""Yes"", ""No"")"),"No")</f>
        <v>No</v>
      </c>
      <c r="V18" s="7" t="s">
        <v>57</v>
      </c>
      <c r="W18" s="7" t="s">
        <v>55</v>
      </c>
      <c r="X18" s="7" t="s">
        <v>55</v>
      </c>
      <c r="Y18" s="7" t="s">
        <v>55</v>
      </c>
      <c r="Z18" s="7" t="s">
        <v>55</v>
      </c>
      <c r="AA18" s="7" t="s">
        <v>253</v>
      </c>
      <c r="AB18" s="7" t="s">
        <v>254</v>
      </c>
      <c r="AC18" s="7" t="s">
        <v>136</v>
      </c>
      <c r="AD18" s="7" t="s">
        <v>56</v>
      </c>
      <c r="AE18" s="7" t="s">
        <v>56</v>
      </c>
      <c r="AF18" s="7" t="s">
        <v>62</v>
      </c>
      <c r="AG18" s="7" t="s">
        <v>56</v>
      </c>
      <c r="AH18" s="7" t="s">
        <v>100</v>
      </c>
      <c r="AI18" s="7" t="s">
        <v>147</v>
      </c>
      <c r="AJ18" s="7" t="s">
        <v>213</v>
      </c>
      <c r="AK18" s="7" t="s">
        <v>66</v>
      </c>
      <c r="AL18" s="7" t="s">
        <v>255</v>
      </c>
      <c r="AM18" s="7" t="str">
        <f>IFERROR(__xludf.DUMMYFUNCTION("IF(REGEXMATCH($AL18, ""Reproducible""), ""Yes"", ""No"")"),"No")</f>
        <v>No</v>
      </c>
      <c r="AN18" s="7" t="s">
        <v>56</v>
      </c>
      <c r="AO18" s="7" t="s">
        <v>56</v>
      </c>
      <c r="AP18" s="7" t="s">
        <v>56</v>
      </c>
      <c r="AQ18" s="7" t="str">
        <f>IFERROR(__xludf.DUMMYFUNCTION("IF(REGEXMATCH($AL18, ""No Repo""), ""Yes"", ""No"")"),"No")</f>
        <v>No</v>
      </c>
      <c r="AR18" s="7" t="str">
        <f>IFERROR(__xludf.DUMMYFUNCTION("IF(REGEXMATCH($AL18, ""Hyperparameters""), ""Yes"", ""No"")"),"Yes")</f>
        <v>Yes</v>
      </c>
      <c r="AS18" s="7" t="str">
        <f>IFERROR(__xludf.DUMMYFUNCTION("IF(REGEXMATCH($AL18, ""Filtering Details""), ""Yes"", ""No"")"),"Yes")</f>
        <v>Yes</v>
      </c>
    </row>
    <row r="19" ht="28.5" customHeight="1">
      <c r="A19" s="12" t="str">
        <f>HYPERLINK("https://arxiv.org/abs/1801.04342","Combining Symbolic Expressions and Black-box Function Evaluations in Neural Programs")</f>
        <v>Combining Symbolic Expressions and Black-box Function Evaluations in Neural Programs</v>
      </c>
      <c r="B19" s="13" t="s">
        <v>256</v>
      </c>
      <c r="C19" s="13">
        <v>2018.0</v>
      </c>
      <c r="D19" s="6" t="s">
        <v>46</v>
      </c>
      <c r="E19" s="13" t="s">
        <v>257</v>
      </c>
      <c r="F19" s="15" t="s">
        <v>258</v>
      </c>
      <c r="G19" s="15" t="s">
        <v>259</v>
      </c>
      <c r="H19" s="15" t="s">
        <v>260</v>
      </c>
      <c r="I19" s="15" t="s">
        <v>261</v>
      </c>
      <c r="J19" s="15" t="s">
        <v>262</v>
      </c>
      <c r="K19" s="15" t="s">
        <v>263</v>
      </c>
      <c r="L19" s="15" t="s">
        <v>264</v>
      </c>
      <c r="M19" s="15" t="s">
        <v>78</v>
      </c>
      <c r="N19" s="15" t="s">
        <v>55</v>
      </c>
      <c r="O19" s="7" t="s">
        <v>56</v>
      </c>
      <c r="P19" s="7" t="s">
        <v>56</v>
      </c>
      <c r="Q19" s="15" t="s">
        <v>56</v>
      </c>
      <c r="R19" s="7" t="str">
        <f>IFERROR(__xludf.DUMMYFUNCTION("IF(REGEXMATCH(M19, ""Accuracy""), ""Yes"", ""No"")"),"Yes")</f>
        <v>Yes</v>
      </c>
      <c r="S19" s="7" t="str">
        <f>IFERROR(__xludf.DUMMYFUNCTION("IF(REGEXMATCH(M19, ""Precision""), ""Yes"", ""No"")"),"Yes")</f>
        <v>Yes</v>
      </c>
      <c r="T19" s="7" t="str">
        <f>IFERROR(__xludf.DUMMYFUNCTION("IF(REGEXMATCH(M19, ""Recall""), ""Yes"", ""No"")"),"Yes")</f>
        <v>Yes</v>
      </c>
      <c r="U19" s="7" t="str">
        <f>IFERROR(__xludf.DUMMYFUNCTION("IF(REGEXMATCH(M19, ""F1 Measure""), ""Yes"", ""No"")"),"No")</f>
        <v>No</v>
      </c>
      <c r="V19" s="15" t="s">
        <v>79</v>
      </c>
      <c r="W19" s="15" t="s">
        <v>23</v>
      </c>
      <c r="X19" s="15" t="s">
        <v>96</v>
      </c>
      <c r="Y19" s="15" t="s">
        <v>59</v>
      </c>
      <c r="Z19" s="15" t="s">
        <v>265</v>
      </c>
      <c r="AA19" s="11" t="s">
        <v>180</v>
      </c>
      <c r="AB19" s="11" t="s">
        <v>266</v>
      </c>
      <c r="AC19" s="11" t="s">
        <v>266</v>
      </c>
      <c r="AD19" s="7" t="s">
        <v>56</v>
      </c>
      <c r="AE19" s="7" t="s">
        <v>56</v>
      </c>
      <c r="AF19" s="11" t="s">
        <v>56</v>
      </c>
      <c r="AG19" s="11" t="s">
        <v>56</v>
      </c>
      <c r="AH19" s="11" t="s">
        <v>181</v>
      </c>
      <c r="AI19" s="11" t="s">
        <v>64</v>
      </c>
      <c r="AJ19" s="11" t="s">
        <v>101</v>
      </c>
      <c r="AK19" s="11" t="s">
        <v>118</v>
      </c>
      <c r="AL19" s="11" t="s">
        <v>38</v>
      </c>
      <c r="AM19" s="7" t="str">
        <f>IFERROR(__xludf.DUMMYFUNCTION("IF(REGEXMATCH($AL19, ""Reproducible""), ""Yes"", ""No"")"),"Yes")</f>
        <v>Yes</v>
      </c>
      <c r="AN19" s="11" t="s">
        <v>56</v>
      </c>
      <c r="AO19" s="11" t="s">
        <v>56</v>
      </c>
      <c r="AP19" s="11" t="s">
        <v>56</v>
      </c>
      <c r="AQ19" s="7" t="str">
        <f>IFERROR(__xludf.DUMMYFUNCTION("IF(REGEXMATCH($AL19, ""No Repo""), ""Yes"", ""No"")"),"No")</f>
        <v>No</v>
      </c>
      <c r="AR19" s="7" t="str">
        <f>IFERROR(__xludf.DUMMYFUNCTION("IF(REGEXMATCH($AL19, ""Hyperparameters""), ""Yes"", ""No"")"),"No")</f>
        <v>No</v>
      </c>
      <c r="AS19" s="7" t="str">
        <f>IFERROR(__xludf.DUMMYFUNCTION("IF(REGEXMATCH($AL19, ""Filtering Details""), ""Yes"", ""No"")"),"No")</f>
        <v>No</v>
      </c>
    </row>
    <row r="20" ht="28.5" customHeight="1">
      <c r="A20" s="12" t="str">
        <f>HYPERLINK("https://dl-acm-org.proxy.wm.edu/citation.cfm?id=3213848","Compiler Fuzzing Through Deep Learning")</f>
        <v>Compiler Fuzzing Through Deep Learning</v>
      </c>
      <c r="B20" s="13" t="s">
        <v>267</v>
      </c>
      <c r="C20" s="13">
        <v>2018.0</v>
      </c>
      <c r="D20" s="6" t="s">
        <v>46</v>
      </c>
      <c r="E20" s="13" t="s">
        <v>268</v>
      </c>
      <c r="F20" s="13" t="s">
        <v>269</v>
      </c>
      <c r="G20" s="13" t="s">
        <v>270</v>
      </c>
      <c r="H20" s="13" t="s">
        <v>271</v>
      </c>
      <c r="I20" s="13" t="s">
        <v>272</v>
      </c>
      <c r="J20" s="13" t="s">
        <v>273</v>
      </c>
      <c r="K20" s="15" t="s">
        <v>274</v>
      </c>
      <c r="L20" s="13" t="s">
        <v>275</v>
      </c>
      <c r="M20" s="15" t="s">
        <v>276</v>
      </c>
      <c r="N20" s="7" t="s">
        <v>95</v>
      </c>
      <c r="O20" s="7" t="s">
        <v>56</v>
      </c>
      <c r="P20" s="7" t="s">
        <v>56</v>
      </c>
      <c r="Q20" s="15" t="s">
        <v>56</v>
      </c>
      <c r="R20" s="7" t="str">
        <f>IFERROR(__xludf.DUMMYFUNCTION("IF(REGEXMATCH(M20, ""Accuracy""), ""Yes"", ""No"")"),"No")</f>
        <v>No</v>
      </c>
      <c r="S20" s="7" t="str">
        <f>IFERROR(__xludf.DUMMYFUNCTION("IF(REGEXMATCH(M20, ""Precision""), ""Yes"", ""No"")"),"No")</f>
        <v>No</v>
      </c>
      <c r="T20" s="7" t="str">
        <f>IFERROR(__xludf.DUMMYFUNCTION("IF(REGEXMATCH(M20, ""Recall""), ""Yes"", ""No"")"),"No")</f>
        <v>No</v>
      </c>
      <c r="U20" s="7" t="str">
        <f>IFERROR(__xludf.DUMMYFUNCTION("IF(REGEXMATCH(M20, ""F1 Measure""), ""Yes"", ""No"")"),"No")</f>
        <v>No</v>
      </c>
      <c r="V20" s="15" t="s">
        <v>79</v>
      </c>
      <c r="W20" s="15" t="s">
        <v>277</v>
      </c>
      <c r="X20" s="15" t="s">
        <v>55</v>
      </c>
      <c r="Y20" s="15" t="s">
        <v>59</v>
      </c>
      <c r="Z20" s="15" t="s">
        <v>55</v>
      </c>
      <c r="AA20" s="11" t="s">
        <v>188</v>
      </c>
      <c r="AB20" s="11" t="s">
        <v>31</v>
      </c>
      <c r="AC20" s="11" t="s">
        <v>55</v>
      </c>
      <c r="AD20" s="7" t="s">
        <v>56</v>
      </c>
      <c r="AE20" s="7" t="s">
        <v>56</v>
      </c>
      <c r="AF20" s="11" t="s">
        <v>62</v>
      </c>
      <c r="AG20" s="11" t="s">
        <v>56</v>
      </c>
      <c r="AH20" s="11" t="s">
        <v>63</v>
      </c>
      <c r="AI20" s="11" t="s">
        <v>147</v>
      </c>
      <c r="AJ20" s="11" t="s">
        <v>101</v>
      </c>
      <c r="AK20" s="11" t="s">
        <v>118</v>
      </c>
      <c r="AL20" s="11" t="s">
        <v>38</v>
      </c>
      <c r="AM20" s="7" t="str">
        <f>IFERROR(__xludf.DUMMYFUNCTION("IF(REGEXMATCH($AL20, ""Reproducible""), ""Yes"", ""No"")"),"Yes")</f>
        <v>Yes</v>
      </c>
      <c r="AN20" s="11" t="s">
        <v>56</v>
      </c>
      <c r="AO20" s="11" t="s">
        <v>56</v>
      </c>
      <c r="AP20" s="11" t="s">
        <v>56</v>
      </c>
      <c r="AQ20" s="7" t="str">
        <f>IFERROR(__xludf.DUMMYFUNCTION("IF(REGEXMATCH($AL20, ""No Repo""), ""Yes"", ""No"")"),"No")</f>
        <v>No</v>
      </c>
      <c r="AR20" s="7" t="str">
        <f>IFERROR(__xludf.DUMMYFUNCTION("IF(REGEXMATCH($AL20, ""Hyperparameters""), ""Yes"", ""No"")"),"No")</f>
        <v>No</v>
      </c>
      <c r="AS20" s="7" t="str">
        <f>IFERROR(__xludf.DUMMYFUNCTION("IF(REGEXMATCH($AL20, ""Filtering Details""), ""Yes"", ""No"")"),"No")</f>
        <v>No</v>
      </c>
    </row>
    <row r="21" ht="28.5" customHeight="1">
      <c r="A21" s="5" t="str">
        <f>HYPERLINK("https://dl.acm.org/citation.cfm?id=2950334","Deep API Learning")</f>
        <v>Deep API Learning</v>
      </c>
      <c r="B21" s="6" t="s">
        <v>129</v>
      </c>
      <c r="C21" s="6">
        <v>2016.0</v>
      </c>
      <c r="D21" s="6" t="s">
        <v>46</v>
      </c>
      <c r="E21" s="6" t="s">
        <v>278</v>
      </c>
      <c r="F21" s="6" t="s">
        <v>279</v>
      </c>
      <c r="G21" s="6" t="s">
        <v>55</v>
      </c>
      <c r="H21" s="6" t="s">
        <v>55</v>
      </c>
      <c r="I21" s="6" t="s">
        <v>280</v>
      </c>
      <c r="J21" s="7" t="s">
        <v>281</v>
      </c>
      <c r="K21" s="7" t="s">
        <v>282</v>
      </c>
      <c r="L21" s="6" t="s">
        <v>283</v>
      </c>
      <c r="M21" s="7" t="s">
        <v>16</v>
      </c>
      <c r="N21" s="7" t="s">
        <v>55</v>
      </c>
      <c r="O21" s="7" t="s">
        <v>56</v>
      </c>
      <c r="P21" s="7" t="s">
        <v>56</v>
      </c>
      <c r="Q21" s="7" t="s">
        <v>62</v>
      </c>
      <c r="R21" s="7" t="str">
        <f>IFERROR(__xludf.DUMMYFUNCTION("IF(REGEXMATCH(M21, ""Accuracy""), ""Yes"", ""No"")"),"No")</f>
        <v>No</v>
      </c>
      <c r="S21" s="7" t="str">
        <f>IFERROR(__xludf.DUMMYFUNCTION("IF(REGEXMATCH(M21, ""Precision""), ""Yes"", ""No"")"),"No")</f>
        <v>No</v>
      </c>
      <c r="T21" s="7" t="str">
        <f>IFERROR(__xludf.DUMMYFUNCTION("IF(REGEXMATCH(M21, ""Recall""), ""Yes"", ""No"")"),"No")</f>
        <v>No</v>
      </c>
      <c r="U21" s="7" t="str">
        <f>IFERROR(__xludf.DUMMYFUNCTION("IF(REGEXMATCH(M21, ""F1 Measure""), ""Yes"", ""No"")"),"No")</f>
        <v>No</v>
      </c>
      <c r="V21" s="7" t="s">
        <v>243</v>
      </c>
      <c r="W21" s="7" t="s">
        <v>23</v>
      </c>
      <c r="X21" s="7" t="s">
        <v>96</v>
      </c>
      <c r="Y21" s="7" t="s">
        <v>59</v>
      </c>
      <c r="Z21" s="7" t="s">
        <v>97</v>
      </c>
      <c r="AA21" s="7" t="s">
        <v>146</v>
      </c>
      <c r="AB21" s="7" t="s">
        <v>116</v>
      </c>
      <c r="AC21" s="7" t="s">
        <v>55</v>
      </c>
      <c r="AD21" s="7" t="s">
        <v>56</v>
      </c>
      <c r="AE21" s="7" t="s">
        <v>56</v>
      </c>
      <c r="AF21" s="7" t="s">
        <v>62</v>
      </c>
      <c r="AG21" s="7" t="s">
        <v>62</v>
      </c>
      <c r="AH21" s="7" t="s">
        <v>63</v>
      </c>
      <c r="AI21" s="7" t="s">
        <v>64</v>
      </c>
      <c r="AJ21" s="7" t="s">
        <v>128</v>
      </c>
      <c r="AK21" s="7" t="s">
        <v>148</v>
      </c>
      <c r="AL21" s="7" t="s">
        <v>40</v>
      </c>
      <c r="AM21" s="7" t="str">
        <f>IFERROR(__xludf.DUMMYFUNCTION("IF(REGEXMATCH($AL21, ""Reproducible""), ""Yes"", ""No"")"),"No")</f>
        <v>No</v>
      </c>
      <c r="AN21" s="7" t="s">
        <v>56</v>
      </c>
      <c r="AO21" s="7" t="s">
        <v>62</v>
      </c>
      <c r="AP21" s="7" t="s">
        <v>56</v>
      </c>
      <c r="AQ21" s="7" t="str">
        <f>IFERROR(__xludf.DUMMYFUNCTION("IF(REGEXMATCH($AL21, ""No Repo""), ""Yes"", ""No"")"),"No")</f>
        <v>No</v>
      </c>
      <c r="AR21" s="7" t="str">
        <f>IFERROR(__xludf.DUMMYFUNCTION("IF(REGEXMATCH($AL21, ""Hyperparameters""), ""Yes"", ""No"")"),"No")</f>
        <v>No</v>
      </c>
      <c r="AS21" s="7" t="str">
        <f>IFERROR(__xludf.DUMMYFUNCTION("IF(REGEXMATCH($AL21, ""Filtering Details""), ""Yes"", ""No"")"),"No")</f>
        <v>No</v>
      </c>
    </row>
    <row r="22" ht="28.5" customHeight="1">
      <c r="A22" s="12" t="str">
        <f>HYPERLINK("https://dl-acm-org.proxy.wm.edu/citation.cfm?id=3180167","Deep Code Search")</f>
        <v>Deep Code Search</v>
      </c>
      <c r="B22" s="13" t="s">
        <v>150</v>
      </c>
      <c r="C22" s="13">
        <v>2018.0</v>
      </c>
      <c r="D22" s="6" t="s">
        <v>46</v>
      </c>
      <c r="E22" s="13" t="s">
        <v>284</v>
      </c>
      <c r="F22" s="13" t="s">
        <v>285</v>
      </c>
      <c r="G22" s="13" t="s">
        <v>286</v>
      </c>
      <c r="H22" s="13" t="s">
        <v>287</v>
      </c>
      <c r="I22" s="13" t="s">
        <v>288</v>
      </c>
      <c r="J22" s="13" t="s">
        <v>289</v>
      </c>
      <c r="K22" s="15" t="s">
        <v>55</v>
      </c>
      <c r="L22" s="13" t="s">
        <v>290</v>
      </c>
      <c r="M22" s="15" t="s">
        <v>291</v>
      </c>
      <c r="N22" s="7" t="s">
        <v>95</v>
      </c>
      <c r="O22" s="7" t="s">
        <v>62</v>
      </c>
      <c r="P22" s="7" t="s">
        <v>56</v>
      </c>
      <c r="Q22" s="15" t="s">
        <v>56</v>
      </c>
      <c r="R22" s="7" t="str">
        <f>IFERROR(__xludf.DUMMYFUNCTION("IF(REGEXMATCH(M22, ""Accuracy""), ""Yes"", ""No"")"),"No")</f>
        <v>No</v>
      </c>
      <c r="S22" s="7" t="str">
        <f>IFERROR(__xludf.DUMMYFUNCTION("IF(REGEXMATCH(M22, ""Precision""), ""Yes"", ""No"")"),"Yes")</f>
        <v>Yes</v>
      </c>
      <c r="T22" s="7" t="str">
        <f>IFERROR(__xludf.DUMMYFUNCTION("IF(REGEXMATCH(M22, ""Recall""), ""Yes"", ""No"")"),"No")</f>
        <v>No</v>
      </c>
      <c r="U22" s="7" t="str">
        <f>IFERROR(__xludf.DUMMYFUNCTION("IF(REGEXMATCH(M22, ""F1 Measure""), ""Yes"", ""No"")"),"No")</f>
        <v>No</v>
      </c>
      <c r="V22" s="15" t="s">
        <v>79</v>
      </c>
      <c r="W22" s="15" t="s">
        <v>55</v>
      </c>
      <c r="X22" s="15" t="s">
        <v>55</v>
      </c>
      <c r="Y22" s="15" t="s">
        <v>59</v>
      </c>
      <c r="Z22" s="15" t="s">
        <v>292</v>
      </c>
      <c r="AA22" s="7" t="s">
        <v>293</v>
      </c>
      <c r="AB22" s="11" t="s">
        <v>116</v>
      </c>
      <c r="AC22" s="11" t="s">
        <v>55</v>
      </c>
      <c r="AD22" s="7" t="s">
        <v>56</v>
      </c>
      <c r="AE22" s="7" t="s">
        <v>56</v>
      </c>
      <c r="AF22" s="11" t="s">
        <v>62</v>
      </c>
      <c r="AG22" s="11" t="s">
        <v>62</v>
      </c>
      <c r="AH22" s="11" t="s">
        <v>100</v>
      </c>
      <c r="AI22" s="11" t="s">
        <v>64</v>
      </c>
      <c r="AJ22" s="11" t="s">
        <v>101</v>
      </c>
      <c r="AK22" s="11" t="s">
        <v>118</v>
      </c>
      <c r="AL22" s="11" t="s">
        <v>43</v>
      </c>
      <c r="AM22" s="7" t="str">
        <f>IFERROR(__xludf.DUMMYFUNCTION("IF(REGEXMATCH($AL22, ""Reproducible""), ""Yes"", ""No"")"),"No")</f>
        <v>No</v>
      </c>
      <c r="AN22" s="11" t="s">
        <v>56</v>
      </c>
      <c r="AO22" s="11" t="s">
        <v>56</v>
      </c>
      <c r="AP22" s="11" t="s">
        <v>56</v>
      </c>
      <c r="AQ22" s="7" t="str">
        <f>IFERROR(__xludf.DUMMYFUNCTION("IF(REGEXMATCH($AL22, ""No Repo""), ""Yes"", ""No"")"),"No")</f>
        <v>No</v>
      </c>
      <c r="AR22" s="7" t="str">
        <f>IFERROR(__xludf.DUMMYFUNCTION("IF(REGEXMATCH($AL22, ""Hyperparameters""), ""Yes"", ""No"")"),"Yes")</f>
        <v>Yes</v>
      </c>
      <c r="AS22" s="7" t="str">
        <f>IFERROR(__xludf.DUMMYFUNCTION("IF(REGEXMATCH($AL22, ""Filtering Details""), ""Yes"", ""No"")"),"No")</f>
        <v>No</v>
      </c>
    </row>
    <row r="23" ht="28.5" customHeight="1">
      <c r="A23" s="16" t="str">
        <f>HYPERLINK("https://ieeexplore-ieee-org.proxy.wm.edu/document/8094428","Deep Green: Modelling Time-Series of Software Energy Consumption")</f>
        <v>Deep Green: Modelling Time-Series of Software Energy Consumption</v>
      </c>
      <c r="B23" s="11" t="s">
        <v>235</v>
      </c>
      <c r="C23" s="14">
        <v>2017.0</v>
      </c>
      <c r="D23" s="14" t="s">
        <v>85</v>
      </c>
      <c r="E23" s="14" t="s">
        <v>294</v>
      </c>
      <c r="F23" s="14" t="s">
        <v>295</v>
      </c>
      <c r="G23" s="14" t="s">
        <v>55</v>
      </c>
      <c r="H23" s="14" t="s">
        <v>55</v>
      </c>
      <c r="I23" s="11" t="s">
        <v>296</v>
      </c>
      <c r="J23" s="11" t="s">
        <v>297</v>
      </c>
      <c r="K23" s="14" t="s">
        <v>55</v>
      </c>
      <c r="L23" s="14" t="s">
        <v>298</v>
      </c>
      <c r="M23" s="11" t="s">
        <v>299</v>
      </c>
      <c r="N23" s="7" t="s">
        <v>95</v>
      </c>
      <c r="O23" s="7" t="s">
        <v>56</v>
      </c>
      <c r="P23" s="7" t="s">
        <v>56</v>
      </c>
      <c r="Q23" s="11" t="s">
        <v>56</v>
      </c>
      <c r="R23" s="7" t="str">
        <f>IFERROR(__xludf.DUMMYFUNCTION("IF(REGEXMATCH(M23, ""Accuracy""), ""Yes"", ""No"")"),"No")</f>
        <v>No</v>
      </c>
      <c r="S23" s="7" t="str">
        <f>IFERROR(__xludf.DUMMYFUNCTION("IF(REGEXMATCH(M23, ""Precision""), ""Yes"", ""No"")"),"No")</f>
        <v>No</v>
      </c>
      <c r="T23" s="7" t="str">
        <f>IFERROR(__xludf.DUMMYFUNCTION("IF(REGEXMATCH(M23, ""Recall""), ""Yes"", ""No"")"),"No")</f>
        <v>No</v>
      </c>
      <c r="U23" s="7" t="str">
        <f>IFERROR(__xludf.DUMMYFUNCTION("IF(REGEXMATCH(M23, ""F1 Measure""), ""Yes"", ""No"")"),"No")</f>
        <v>No</v>
      </c>
      <c r="V23" s="11" t="s">
        <v>57</v>
      </c>
      <c r="W23" s="11" t="s">
        <v>55</v>
      </c>
      <c r="X23" s="7" t="s">
        <v>55</v>
      </c>
      <c r="Y23" s="11" t="s">
        <v>59</v>
      </c>
      <c r="Z23" s="11" t="s">
        <v>300</v>
      </c>
      <c r="AA23" s="11" t="s">
        <v>301</v>
      </c>
      <c r="AB23" s="11" t="s">
        <v>302</v>
      </c>
      <c r="AC23" s="11" t="s">
        <v>303</v>
      </c>
      <c r="AD23" s="7" t="s">
        <v>56</v>
      </c>
      <c r="AE23" s="7" t="s">
        <v>56</v>
      </c>
      <c r="AF23" s="11" t="s">
        <v>62</v>
      </c>
      <c r="AG23" s="11" t="s">
        <v>56</v>
      </c>
      <c r="AH23" s="11" t="s">
        <v>304</v>
      </c>
      <c r="AI23" s="11" t="s">
        <v>64</v>
      </c>
      <c r="AJ23" s="11" t="s">
        <v>101</v>
      </c>
      <c r="AK23" s="11" t="s">
        <v>83</v>
      </c>
      <c r="AL23" s="11" t="s">
        <v>305</v>
      </c>
      <c r="AM23" s="7" t="str">
        <f>IFERROR(__xludf.DUMMYFUNCTION("IF(REGEXMATCH($AL23, ""Reproducible""), ""Yes"", ""No"")"),"No")</f>
        <v>No</v>
      </c>
      <c r="AN23" s="11" t="s">
        <v>56</v>
      </c>
      <c r="AO23" s="11" t="s">
        <v>62</v>
      </c>
      <c r="AP23" s="11" t="s">
        <v>56</v>
      </c>
      <c r="AQ23" s="7" t="str">
        <f>IFERROR(__xludf.DUMMYFUNCTION("IF(REGEXMATCH($AL23, ""No Repo""), ""Yes"", ""No"")"),"Yes")</f>
        <v>Yes</v>
      </c>
      <c r="AR23" s="7" t="str">
        <f>IFERROR(__xludf.DUMMYFUNCTION("IF(REGEXMATCH($AL23, ""Hyperparameters""), ""Yes"", ""No"")"),"Yes")</f>
        <v>Yes</v>
      </c>
      <c r="AS23" s="7" t="str">
        <f>IFERROR(__xludf.DUMMYFUNCTION("IF(REGEXMATCH($AL23, ""Filtering Details""), ""Yes"", ""No"")"),"Yes")</f>
        <v>Yes</v>
      </c>
    </row>
    <row r="24" ht="28.5" customHeight="1">
      <c r="A24" s="16" t="str">
        <f>HYPERLINK("https://dl-acm-org.proxy.wm.edu/citation.cfm?id=3238166","Deep Learning Based Feature Envy Detection")</f>
        <v>Deep Learning Based Feature Envy Detection</v>
      </c>
      <c r="B24" s="14" t="s">
        <v>103</v>
      </c>
      <c r="C24" s="14">
        <v>2018.0</v>
      </c>
      <c r="D24" s="6" t="s">
        <v>46</v>
      </c>
      <c r="E24" s="14" t="s">
        <v>306</v>
      </c>
      <c r="F24" s="14" t="s">
        <v>307</v>
      </c>
      <c r="G24" s="14" t="s">
        <v>308</v>
      </c>
      <c r="H24" s="14" t="s">
        <v>309</v>
      </c>
      <c r="I24" s="14" t="s">
        <v>310</v>
      </c>
      <c r="J24" s="14" t="s">
        <v>311</v>
      </c>
      <c r="K24" s="14" t="s">
        <v>312</v>
      </c>
      <c r="L24" s="14" t="s">
        <v>313</v>
      </c>
      <c r="M24" s="11" t="s">
        <v>209</v>
      </c>
      <c r="N24" s="11" t="s">
        <v>55</v>
      </c>
      <c r="O24" s="7" t="s">
        <v>56</v>
      </c>
      <c r="P24" s="7" t="s">
        <v>56</v>
      </c>
      <c r="Q24" s="11" t="s">
        <v>56</v>
      </c>
      <c r="R24" s="7" t="str">
        <f>IFERROR(__xludf.DUMMYFUNCTION("IF(REGEXMATCH(M24, ""Accuracy""), ""Yes"", ""No"")"),"No")</f>
        <v>No</v>
      </c>
      <c r="S24" s="7" t="str">
        <f>IFERROR(__xludf.DUMMYFUNCTION("IF(REGEXMATCH(M24, ""Precision""), ""Yes"", ""No"")"),"Yes")</f>
        <v>Yes</v>
      </c>
      <c r="T24" s="7" t="str">
        <f>IFERROR(__xludf.DUMMYFUNCTION("IF(REGEXMATCH(M24, ""Recall""), ""Yes"", ""No"")"),"Yes")</f>
        <v>Yes</v>
      </c>
      <c r="U24" s="7" t="str">
        <f>IFERROR(__xludf.DUMMYFUNCTION("IF(REGEXMATCH(M24, ""F1 Measure""), ""Yes"", ""No"")"),"Yes")</f>
        <v>Yes</v>
      </c>
      <c r="V24" s="11" t="s">
        <v>79</v>
      </c>
      <c r="W24" s="11" t="s">
        <v>23</v>
      </c>
      <c r="X24" s="11" t="s">
        <v>96</v>
      </c>
      <c r="Y24" s="11" t="s">
        <v>59</v>
      </c>
      <c r="Z24" s="11" t="s">
        <v>314</v>
      </c>
      <c r="AA24" s="11" t="s">
        <v>315</v>
      </c>
      <c r="AB24" s="11" t="s">
        <v>31</v>
      </c>
      <c r="AC24" s="11" t="s">
        <v>55</v>
      </c>
      <c r="AD24" s="7" t="s">
        <v>56</v>
      </c>
      <c r="AE24" s="7" t="s">
        <v>56</v>
      </c>
      <c r="AF24" s="11" t="s">
        <v>62</v>
      </c>
      <c r="AG24" s="11" t="s">
        <v>56</v>
      </c>
      <c r="AH24" s="11" t="s">
        <v>100</v>
      </c>
      <c r="AI24" s="11" t="s">
        <v>64</v>
      </c>
      <c r="AJ24" s="11" t="s">
        <v>65</v>
      </c>
      <c r="AK24" s="11" t="s">
        <v>66</v>
      </c>
      <c r="AL24" s="7" t="s">
        <v>38</v>
      </c>
      <c r="AM24" s="7" t="str">
        <f>IFERROR(__xludf.DUMMYFUNCTION("IF(REGEXMATCH($AL24, ""Reproducible""), ""Yes"", ""No"")"),"Yes")</f>
        <v>Yes</v>
      </c>
      <c r="AN24" s="7" t="s">
        <v>56</v>
      </c>
      <c r="AO24" s="7" t="s">
        <v>56</v>
      </c>
      <c r="AP24" s="7" t="s">
        <v>56</v>
      </c>
      <c r="AQ24" s="7" t="str">
        <f>IFERROR(__xludf.DUMMYFUNCTION("IF(REGEXMATCH($AL24, ""No Repo""), ""Yes"", ""No"")"),"No")</f>
        <v>No</v>
      </c>
      <c r="AR24" s="7" t="str">
        <f>IFERROR(__xludf.DUMMYFUNCTION("IF(REGEXMATCH($AL24, ""Hyperparameters""), ""Yes"", ""No"")"),"No")</f>
        <v>No</v>
      </c>
      <c r="AS24" s="7" t="str">
        <f>IFERROR(__xludf.DUMMYFUNCTION("IF(REGEXMATCH($AL24, ""Filtering Details""), ""Yes"", ""No"")"),"No")</f>
        <v>No</v>
      </c>
    </row>
    <row r="25" ht="28.5" customHeight="1">
      <c r="A25" s="5" t="str">
        <f>HYPERLINK("https://ieeexplore.ieee.org/document/7582748/versions","Deep learning code fragments for code clone detection")</f>
        <v>Deep learning code fragments for code clone detection</v>
      </c>
      <c r="B25" s="6" t="s">
        <v>103</v>
      </c>
      <c r="C25" s="6">
        <v>2016.0</v>
      </c>
      <c r="D25" s="6" t="s">
        <v>46</v>
      </c>
      <c r="E25" s="6" t="s">
        <v>316</v>
      </c>
      <c r="F25" s="6" t="s">
        <v>317</v>
      </c>
      <c r="G25" s="6" t="s">
        <v>318</v>
      </c>
      <c r="H25" s="6" t="s">
        <v>319</v>
      </c>
      <c r="I25" s="6" t="s">
        <v>320</v>
      </c>
      <c r="J25" s="6" t="s">
        <v>321</v>
      </c>
      <c r="K25" s="6" t="s">
        <v>322</v>
      </c>
      <c r="L25" s="6" t="s">
        <v>323</v>
      </c>
      <c r="M25" s="7" t="s">
        <v>324</v>
      </c>
      <c r="N25" s="7" t="s">
        <v>95</v>
      </c>
      <c r="O25" s="7" t="s">
        <v>56</v>
      </c>
      <c r="P25" s="7" t="s">
        <v>56</v>
      </c>
      <c r="Q25" s="7" t="s">
        <v>56</v>
      </c>
      <c r="R25" s="7" t="str">
        <f>IFERROR(__xludf.DUMMYFUNCTION("IF(REGEXMATCH(M25, ""Accuracy""), ""Yes"", ""No"")"),"No")</f>
        <v>No</v>
      </c>
      <c r="S25" s="7" t="str">
        <f>IFERROR(__xludf.DUMMYFUNCTION("IF(REGEXMATCH(M25, ""Precision""), ""Yes"", ""No"")"),"Yes")</f>
        <v>Yes</v>
      </c>
      <c r="T25" s="7" t="str">
        <f>IFERROR(__xludf.DUMMYFUNCTION("IF(REGEXMATCH(M25, ""Recall""), ""Yes"", ""No"")"),"No")</f>
        <v>No</v>
      </c>
      <c r="U25" s="7" t="str">
        <f>IFERROR(__xludf.DUMMYFUNCTION("IF(REGEXMATCH(M25, ""F1 Measure""), ""Yes"", ""No"")"),"No")</f>
        <v>No</v>
      </c>
      <c r="V25" s="7" t="s">
        <v>231</v>
      </c>
      <c r="W25" s="7" t="s">
        <v>23</v>
      </c>
      <c r="X25" s="7" t="s">
        <v>210</v>
      </c>
      <c r="Y25" s="7" t="s">
        <v>59</v>
      </c>
      <c r="Z25" s="7" t="s">
        <v>55</v>
      </c>
      <c r="AA25" s="7" t="s">
        <v>244</v>
      </c>
      <c r="AB25" s="7" t="s">
        <v>31</v>
      </c>
      <c r="AC25" s="7" t="s">
        <v>55</v>
      </c>
      <c r="AD25" s="7" t="s">
        <v>56</v>
      </c>
      <c r="AE25" s="7" t="s">
        <v>56</v>
      </c>
      <c r="AF25" s="7" t="s">
        <v>62</v>
      </c>
      <c r="AG25" s="7" t="s">
        <v>56</v>
      </c>
      <c r="AH25" s="7" t="s">
        <v>181</v>
      </c>
      <c r="AI25" s="7" t="s">
        <v>64</v>
      </c>
      <c r="AJ25" s="7" t="s">
        <v>117</v>
      </c>
      <c r="AK25" s="7" t="s">
        <v>102</v>
      </c>
      <c r="AL25" s="7" t="s">
        <v>42</v>
      </c>
      <c r="AM25" s="7" t="str">
        <f>IFERROR(__xludf.DUMMYFUNCTION("IF(REGEXMATCH($AL25, ""Reproducible""), ""Yes"", ""No"")"),"No")</f>
        <v>No</v>
      </c>
      <c r="AN25" s="7" t="s">
        <v>56</v>
      </c>
      <c r="AO25" s="7" t="s">
        <v>56</v>
      </c>
      <c r="AP25" s="7" t="s">
        <v>56</v>
      </c>
      <c r="AQ25" s="7" t="str">
        <f>IFERROR(__xludf.DUMMYFUNCTION("IF(REGEXMATCH($AL25, ""No Repo""), ""Yes"", ""No"")"),"Yes")</f>
        <v>Yes</v>
      </c>
      <c r="AR25" s="7" t="str">
        <f>IFERROR(__xludf.DUMMYFUNCTION("IF(REGEXMATCH($AL25, ""Hyperparameters""), ""Yes"", ""No"")"),"No")</f>
        <v>No</v>
      </c>
      <c r="AS25" s="7" t="str">
        <f>IFERROR(__xludf.DUMMYFUNCTION("IF(REGEXMATCH($AL25, ""Filtering Details""), ""Yes"", ""No"")"),"No")</f>
        <v>No</v>
      </c>
    </row>
    <row r="26" ht="28.5" customHeight="1">
      <c r="A26" s="19" t="str">
        <f>HYPERLINK("https://dl-acm-org.proxy.wm.edu/citation.cfm?id=3196398.3196431","Deep learning similarities from different representations of source code")</f>
        <v>Deep learning similarities from different representations of source code</v>
      </c>
      <c r="B26" s="9" t="s">
        <v>69</v>
      </c>
      <c r="C26" s="9">
        <v>2018.0</v>
      </c>
      <c r="D26" s="6" t="s">
        <v>46</v>
      </c>
      <c r="E26" s="9" t="s">
        <v>325</v>
      </c>
      <c r="F26" s="9" t="s">
        <v>326</v>
      </c>
      <c r="G26" s="9" t="s">
        <v>327</v>
      </c>
      <c r="H26" s="9" t="s">
        <v>328</v>
      </c>
      <c r="I26" s="9" t="s">
        <v>329</v>
      </c>
      <c r="J26" s="9" t="s">
        <v>330</v>
      </c>
      <c r="K26" s="10" t="s">
        <v>331</v>
      </c>
      <c r="L26" s="9" t="s">
        <v>332</v>
      </c>
      <c r="M26" s="10" t="s">
        <v>333</v>
      </c>
      <c r="N26" s="7" t="s">
        <v>95</v>
      </c>
      <c r="O26" s="7" t="s">
        <v>56</v>
      </c>
      <c r="P26" s="7" t="s">
        <v>56</v>
      </c>
      <c r="Q26" s="22" t="s">
        <v>56</v>
      </c>
      <c r="R26" s="7" t="str">
        <f>IFERROR(__xludf.DUMMYFUNCTION("IF(REGEXMATCH(M26, ""Accuracy""), ""Yes"", ""No"")"),"No")</f>
        <v>No</v>
      </c>
      <c r="S26" s="7" t="str">
        <f>IFERROR(__xludf.DUMMYFUNCTION("IF(REGEXMATCH(M26, ""Precision""), ""Yes"", ""No"")"),"Yes")</f>
        <v>Yes</v>
      </c>
      <c r="T26" s="7" t="str">
        <f>IFERROR(__xludf.DUMMYFUNCTION("IF(REGEXMATCH(M26, ""Recall""), ""Yes"", ""No"")"),"Yes")</f>
        <v>Yes</v>
      </c>
      <c r="U26" s="7" t="str">
        <f>IFERROR(__xludf.DUMMYFUNCTION("IF(REGEXMATCH(M26, ""F1 Measure""), ""Yes"", ""No"")"),"Yes")</f>
        <v>Yes</v>
      </c>
      <c r="V26" s="10" t="s">
        <v>57</v>
      </c>
      <c r="W26" s="7" t="s">
        <v>80</v>
      </c>
      <c r="X26" s="7" t="s">
        <v>55</v>
      </c>
      <c r="Y26" s="10" t="s">
        <v>59</v>
      </c>
      <c r="Z26" s="10" t="s">
        <v>265</v>
      </c>
      <c r="AA26" s="11" t="s">
        <v>244</v>
      </c>
      <c r="AB26" s="11" t="s">
        <v>31</v>
      </c>
      <c r="AC26" s="11" t="s">
        <v>55</v>
      </c>
      <c r="AD26" s="7" t="s">
        <v>56</v>
      </c>
      <c r="AE26" s="7" t="s">
        <v>56</v>
      </c>
      <c r="AF26" s="11" t="s">
        <v>62</v>
      </c>
      <c r="AG26" s="11" t="s">
        <v>56</v>
      </c>
      <c r="AH26" s="11" t="s">
        <v>63</v>
      </c>
      <c r="AI26" s="11" t="s">
        <v>147</v>
      </c>
      <c r="AJ26" s="11" t="s">
        <v>117</v>
      </c>
      <c r="AK26" s="11" t="s">
        <v>158</v>
      </c>
      <c r="AL26" s="11" t="s">
        <v>38</v>
      </c>
      <c r="AM26" s="7" t="str">
        <f>IFERROR(__xludf.DUMMYFUNCTION("IF(REGEXMATCH($AL26, ""Reproducible""), ""Yes"", ""No"")"),"Yes")</f>
        <v>Yes</v>
      </c>
      <c r="AN26" s="11" t="s">
        <v>56</v>
      </c>
      <c r="AO26" s="11" t="s">
        <v>56</v>
      </c>
      <c r="AP26" s="11" t="s">
        <v>56</v>
      </c>
      <c r="AQ26" s="7" t="str">
        <f>IFERROR(__xludf.DUMMYFUNCTION("IF(REGEXMATCH($AL26, ""No Repo""), ""Yes"", ""No"")"),"No")</f>
        <v>No</v>
      </c>
      <c r="AR26" s="7" t="str">
        <f>IFERROR(__xludf.DUMMYFUNCTION("IF(REGEXMATCH($AL26, ""Hyperparameters""), ""Yes"", ""No"")"),"No")</f>
        <v>No</v>
      </c>
      <c r="AS26" s="7" t="str">
        <f>IFERROR(__xludf.DUMMYFUNCTION("IF(REGEXMATCH($AL26, ""Filtering Details""), ""Yes"", ""No"")"),"No")</f>
        <v>No</v>
      </c>
    </row>
    <row r="27" ht="28.5" customHeight="1">
      <c r="A27" s="12" t="str">
        <f>HYPERLINK("https://dl-acm-org.proxy.wm.edu/citation.cfm?id=3236051","Deep Learning Type Inference")</f>
        <v>Deep Learning Type Inference</v>
      </c>
      <c r="B27" s="13" t="s">
        <v>129</v>
      </c>
      <c r="C27" s="13">
        <v>2018.0</v>
      </c>
      <c r="D27" s="6" t="s">
        <v>46</v>
      </c>
      <c r="E27" s="13" t="s">
        <v>334</v>
      </c>
      <c r="F27" s="13" t="s">
        <v>335</v>
      </c>
      <c r="G27" s="13" t="s">
        <v>336</v>
      </c>
      <c r="H27" s="13" t="s">
        <v>337</v>
      </c>
      <c r="I27" s="13" t="s">
        <v>338</v>
      </c>
      <c r="J27" s="13" t="s">
        <v>339</v>
      </c>
      <c r="K27" s="13" t="s">
        <v>340</v>
      </c>
      <c r="L27" s="13" t="s">
        <v>341</v>
      </c>
      <c r="M27" s="15" t="s">
        <v>78</v>
      </c>
      <c r="N27" s="15" t="s">
        <v>55</v>
      </c>
      <c r="O27" s="7" t="s">
        <v>56</v>
      </c>
      <c r="P27" s="7" t="s">
        <v>56</v>
      </c>
      <c r="Q27" s="15" t="s">
        <v>56</v>
      </c>
      <c r="R27" s="7" t="str">
        <f>IFERROR(__xludf.DUMMYFUNCTION("IF(REGEXMATCH(M27, ""Accuracy""), ""Yes"", ""No"")"),"Yes")</f>
        <v>Yes</v>
      </c>
      <c r="S27" s="7" t="str">
        <f>IFERROR(__xludf.DUMMYFUNCTION("IF(REGEXMATCH(M27, ""Precision""), ""Yes"", ""No"")"),"Yes")</f>
        <v>Yes</v>
      </c>
      <c r="T27" s="7" t="str">
        <f>IFERROR(__xludf.DUMMYFUNCTION("IF(REGEXMATCH(M27, ""Recall""), ""Yes"", ""No"")"),"Yes")</f>
        <v>Yes</v>
      </c>
      <c r="U27" s="7" t="str">
        <f>IFERROR(__xludf.DUMMYFUNCTION("IF(REGEXMATCH(M27, ""F1 Measure""), ""Yes"", ""No"")"),"No")</f>
        <v>No</v>
      </c>
      <c r="V27" s="15" t="s">
        <v>231</v>
      </c>
      <c r="W27" s="15" t="s">
        <v>80</v>
      </c>
      <c r="X27" s="7" t="s">
        <v>55</v>
      </c>
      <c r="Y27" s="15" t="s">
        <v>59</v>
      </c>
      <c r="Z27" s="15" t="s">
        <v>145</v>
      </c>
      <c r="AA27" s="11" t="s">
        <v>342</v>
      </c>
      <c r="AB27" s="11" t="s">
        <v>31</v>
      </c>
      <c r="AC27" s="11" t="s">
        <v>55</v>
      </c>
      <c r="AD27" s="7" t="s">
        <v>56</v>
      </c>
      <c r="AE27" s="7" t="s">
        <v>56</v>
      </c>
      <c r="AF27" s="11" t="s">
        <v>62</v>
      </c>
      <c r="AG27" s="11" t="s">
        <v>56</v>
      </c>
      <c r="AH27" s="11" t="s">
        <v>63</v>
      </c>
      <c r="AI27" s="11" t="s">
        <v>64</v>
      </c>
      <c r="AJ27" s="11" t="s">
        <v>101</v>
      </c>
      <c r="AK27" s="11" t="s">
        <v>66</v>
      </c>
      <c r="AL27" s="7" t="s">
        <v>38</v>
      </c>
      <c r="AM27" s="7" t="str">
        <f>IFERROR(__xludf.DUMMYFUNCTION("IF(REGEXMATCH($AL27, ""Reproducible""), ""Yes"", ""No"")"),"Yes")</f>
        <v>Yes</v>
      </c>
      <c r="AN27" s="7" t="s">
        <v>56</v>
      </c>
      <c r="AO27" s="7" t="s">
        <v>56</v>
      </c>
      <c r="AP27" s="7" t="s">
        <v>56</v>
      </c>
      <c r="AQ27" s="7" t="str">
        <f>IFERROR(__xludf.DUMMYFUNCTION("IF(REGEXMATCH($AL27, ""No Repo""), ""Yes"", ""No"")"),"No")</f>
        <v>No</v>
      </c>
      <c r="AR27" s="7" t="str">
        <f>IFERROR(__xludf.DUMMYFUNCTION("IF(REGEXMATCH($AL27, ""Hyperparameters""), ""Yes"", ""No"")"),"No")</f>
        <v>No</v>
      </c>
      <c r="AS27" s="7" t="str">
        <f>IFERROR(__xludf.DUMMYFUNCTION("IF(REGEXMATCH($AL27, ""Filtering Details""), ""Yes"", ""No"")"),"No")</f>
        <v>No</v>
      </c>
    </row>
    <row r="28" ht="28.5" customHeight="1">
      <c r="A28" s="5" t="str">
        <f>HYPERLINK("https://ieeexplore.ieee.org/stamp/stamp.jsp?arnumber=7203069","Deep Representations for Software Engineering")</f>
        <v>Deep Representations for Software Engineering</v>
      </c>
      <c r="B28" s="6" t="s">
        <v>150</v>
      </c>
      <c r="C28" s="6">
        <v>2015.0</v>
      </c>
      <c r="D28" s="6" t="s">
        <v>343</v>
      </c>
      <c r="E28" s="6" t="s">
        <v>344</v>
      </c>
      <c r="F28" s="7" t="s">
        <v>345</v>
      </c>
      <c r="G28" s="6" t="s">
        <v>55</v>
      </c>
      <c r="H28" s="6" t="s">
        <v>346</v>
      </c>
      <c r="I28" s="6" t="s">
        <v>55</v>
      </c>
      <c r="J28" s="6" t="s">
        <v>55</v>
      </c>
      <c r="K28" s="6" t="s">
        <v>55</v>
      </c>
      <c r="L28" s="6" t="s">
        <v>347</v>
      </c>
      <c r="M28" s="6" t="s">
        <v>348</v>
      </c>
      <c r="N28" s="7" t="s">
        <v>95</v>
      </c>
      <c r="O28" s="7" t="s">
        <v>56</v>
      </c>
      <c r="P28" s="7" t="s">
        <v>56</v>
      </c>
      <c r="Q28" s="7" t="s">
        <v>56</v>
      </c>
      <c r="R28" s="7" t="str">
        <f>IFERROR(__xludf.DUMMYFUNCTION("IF(REGEXMATCH(M28, ""Accuracy""), ""Yes"", ""No"")"),"No")</f>
        <v>No</v>
      </c>
      <c r="S28" s="7" t="str">
        <f>IFERROR(__xludf.DUMMYFUNCTION("IF(REGEXMATCH(M28, ""Precision""), ""Yes"", ""No"")"),"No")</f>
        <v>No</v>
      </c>
      <c r="T28" s="7" t="str">
        <f>IFERROR(__xludf.DUMMYFUNCTION("IF(REGEXMATCH(M28, ""Recall""), ""Yes"", ""No"")"),"No")</f>
        <v>No</v>
      </c>
      <c r="U28" s="7" t="str">
        <f>IFERROR(__xludf.DUMMYFUNCTION("IF(REGEXMATCH(M28, ""F1 Measure""), ""Yes"", ""No"")"),"No")</f>
        <v>No</v>
      </c>
      <c r="V28" s="7" t="s">
        <v>55</v>
      </c>
      <c r="W28" s="7" t="s">
        <v>55</v>
      </c>
      <c r="X28" s="7" t="s">
        <v>55</v>
      </c>
      <c r="Y28" s="7" t="s">
        <v>55</v>
      </c>
      <c r="Z28" s="7" t="s">
        <v>55</v>
      </c>
      <c r="AA28" s="7" t="s">
        <v>146</v>
      </c>
      <c r="AB28" s="7" t="s">
        <v>116</v>
      </c>
      <c r="AC28" s="7" t="s">
        <v>55</v>
      </c>
      <c r="AD28" s="7" t="s">
        <v>56</v>
      </c>
      <c r="AE28" s="7" t="s">
        <v>56</v>
      </c>
      <c r="AF28" s="7" t="s">
        <v>62</v>
      </c>
      <c r="AG28" s="7" t="s">
        <v>62</v>
      </c>
      <c r="AH28" s="7" t="s">
        <v>63</v>
      </c>
      <c r="AI28" s="7" t="s">
        <v>64</v>
      </c>
      <c r="AJ28" s="7" t="s">
        <v>101</v>
      </c>
      <c r="AK28" s="7" t="s">
        <v>158</v>
      </c>
      <c r="AL28" s="7" t="s">
        <v>349</v>
      </c>
      <c r="AM28" s="7" t="str">
        <f>IFERROR(__xludf.DUMMYFUNCTION("IF(REGEXMATCH($AL28, ""Reproducible""), ""Yes"", ""No"")"),"No")</f>
        <v>No</v>
      </c>
      <c r="AN28" s="7" t="s">
        <v>56</v>
      </c>
      <c r="AO28" s="7" t="s">
        <v>56</v>
      </c>
      <c r="AP28" s="7" t="s">
        <v>62</v>
      </c>
      <c r="AQ28" s="7" t="str">
        <f>IFERROR(__xludf.DUMMYFUNCTION("IF(REGEXMATCH($AL28, ""No Repo""), ""Yes"", ""No"")"),"Yes")</f>
        <v>Yes</v>
      </c>
      <c r="AR28" s="7" t="str">
        <f>IFERROR(__xludf.DUMMYFUNCTION("IF(REGEXMATCH($AL28, ""Hyperparameters""), ""Yes"", ""No"")"),"Yes")</f>
        <v>Yes</v>
      </c>
      <c r="AS28" s="7" t="str">
        <f>IFERROR(__xludf.DUMMYFUNCTION("IF(REGEXMATCH($AL28, ""Filtering Details""), ""Yes"", ""No"")"),"Yes")</f>
        <v>Yes</v>
      </c>
    </row>
    <row r="29" ht="28.5" customHeight="1">
      <c r="A29" s="12" t="str">
        <f>HYPERLINK("https://dl.acm.org/citation.cfm?id=3213846.3213876","Deep Specification Mining")</f>
        <v>Deep Specification Mining</v>
      </c>
      <c r="B29" s="13" t="s">
        <v>267</v>
      </c>
      <c r="C29" s="13">
        <v>2018.0</v>
      </c>
      <c r="D29" s="6" t="s">
        <v>46</v>
      </c>
      <c r="E29" s="15" t="s">
        <v>350</v>
      </c>
      <c r="F29" s="13" t="s">
        <v>351</v>
      </c>
      <c r="G29" s="13" t="s">
        <v>352</v>
      </c>
      <c r="H29" s="13" t="s">
        <v>353</v>
      </c>
      <c r="I29" s="13" t="s">
        <v>354</v>
      </c>
      <c r="J29" s="13" t="s">
        <v>55</v>
      </c>
      <c r="K29" s="15" t="s">
        <v>355</v>
      </c>
      <c r="L29" s="13" t="s">
        <v>356</v>
      </c>
      <c r="M29" s="15" t="s">
        <v>223</v>
      </c>
      <c r="N29" s="15" t="s">
        <v>55</v>
      </c>
      <c r="O29" s="7" t="s">
        <v>56</v>
      </c>
      <c r="P29" s="7" t="s">
        <v>56</v>
      </c>
      <c r="Q29" s="15" t="s">
        <v>56</v>
      </c>
      <c r="R29" s="7" t="str">
        <f>IFERROR(__xludf.DUMMYFUNCTION("IF(REGEXMATCH(M29, ""Accuracy""), ""Yes"", ""No"")"),"Yes")</f>
        <v>Yes</v>
      </c>
      <c r="S29" s="7" t="str">
        <f>IFERROR(__xludf.DUMMYFUNCTION("IF(REGEXMATCH(M29, ""Precision""), ""Yes"", ""No"")"),"Yes")</f>
        <v>Yes</v>
      </c>
      <c r="T29" s="7" t="str">
        <f>IFERROR(__xludf.DUMMYFUNCTION("IF(REGEXMATCH(M29, ""Recall""), ""Yes"", ""No"")"),"Yes")</f>
        <v>Yes</v>
      </c>
      <c r="U29" s="7" t="str">
        <f>IFERROR(__xludf.DUMMYFUNCTION("IF(REGEXMATCH(M29, ""F1 Measure""), ""Yes"", ""No"")"),"Yes")</f>
        <v>Yes</v>
      </c>
      <c r="V29" s="15" t="s">
        <v>57</v>
      </c>
      <c r="W29" s="15" t="s">
        <v>55</v>
      </c>
      <c r="X29" s="15" t="s">
        <v>55</v>
      </c>
      <c r="Y29" s="15" t="s">
        <v>55</v>
      </c>
      <c r="Z29" s="15" t="s">
        <v>55</v>
      </c>
      <c r="AA29" s="11" t="s">
        <v>342</v>
      </c>
      <c r="AB29" s="11" t="s">
        <v>357</v>
      </c>
      <c r="AC29" s="11" t="s">
        <v>357</v>
      </c>
      <c r="AD29" s="7" t="s">
        <v>56</v>
      </c>
      <c r="AE29" s="7" t="s">
        <v>56</v>
      </c>
      <c r="AF29" s="11" t="s">
        <v>56</v>
      </c>
      <c r="AG29" s="11" t="s">
        <v>56</v>
      </c>
      <c r="AH29" s="11" t="s">
        <v>358</v>
      </c>
      <c r="AI29" s="11" t="s">
        <v>147</v>
      </c>
      <c r="AJ29" s="11" t="s">
        <v>101</v>
      </c>
      <c r="AK29" s="11" t="s">
        <v>66</v>
      </c>
      <c r="AL29" s="11" t="s">
        <v>41</v>
      </c>
      <c r="AM29" s="7" t="str">
        <f>IFERROR(__xludf.DUMMYFUNCTION("IF(REGEXMATCH($AL29, ""Reproducible""), ""Yes"", ""No"")"),"No")</f>
        <v>No</v>
      </c>
      <c r="AN29" s="11" t="s">
        <v>56</v>
      </c>
      <c r="AO29" s="11" t="s">
        <v>56</v>
      </c>
      <c r="AP29" s="11" t="s">
        <v>62</v>
      </c>
      <c r="AQ29" s="7" t="str">
        <f>IFERROR(__xludf.DUMMYFUNCTION("IF(REGEXMATCH($AL29, ""No Repo""), ""Yes"", ""No"")"),"No")</f>
        <v>No</v>
      </c>
      <c r="AR29" s="7" t="str">
        <f>IFERROR(__xludf.DUMMYFUNCTION("IF(REGEXMATCH($AL29, ""Hyperparameters""), ""Yes"", ""No"")"),"No")</f>
        <v>No</v>
      </c>
      <c r="AS29" s="7" t="str">
        <f>IFERROR(__xludf.DUMMYFUNCTION("IF(REGEXMATCH($AL29, ""Filtering Details""), ""Yes"", ""No"")"),"No")</f>
        <v>No</v>
      </c>
    </row>
    <row r="30" ht="28.5" customHeight="1">
      <c r="A30" s="5" t="str">
        <f>HYPERLINK("https://arxiv.org/abs/1611.01989","Deepcoder: Learning to write programs")</f>
        <v>Deepcoder: Learning to write programs</v>
      </c>
      <c r="B30" s="6" t="s">
        <v>256</v>
      </c>
      <c r="C30" s="6">
        <v>2017.0</v>
      </c>
      <c r="D30" s="6" t="s">
        <v>46</v>
      </c>
      <c r="E30" s="6" t="s">
        <v>359</v>
      </c>
      <c r="F30" s="6" t="s">
        <v>360</v>
      </c>
      <c r="G30" s="6" t="s">
        <v>361</v>
      </c>
      <c r="H30" s="6" t="s">
        <v>362</v>
      </c>
      <c r="I30" s="6" t="s">
        <v>363</v>
      </c>
      <c r="J30" s="7" t="s">
        <v>364</v>
      </c>
      <c r="K30" s="7" t="s">
        <v>365</v>
      </c>
      <c r="L30" s="6" t="s">
        <v>366</v>
      </c>
      <c r="M30" s="7" t="s">
        <v>367</v>
      </c>
      <c r="N30" s="7" t="s">
        <v>95</v>
      </c>
      <c r="O30" s="7" t="s">
        <v>56</v>
      </c>
      <c r="P30" s="7" t="s">
        <v>56</v>
      </c>
      <c r="Q30" s="7" t="s">
        <v>56</v>
      </c>
      <c r="R30" s="7" t="str">
        <f>IFERROR(__xludf.DUMMYFUNCTION("IF(REGEXMATCH(M30, ""Accuracy""), ""Yes"", ""No"")"),"No")</f>
        <v>No</v>
      </c>
      <c r="S30" s="7" t="str">
        <f>IFERROR(__xludf.DUMMYFUNCTION("IF(REGEXMATCH(M30, ""Precision""), ""Yes"", ""No"")"),"No")</f>
        <v>No</v>
      </c>
      <c r="T30" s="7" t="str">
        <f>IFERROR(__xludf.DUMMYFUNCTION("IF(REGEXMATCH(M30, ""Recall""), ""Yes"", ""No"")"),"No")</f>
        <v>No</v>
      </c>
      <c r="U30" s="7" t="str">
        <f>IFERROR(__xludf.DUMMYFUNCTION("IF(REGEXMATCH(M30, ""F1 Measure""), ""Yes"", ""No"")"),"No")</f>
        <v>No</v>
      </c>
      <c r="V30" s="7" t="s">
        <v>79</v>
      </c>
      <c r="W30" s="7" t="s">
        <v>55</v>
      </c>
      <c r="X30" s="7" t="s">
        <v>55</v>
      </c>
      <c r="Y30" s="7" t="s">
        <v>59</v>
      </c>
      <c r="Z30" s="7" t="s">
        <v>145</v>
      </c>
      <c r="AA30" s="7" t="s">
        <v>180</v>
      </c>
      <c r="AB30" s="7" t="s">
        <v>29</v>
      </c>
      <c r="AC30" s="7" t="s">
        <v>55</v>
      </c>
      <c r="AD30" s="7" t="s">
        <v>62</v>
      </c>
      <c r="AE30" s="7" t="s">
        <v>56</v>
      </c>
      <c r="AF30" s="7" t="s">
        <v>56</v>
      </c>
      <c r="AG30" s="7" t="s">
        <v>56</v>
      </c>
      <c r="AH30" s="7" t="s">
        <v>181</v>
      </c>
      <c r="AI30" s="7" t="s">
        <v>64</v>
      </c>
      <c r="AJ30" s="7" t="s">
        <v>128</v>
      </c>
      <c r="AK30" s="7" t="s">
        <v>118</v>
      </c>
      <c r="AL30" s="7" t="s">
        <v>67</v>
      </c>
      <c r="AM30" s="7" t="str">
        <f>IFERROR(__xludf.DUMMYFUNCTION("IF(REGEXMATCH($AL30, ""Reproducible""), ""Yes"", ""No"")"),"No")</f>
        <v>No</v>
      </c>
      <c r="AN30" s="7" t="s">
        <v>56</v>
      </c>
      <c r="AO30" s="7" t="s">
        <v>56</v>
      </c>
      <c r="AP30" s="7" t="s">
        <v>56</v>
      </c>
      <c r="AQ30" s="7" t="str">
        <f>IFERROR(__xludf.DUMMYFUNCTION("IF(REGEXMATCH($AL30, ""No Repo""), ""Yes"", ""No"")"),"Yes")</f>
        <v>Yes</v>
      </c>
      <c r="AR30" s="7" t="str">
        <f>IFERROR(__xludf.DUMMYFUNCTION("IF(REGEXMATCH($AL30, ""Hyperparameters""), ""Yes"", ""No"")"),"No")</f>
        <v>No</v>
      </c>
      <c r="AS30" s="7" t="str">
        <f>IFERROR(__xludf.DUMMYFUNCTION("IF(REGEXMATCH($AL30, ""Filtering Details""), ""Yes"", ""No"")"),"Yes")</f>
        <v>Yes</v>
      </c>
    </row>
    <row r="31" ht="28.5" customHeight="1">
      <c r="A31" s="16" t="str">
        <f>HYPERLINK("http://proceedings.mlr.press/v70/gaunt17a.html","Differentiable programs with neural libraries")</f>
        <v>Differentiable programs with neural libraries</v>
      </c>
      <c r="B31" s="6" t="s">
        <v>45</v>
      </c>
      <c r="C31" s="14">
        <v>2017.0</v>
      </c>
      <c r="D31" s="6" t="s">
        <v>46</v>
      </c>
      <c r="E31" s="14" t="s">
        <v>368</v>
      </c>
      <c r="F31" s="14" t="s">
        <v>55</v>
      </c>
      <c r="G31" s="14" t="s">
        <v>369</v>
      </c>
      <c r="H31" s="14" t="s">
        <v>370</v>
      </c>
      <c r="I31" s="14" t="s">
        <v>371</v>
      </c>
      <c r="J31" s="11" t="s">
        <v>372</v>
      </c>
      <c r="K31" s="14" t="s">
        <v>55</v>
      </c>
      <c r="L31" s="14" t="s">
        <v>373</v>
      </c>
      <c r="M31" s="11" t="s">
        <v>17</v>
      </c>
      <c r="N31" s="11" t="s">
        <v>55</v>
      </c>
      <c r="O31" s="7" t="s">
        <v>56</v>
      </c>
      <c r="P31" s="7" t="s">
        <v>56</v>
      </c>
      <c r="Q31" s="11" t="s">
        <v>56</v>
      </c>
      <c r="R31" s="7" t="str">
        <f>IFERROR(__xludf.DUMMYFUNCTION("IF(REGEXMATCH(M31, ""Accuracy""), ""Yes"", ""No"")"),"Yes")</f>
        <v>Yes</v>
      </c>
      <c r="S31" s="7" t="str">
        <f>IFERROR(__xludf.DUMMYFUNCTION("IF(REGEXMATCH(M31, ""Precision""), ""Yes"", ""No"")"),"No")</f>
        <v>No</v>
      </c>
      <c r="T31" s="7" t="str">
        <f>IFERROR(__xludf.DUMMYFUNCTION("IF(REGEXMATCH(M31, ""Recall""), ""Yes"", ""No"")"),"No")</f>
        <v>No</v>
      </c>
      <c r="U31" s="7" t="str">
        <f>IFERROR(__xludf.DUMMYFUNCTION("IF(REGEXMATCH(M31, ""F1 Measure""), ""Yes"", ""No"")"),"No")</f>
        <v>No</v>
      </c>
      <c r="V31" s="11" t="s">
        <v>79</v>
      </c>
      <c r="W31" s="11" t="s">
        <v>55</v>
      </c>
      <c r="X31" s="7" t="s">
        <v>55</v>
      </c>
      <c r="Y31" s="11" t="s">
        <v>55</v>
      </c>
      <c r="Z31" s="11" t="s">
        <v>55</v>
      </c>
      <c r="AA31" s="11" t="s">
        <v>180</v>
      </c>
      <c r="AB31" s="11" t="s">
        <v>374</v>
      </c>
      <c r="AC31" s="11" t="s">
        <v>374</v>
      </c>
      <c r="AD31" s="7" t="s">
        <v>56</v>
      </c>
      <c r="AE31" s="7" t="s">
        <v>56</v>
      </c>
      <c r="AF31" s="11" t="s">
        <v>56</v>
      </c>
      <c r="AG31" s="11" t="s">
        <v>56</v>
      </c>
      <c r="AH31" s="11" t="s">
        <v>100</v>
      </c>
      <c r="AI31" s="11" t="s">
        <v>64</v>
      </c>
      <c r="AJ31" s="11" t="s">
        <v>101</v>
      </c>
      <c r="AK31" s="11" t="s">
        <v>83</v>
      </c>
      <c r="AL31" s="11" t="s">
        <v>375</v>
      </c>
      <c r="AM31" s="7" t="str">
        <f>IFERROR(__xludf.DUMMYFUNCTION("IF(REGEXMATCH($AL31, ""Reproducible""), ""Yes"", ""No"")"),"No")</f>
        <v>No</v>
      </c>
      <c r="AN31" s="11" t="s">
        <v>62</v>
      </c>
      <c r="AO31" s="11" t="s">
        <v>56</v>
      </c>
      <c r="AP31" s="11" t="s">
        <v>56</v>
      </c>
      <c r="AQ31" s="7" t="str">
        <f>IFERROR(__xludf.DUMMYFUNCTION("IF(REGEXMATCH($AL31, ""No Repo""), ""Yes"", ""No"")"),"Yes")</f>
        <v>Yes</v>
      </c>
      <c r="AR31" s="7" t="str">
        <f>IFERROR(__xludf.DUMMYFUNCTION("IF(REGEXMATCH($AL31, ""Hyperparameters""), ""Yes"", ""No"")"),"Yes")</f>
        <v>Yes</v>
      </c>
      <c r="AS31" s="7" t="str">
        <f>IFERROR(__xludf.DUMMYFUNCTION("IF(REGEXMATCH($AL31, ""Filtering Details""), ""Yes"", ""No"")"),"Yes")</f>
        <v>Yes</v>
      </c>
    </row>
    <row r="32" ht="28.5" customHeight="1">
      <c r="A32" s="12" t="str">
        <f>HYPERLINK("https://arxiv.org/abs/1808.05444","DRLgencert: Deep Learning-Based Automated Testing of Certificate Verification in SSL/TLS Implementations")</f>
        <v>DRLgencert: Deep Learning-Based Automated Testing of Certificate Verification in SSL/TLS Implementations</v>
      </c>
      <c r="B32" s="13" t="s">
        <v>235</v>
      </c>
      <c r="C32" s="13">
        <v>2018.0</v>
      </c>
      <c r="D32" s="6" t="s">
        <v>46</v>
      </c>
      <c r="E32" s="13" t="s">
        <v>376</v>
      </c>
      <c r="F32" s="13" t="s">
        <v>377</v>
      </c>
      <c r="G32" s="13" t="s">
        <v>378</v>
      </c>
      <c r="H32" s="13" t="s">
        <v>379</v>
      </c>
      <c r="I32" s="13" t="s">
        <v>380</v>
      </c>
      <c r="J32" s="15" t="s">
        <v>381</v>
      </c>
      <c r="K32" s="13" t="s">
        <v>382</v>
      </c>
      <c r="L32" s="13" t="s">
        <v>383</v>
      </c>
      <c r="M32" s="15" t="s">
        <v>384</v>
      </c>
      <c r="N32" s="7" t="s">
        <v>95</v>
      </c>
      <c r="O32" s="7" t="s">
        <v>56</v>
      </c>
      <c r="P32" s="7" t="s">
        <v>56</v>
      </c>
      <c r="Q32" s="15" t="s">
        <v>56</v>
      </c>
      <c r="R32" s="7" t="str">
        <f>IFERROR(__xludf.DUMMYFUNCTION("IF(REGEXMATCH(M32, ""Accuracy""), ""Yes"", ""No"")"),"No")</f>
        <v>No</v>
      </c>
      <c r="S32" s="7" t="str">
        <f>IFERROR(__xludf.DUMMYFUNCTION("IF(REGEXMATCH(M32, ""Precision""), ""Yes"", ""No"")"),"No")</f>
        <v>No</v>
      </c>
      <c r="T32" s="7" t="str">
        <f>IFERROR(__xludf.DUMMYFUNCTION("IF(REGEXMATCH(M32, ""Recall""), ""Yes"", ""No"")"),"No")</f>
        <v>No</v>
      </c>
      <c r="U32" s="7" t="str">
        <f>IFERROR(__xludf.DUMMYFUNCTION("IF(REGEXMATCH(M32, ""F1 Measure""), ""Yes"", ""No"")"),"No")</f>
        <v>No</v>
      </c>
      <c r="V32" s="15" t="s">
        <v>79</v>
      </c>
      <c r="W32" s="15" t="s">
        <v>55</v>
      </c>
      <c r="X32" s="15" t="s">
        <v>55</v>
      </c>
      <c r="Y32" s="15" t="s">
        <v>385</v>
      </c>
      <c r="Z32" s="15" t="s">
        <v>386</v>
      </c>
      <c r="AA32" s="11" t="s">
        <v>169</v>
      </c>
      <c r="AB32" s="11" t="s">
        <v>387</v>
      </c>
      <c r="AC32" s="11" t="s">
        <v>387</v>
      </c>
      <c r="AD32" s="7" t="s">
        <v>56</v>
      </c>
      <c r="AE32" s="7" t="s">
        <v>56</v>
      </c>
      <c r="AF32" s="11" t="s">
        <v>56</v>
      </c>
      <c r="AG32" s="11" t="s">
        <v>56</v>
      </c>
      <c r="AH32" s="11" t="s">
        <v>170</v>
      </c>
      <c r="AI32" s="11" t="s">
        <v>147</v>
      </c>
      <c r="AJ32" s="11" t="s">
        <v>388</v>
      </c>
      <c r="AK32" s="11" t="s">
        <v>66</v>
      </c>
      <c r="AL32" s="11" t="s">
        <v>42</v>
      </c>
      <c r="AM32" s="7" t="str">
        <f>IFERROR(__xludf.DUMMYFUNCTION("IF(REGEXMATCH($AL32, ""Reproducible""), ""Yes"", ""No"")"),"No")</f>
        <v>No</v>
      </c>
      <c r="AN32" s="11" t="s">
        <v>56</v>
      </c>
      <c r="AO32" s="11" t="s">
        <v>56</v>
      </c>
      <c r="AP32" s="11" t="s">
        <v>56</v>
      </c>
      <c r="AQ32" s="7" t="str">
        <f>IFERROR(__xludf.DUMMYFUNCTION("IF(REGEXMATCH($AL32, ""No Repo""), ""Yes"", ""No"")"),"Yes")</f>
        <v>Yes</v>
      </c>
      <c r="AR32" s="7" t="str">
        <f>IFERROR(__xludf.DUMMYFUNCTION("IF(REGEXMATCH($AL32, ""Hyperparameters""), ""Yes"", ""No"")"),"No")</f>
        <v>No</v>
      </c>
      <c r="AS32" s="7" t="str">
        <f>IFERROR(__xludf.DUMMYFUNCTION("IF(REGEXMATCH($AL32, ""Filtering Details""), ""Yes"", ""No"")"),"No")</f>
        <v>No</v>
      </c>
    </row>
    <row r="33" ht="28.5" customHeight="1">
      <c r="A33" s="12" t="str">
        <f>HYPERLINK("https://dl-acm-org.proxy.wm.edu/citation.cfm?id=3264597","DSM: A Specification Mining Tool Using Recurrent Neural Network Based Language Model")</f>
        <v>DSM: A Specification Mining Tool Using Recurrent Neural Network Based Language Model</v>
      </c>
      <c r="B33" s="13" t="s">
        <v>129</v>
      </c>
      <c r="C33" s="13">
        <v>2018.0</v>
      </c>
      <c r="D33" s="6" t="s">
        <v>104</v>
      </c>
      <c r="E33" s="15" t="s">
        <v>389</v>
      </c>
      <c r="F33" s="13" t="s">
        <v>390</v>
      </c>
      <c r="G33" s="13" t="s">
        <v>391</v>
      </c>
      <c r="H33" s="13" t="s">
        <v>392</v>
      </c>
      <c r="I33" s="13" t="s">
        <v>393</v>
      </c>
      <c r="J33" s="15" t="s">
        <v>55</v>
      </c>
      <c r="K33" s="13" t="s">
        <v>394</v>
      </c>
      <c r="L33" s="13" t="s">
        <v>395</v>
      </c>
      <c r="M33" s="15" t="s">
        <v>20</v>
      </c>
      <c r="N33" s="15" t="s">
        <v>55</v>
      </c>
      <c r="O33" s="7" t="s">
        <v>56</v>
      </c>
      <c r="P33" s="7" t="s">
        <v>56</v>
      </c>
      <c r="Q33" s="15" t="s">
        <v>56</v>
      </c>
      <c r="R33" s="7" t="str">
        <f>IFERROR(__xludf.DUMMYFUNCTION("IF(REGEXMATCH(M33, ""Accuracy""), ""Yes"", ""No"")"),"No")</f>
        <v>No</v>
      </c>
      <c r="S33" s="7" t="str">
        <f>IFERROR(__xludf.DUMMYFUNCTION("IF(REGEXMATCH(M33, ""Precision""), ""Yes"", ""No"")"),"No")</f>
        <v>No</v>
      </c>
      <c r="T33" s="7" t="str">
        <f>IFERROR(__xludf.DUMMYFUNCTION("IF(REGEXMATCH(M33, ""Recall""), ""Yes"", ""No"")"),"No")</f>
        <v>No</v>
      </c>
      <c r="U33" s="7" t="str">
        <f>IFERROR(__xludf.DUMMYFUNCTION("IF(REGEXMATCH(M33, ""F1 Measure""), ""Yes"", ""No"")"),"Yes")</f>
        <v>Yes</v>
      </c>
      <c r="V33" s="15" t="s">
        <v>57</v>
      </c>
      <c r="W33" s="15" t="s">
        <v>277</v>
      </c>
      <c r="X33" s="15" t="s">
        <v>55</v>
      </c>
      <c r="Y33" s="15" t="s">
        <v>55</v>
      </c>
      <c r="Z33" s="15" t="s">
        <v>55</v>
      </c>
      <c r="AA33" s="11" t="s">
        <v>342</v>
      </c>
      <c r="AB33" s="11" t="s">
        <v>357</v>
      </c>
      <c r="AC33" s="11" t="s">
        <v>357</v>
      </c>
      <c r="AD33" s="7" t="s">
        <v>56</v>
      </c>
      <c r="AE33" s="7" t="s">
        <v>56</v>
      </c>
      <c r="AF33" s="11" t="s">
        <v>56</v>
      </c>
      <c r="AG33" s="11" t="s">
        <v>56</v>
      </c>
      <c r="AH33" s="11" t="s">
        <v>396</v>
      </c>
      <c r="AI33" s="11" t="s">
        <v>147</v>
      </c>
      <c r="AJ33" s="11" t="s">
        <v>101</v>
      </c>
      <c r="AK33" s="11" t="s">
        <v>66</v>
      </c>
      <c r="AL33" s="11" t="s">
        <v>41</v>
      </c>
      <c r="AM33" s="7" t="str">
        <f>IFERROR(__xludf.DUMMYFUNCTION("IF(REGEXMATCH($AL33, ""Reproducible""), ""Yes"", ""No"")"),"No")</f>
        <v>No</v>
      </c>
      <c r="AN33" s="11" t="s">
        <v>56</v>
      </c>
      <c r="AO33" s="11" t="s">
        <v>56</v>
      </c>
      <c r="AP33" s="11" t="s">
        <v>62</v>
      </c>
      <c r="AQ33" s="7" t="str">
        <f>IFERROR(__xludf.DUMMYFUNCTION("IF(REGEXMATCH($AL33, ""No Repo""), ""Yes"", ""No"")"),"No")</f>
        <v>No</v>
      </c>
      <c r="AR33" s="7" t="str">
        <f>IFERROR(__xludf.DUMMYFUNCTION("IF(REGEXMATCH($AL33, ""Hyperparameters""), ""Yes"", ""No"")"),"No")</f>
        <v>No</v>
      </c>
      <c r="AS33" s="7" t="str">
        <f>IFERROR(__xludf.DUMMYFUNCTION("IF(REGEXMATCH($AL33, ""Filtering Details""), ""Yes"", ""No"")"),"No")</f>
        <v>No</v>
      </c>
    </row>
    <row r="34" ht="28.5" customHeight="1">
      <c r="A34" s="12" t="str">
        <f>HYPERLINK("https://dl-acm-org.proxy.wm.edu/citation.cfm?doid=3183440.3195092","DWEN: Deep Word Embedding Network for Duplicate Bug Report Detection in Software Repositories")</f>
        <v>DWEN: Deep Word Embedding Network for Duplicate Bug Report Detection in Software Repositories</v>
      </c>
      <c r="B34" s="13" t="s">
        <v>150</v>
      </c>
      <c r="C34" s="13">
        <v>2018.0</v>
      </c>
      <c r="D34" s="13" t="s">
        <v>343</v>
      </c>
      <c r="E34" s="13" t="s">
        <v>397</v>
      </c>
      <c r="F34" s="13" t="s">
        <v>55</v>
      </c>
      <c r="G34" s="13" t="s">
        <v>398</v>
      </c>
      <c r="H34" s="13" t="s">
        <v>399</v>
      </c>
      <c r="I34" s="13" t="s">
        <v>400</v>
      </c>
      <c r="J34" s="13" t="s">
        <v>401</v>
      </c>
      <c r="K34" s="15" t="s">
        <v>402</v>
      </c>
      <c r="L34" s="13" t="s">
        <v>403</v>
      </c>
      <c r="M34" s="15" t="s">
        <v>19</v>
      </c>
      <c r="N34" s="15" t="s">
        <v>55</v>
      </c>
      <c r="O34" s="7" t="s">
        <v>56</v>
      </c>
      <c r="P34" s="7" t="s">
        <v>56</v>
      </c>
      <c r="Q34" s="15" t="s">
        <v>56</v>
      </c>
      <c r="R34" s="7" t="str">
        <f>IFERROR(__xludf.DUMMYFUNCTION("IF(REGEXMATCH(M34, ""Accuracy""), ""Yes"", ""No"")"),"No")</f>
        <v>No</v>
      </c>
      <c r="S34" s="7" t="str">
        <f>IFERROR(__xludf.DUMMYFUNCTION("IF(REGEXMATCH(M34, ""Precision""), ""Yes"", ""No"")"),"No")</f>
        <v>No</v>
      </c>
      <c r="T34" s="7" t="str">
        <f>IFERROR(__xludf.DUMMYFUNCTION("IF(REGEXMATCH(M34, ""Recall""), ""Yes"", ""No"")"),"Yes")</f>
        <v>Yes</v>
      </c>
      <c r="U34" s="7" t="str">
        <f>IFERROR(__xludf.DUMMYFUNCTION("IF(REGEXMATCH(M34, ""F1 Measure""), ""Yes"", ""No"")"),"No")</f>
        <v>No</v>
      </c>
      <c r="V34" s="15" t="s">
        <v>79</v>
      </c>
      <c r="W34" s="15" t="s">
        <v>404</v>
      </c>
      <c r="X34" s="23" t="s">
        <v>405</v>
      </c>
      <c r="Y34" s="15" t="s">
        <v>59</v>
      </c>
      <c r="Z34" s="15" t="s">
        <v>55</v>
      </c>
      <c r="AA34" s="11" t="s">
        <v>135</v>
      </c>
      <c r="AB34" s="11" t="s">
        <v>136</v>
      </c>
      <c r="AC34" s="11" t="s">
        <v>136</v>
      </c>
      <c r="AD34" s="7" t="s">
        <v>56</v>
      </c>
      <c r="AE34" s="7" t="s">
        <v>56</v>
      </c>
      <c r="AF34" s="11" t="s">
        <v>56</v>
      </c>
      <c r="AG34" s="11" t="s">
        <v>56</v>
      </c>
      <c r="AH34" s="11" t="s">
        <v>100</v>
      </c>
      <c r="AI34" s="11" t="s">
        <v>64</v>
      </c>
      <c r="AJ34" s="11" t="s">
        <v>157</v>
      </c>
      <c r="AK34" s="11" t="s">
        <v>66</v>
      </c>
      <c r="AL34" s="11" t="s">
        <v>406</v>
      </c>
      <c r="AM34" s="7" t="str">
        <f>IFERROR(__xludf.DUMMYFUNCTION("IF(REGEXMATCH($AL34, ""Reproducible""), ""Yes"", ""No"")"),"No")</f>
        <v>No</v>
      </c>
      <c r="AN34" s="11" t="s">
        <v>62</v>
      </c>
      <c r="AO34" s="11" t="s">
        <v>56</v>
      </c>
      <c r="AP34" s="11" t="s">
        <v>56</v>
      </c>
      <c r="AQ34" s="7" t="str">
        <f>IFERROR(__xludf.DUMMYFUNCTION("IF(REGEXMATCH($AL34, ""No Repo""), ""Yes"", ""No"")"),"Yes")</f>
        <v>Yes</v>
      </c>
      <c r="AR34" s="7" t="str">
        <f>IFERROR(__xludf.DUMMYFUNCTION("IF(REGEXMATCH($AL34, ""Hyperparameters""), ""Yes"", ""No"")"),"No")</f>
        <v>No</v>
      </c>
      <c r="AS34" s="7" t="str">
        <f>IFERROR(__xludf.DUMMYFUNCTION("IF(REGEXMATCH($AL34, ""Filtering Details""), ""Yes"", ""No"")"),"Yes")</f>
        <v>Yes</v>
      </c>
    </row>
    <row r="35" ht="28.5" customHeight="1">
      <c r="A35" s="21" t="str">
        <f>HYPERLINK("https://arxiv.org/abs/1711.07163","Dynamic Neural Program Embedding for Program Repair")</f>
        <v>Dynamic Neural Program Embedding for Program Repair</v>
      </c>
      <c r="B35" s="6" t="s">
        <v>256</v>
      </c>
      <c r="C35" s="11">
        <v>2018.0</v>
      </c>
      <c r="D35" s="14" t="s">
        <v>85</v>
      </c>
      <c r="E35" s="11" t="s">
        <v>407</v>
      </c>
      <c r="F35" s="11" t="s">
        <v>408</v>
      </c>
      <c r="G35" s="11" t="s">
        <v>409</v>
      </c>
      <c r="H35" s="11" t="s">
        <v>410</v>
      </c>
      <c r="I35" s="11" t="s">
        <v>411</v>
      </c>
      <c r="J35" s="11" t="s">
        <v>412</v>
      </c>
      <c r="K35" s="11" t="s">
        <v>55</v>
      </c>
      <c r="L35" s="11" t="s">
        <v>413</v>
      </c>
      <c r="M35" s="11" t="s">
        <v>414</v>
      </c>
      <c r="N35" s="11" t="s">
        <v>55</v>
      </c>
      <c r="O35" s="7" t="s">
        <v>56</v>
      </c>
      <c r="P35" s="7" t="s">
        <v>56</v>
      </c>
      <c r="Q35" s="11" t="s">
        <v>56</v>
      </c>
      <c r="R35" s="7" t="str">
        <f>IFERROR(__xludf.DUMMYFUNCTION("IF(REGEXMATCH(M35, ""Accuracy""), ""Yes"", ""No"")"),"Yes")</f>
        <v>Yes</v>
      </c>
      <c r="S35" s="7" t="str">
        <f>IFERROR(__xludf.DUMMYFUNCTION("IF(REGEXMATCH(M35, ""Precision""), ""Yes"", ""No"")"),"No")</f>
        <v>No</v>
      </c>
      <c r="T35" s="7" t="str">
        <f>IFERROR(__xludf.DUMMYFUNCTION("IF(REGEXMATCH(M35, ""Recall""), ""Yes"", ""No"")"),"No")</f>
        <v>No</v>
      </c>
      <c r="U35" s="7" t="str">
        <f>IFERROR(__xludf.DUMMYFUNCTION("IF(REGEXMATCH(M35, ""F1 Measure""), ""Yes"", ""No"")"),"No")</f>
        <v>No</v>
      </c>
      <c r="V35" s="11" t="s">
        <v>79</v>
      </c>
      <c r="W35" s="11" t="s">
        <v>55</v>
      </c>
      <c r="X35" s="15" t="s">
        <v>55</v>
      </c>
      <c r="Y35" s="11" t="s">
        <v>59</v>
      </c>
      <c r="Z35" s="11" t="s">
        <v>55</v>
      </c>
      <c r="AA35" s="11" t="s">
        <v>127</v>
      </c>
      <c r="AB35" s="11" t="s">
        <v>357</v>
      </c>
      <c r="AC35" s="11" t="s">
        <v>357</v>
      </c>
      <c r="AD35" s="7" t="s">
        <v>56</v>
      </c>
      <c r="AE35" s="7" t="s">
        <v>56</v>
      </c>
      <c r="AF35" s="11" t="s">
        <v>56</v>
      </c>
      <c r="AG35" s="11" t="s">
        <v>56</v>
      </c>
      <c r="AH35" s="11" t="s">
        <v>100</v>
      </c>
      <c r="AI35" s="11" t="s">
        <v>64</v>
      </c>
      <c r="AJ35" s="11" t="s">
        <v>101</v>
      </c>
      <c r="AK35" s="11" t="s">
        <v>102</v>
      </c>
      <c r="AL35" s="11" t="s">
        <v>415</v>
      </c>
      <c r="AM35" s="7" t="str">
        <f>IFERROR(__xludf.DUMMYFUNCTION("IF(REGEXMATCH($AL35, ""Reproducible""), ""Yes"", ""No"")"),"No")</f>
        <v>No</v>
      </c>
      <c r="AN35" s="11" t="s">
        <v>56</v>
      </c>
      <c r="AO35" s="11" t="s">
        <v>56</v>
      </c>
      <c r="AP35" s="11" t="s">
        <v>56</v>
      </c>
      <c r="AQ35" s="7" t="str">
        <f>IFERROR(__xludf.DUMMYFUNCTION("IF(REGEXMATCH($AL35, ""No Repo""), ""Yes"", ""No"")"),"Yes")</f>
        <v>Yes</v>
      </c>
      <c r="AR35" s="7" t="str">
        <f>IFERROR(__xludf.DUMMYFUNCTION("IF(REGEXMATCH($AL35, ""Hyperparameters""), ""Yes"", ""No"")"),"Yes")</f>
        <v>Yes</v>
      </c>
      <c r="AS35" s="7" t="str">
        <f>IFERROR(__xludf.DUMMYFUNCTION("IF(REGEXMATCH($AL35, ""Filtering Details""), ""Yes"", ""No"")"),"Yes")</f>
        <v>Yes</v>
      </c>
    </row>
    <row r="36" ht="28.5" customHeight="1">
      <c r="A36" s="5" t="str">
        <f>HYPERLINK("https://ieeexplore.ieee.org/document/7332513","Exploring the use of deep learning for feature location")</f>
        <v>Exploring the use of deep learning for feature location</v>
      </c>
      <c r="B36" s="6" t="s">
        <v>235</v>
      </c>
      <c r="C36" s="6">
        <v>2015.0</v>
      </c>
      <c r="D36" s="6" t="s">
        <v>104</v>
      </c>
      <c r="E36" s="6" t="s">
        <v>416</v>
      </c>
      <c r="F36" s="6" t="s">
        <v>417</v>
      </c>
      <c r="G36" s="6" t="s">
        <v>418</v>
      </c>
      <c r="H36" s="6" t="s">
        <v>419</v>
      </c>
      <c r="I36" s="6" t="s">
        <v>420</v>
      </c>
      <c r="J36" s="7" t="s">
        <v>421</v>
      </c>
      <c r="K36" s="6" t="s">
        <v>55</v>
      </c>
      <c r="L36" s="6" t="s">
        <v>422</v>
      </c>
      <c r="M36" s="7" t="s">
        <v>14</v>
      </c>
      <c r="N36" s="7" t="s">
        <v>55</v>
      </c>
      <c r="O36" s="7" t="s">
        <v>62</v>
      </c>
      <c r="P36" s="7" t="s">
        <v>56</v>
      </c>
      <c r="Q36" s="7" t="s">
        <v>56</v>
      </c>
      <c r="R36" s="7" t="str">
        <f>IFERROR(__xludf.DUMMYFUNCTION("IF(REGEXMATCH(M36, ""Accuracy""), ""Yes"", ""No"")"),"No")</f>
        <v>No</v>
      </c>
      <c r="S36" s="7" t="str">
        <f>IFERROR(__xludf.DUMMYFUNCTION("IF(REGEXMATCH(M36, ""Precision""), ""Yes"", ""No"")"),"No")</f>
        <v>No</v>
      </c>
      <c r="T36" s="7" t="str">
        <f>IFERROR(__xludf.DUMMYFUNCTION("IF(REGEXMATCH(M36, ""Recall""), ""Yes"", ""No"")"),"No")</f>
        <v>No</v>
      </c>
      <c r="U36" s="7" t="str">
        <f>IFERROR(__xludf.DUMMYFUNCTION("IF(REGEXMATCH(M36, ""F1 Measure""), ""Yes"", ""No"")"),"No")</f>
        <v>No</v>
      </c>
      <c r="V36" s="7" t="s">
        <v>57</v>
      </c>
      <c r="W36" s="7" t="s">
        <v>55</v>
      </c>
      <c r="X36" s="7" t="s">
        <v>55</v>
      </c>
      <c r="Y36" s="7" t="s">
        <v>59</v>
      </c>
      <c r="Z36" s="7" t="s">
        <v>55</v>
      </c>
      <c r="AA36" s="7" t="s">
        <v>423</v>
      </c>
      <c r="AB36" s="7" t="s">
        <v>116</v>
      </c>
      <c r="AC36" s="7" t="s">
        <v>55</v>
      </c>
      <c r="AD36" s="7" t="s">
        <v>56</v>
      </c>
      <c r="AE36" s="7" t="s">
        <v>56</v>
      </c>
      <c r="AF36" s="7" t="s">
        <v>62</v>
      </c>
      <c r="AG36" s="7" t="s">
        <v>62</v>
      </c>
      <c r="AH36" s="7" t="s">
        <v>63</v>
      </c>
      <c r="AI36" s="7" t="s">
        <v>64</v>
      </c>
      <c r="AJ36" s="7" t="s">
        <v>157</v>
      </c>
      <c r="AK36" s="7" t="s">
        <v>158</v>
      </c>
      <c r="AL36" s="7" t="s">
        <v>200</v>
      </c>
      <c r="AM36" s="7" t="str">
        <f>IFERROR(__xludf.DUMMYFUNCTION("IF(REGEXMATCH($AL36, ""Reproducible""), ""Yes"", ""No"")"),"No")</f>
        <v>No</v>
      </c>
      <c r="AN36" s="7" t="s">
        <v>56</v>
      </c>
      <c r="AO36" s="7" t="s">
        <v>56</v>
      </c>
      <c r="AP36" s="7" t="s">
        <v>56</v>
      </c>
      <c r="AQ36" s="7" t="str">
        <f>IFERROR(__xludf.DUMMYFUNCTION("IF(REGEXMATCH($AL36, ""No Repo""), ""Yes"", ""No"")"),"Yes")</f>
        <v>Yes</v>
      </c>
      <c r="AR36" s="7" t="str">
        <f>IFERROR(__xludf.DUMMYFUNCTION("IF(REGEXMATCH($AL36, ""Hyperparameters""), ""Yes"", ""No"")"),"Yes")</f>
        <v>Yes</v>
      </c>
      <c r="AS36" s="7" t="str">
        <f>IFERROR(__xludf.DUMMYFUNCTION("IF(REGEXMATCH($AL36, ""Filtering Details""), ""Yes"", ""No"")"),"No")</f>
        <v>No</v>
      </c>
    </row>
    <row r="37" ht="28.5" customHeight="1">
      <c r="A37" s="12" t="str">
        <f>HYPERLINK("https://dl-acm-org.proxy.wm.edu/citation.cfm?id=3180240","From UI Design Image to GUI Skeleton: A Neural Machine Translator to Bootstrap Mobile GUI Implementation")</f>
        <v>From UI Design Image to GUI Skeleton: A Neural Machine Translator to Bootstrap Mobile GUI Implementation</v>
      </c>
      <c r="B37" s="13" t="s">
        <v>150</v>
      </c>
      <c r="C37" s="13">
        <v>2018.0</v>
      </c>
      <c r="D37" s="6" t="s">
        <v>46</v>
      </c>
      <c r="E37" s="13" t="s">
        <v>424</v>
      </c>
      <c r="F37" s="13" t="s">
        <v>425</v>
      </c>
      <c r="G37" s="13" t="s">
        <v>426</v>
      </c>
      <c r="H37" s="13" t="s">
        <v>427</v>
      </c>
      <c r="I37" s="13" t="s">
        <v>428</v>
      </c>
      <c r="J37" s="13" t="s">
        <v>429</v>
      </c>
      <c r="K37" s="15" t="s">
        <v>430</v>
      </c>
      <c r="L37" s="13" t="s">
        <v>431</v>
      </c>
      <c r="M37" s="15" t="s">
        <v>432</v>
      </c>
      <c r="N37" s="15" t="s">
        <v>55</v>
      </c>
      <c r="O37" s="7" t="s">
        <v>56</v>
      </c>
      <c r="P37" s="7" t="s">
        <v>56</v>
      </c>
      <c r="Q37" s="15" t="s">
        <v>62</v>
      </c>
      <c r="R37" s="7" t="str">
        <f>IFERROR(__xludf.DUMMYFUNCTION("IF(REGEXMATCH(M37, ""Accuracy""), ""Yes"", ""No"")"),"Yes")</f>
        <v>Yes</v>
      </c>
      <c r="S37" s="7" t="str">
        <f>IFERROR(__xludf.DUMMYFUNCTION("IF(REGEXMATCH(M37, ""Precision""), ""Yes"", ""No"")"),"No")</f>
        <v>No</v>
      </c>
      <c r="T37" s="7" t="str">
        <f>IFERROR(__xludf.DUMMYFUNCTION("IF(REGEXMATCH(M37, ""Recall""), ""Yes"", ""No"")"),"No")</f>
        <v>No</v>
      </c>
      <c r="U37" s="7" t="str">
        <f>IFERROR(__xludf.DUMMYFUNCTION("IF(REGEXMATCH(M37, ""F1 Measure""), ""Yes"", ""No"")"),"No")</f>
        <v>No</v>
      </c>
      <c r="V37" s="15" t="s">
        <v>79</v>
      </c>
      <c r="W37" s="15" t="s">
        <v>404</v>
      </c>
      <c r="X37" s="23" t="s">
        <v>405</v>
      </c>
      <c r="Y37" s="15" t="s">
        <v>59</v>
      </c>
      <c r="Z37" s="15" t="s">
        <v>60</v>
      </c>
      <c r="AA37" s="11" t="s">
        <v>81</v>
      </c>
      <c r="AB37" s="11" t="s">
        <v>30</v>
      </c>
      <c r="AC37" s="11" t="s">
        <v>55</v>
      </c>
      <c r="AD37" s="7" t="s">
        <v>56</v>
      </c>
      <c r="AE37" s="11" t="s">
        <v>62</v>
      </c>
      <c r="AF37" s="11" t="s">
        <v>56</v>
      </c>
      <c r="AG37" s="11" t="s">
        <v>56</v>
      </c>
      <c r="AH37" s="11" t="s">
        <v>100</v>
      </c>
      <c r="AI37" s="11" t="s">
        <v>64</v>
      </c>
      <c r="AJ37" s="7" t="s">
        <v>128</v>
      </c>
      <c r="AK37" s="7" t="s">
        <v>102</v>
      </c>
      <c r="AL37" s="7" t="s">
        <v>42</v>
      </c>
      <c r="AM37" s="7" t="str">
        <f>IFERROR(__xludf.DUMMYFUNCTION("IF(REGEXMATCH($AL37, ""Reproducible""), ""Yes"", ""No"")"),"No")</f>
        <v>No</v>
      </c>
      <c r="AN37" s="7" t="s">
        <v>56</v>
      </c>
      <c r="AO37" s="7" t="s">
        <v>56</v>
      </c>
      <c r="AP37" s="7" t="s">
        <v>56</v>
      </c>
      <c r="AQ37" s="7" t="str">
        <f>IFERROR(__xludf.DUMMYFUNCTION("IF(REGEXMATCH($AL37, ""No Repo""), ""Yes"", ""No"")"),"Yes")</f>
        <v>Yes</v>
      </c>
      <c r="AR37" s="7" t="str">
        <f>IFERROR(__xludf.DUMMYFUNCTION("IF(REGEXMATCH($AL37, ""Hyperparameters""), ""Yes"", ""No"")"),"No")</f>
        <v>No</v>
      </c>
      <c r="AS37" s="7" t="str">
        <f>IFERROR(__xludf.DUMMYFUNCTION("IF(REGEXMATCH($AL37, ""Filtering Details""), ""Yes"", ""No"")"),"No")</f>
        <v>No</v>
      </c>
    </row>
    <row r="38" ht="28.5" customHeight="1">
      <c r="A38" s="24" t="str">
        <f>HYPERLINK("https://ieeexplore-ieee-org.proxy.wm.edu/document/8493303","How Well Do Change Sequences Predict Defects? Sequence Learning from Software Changes")</f>
        <v>How Well Do Change Sequences Predict Defects? Sequence Learning from Software Changes</v>
      </c>
      <c r="B38" s="25" t="s">
        <v>84</v>
      </c>
      <c r="C38" s="25">
        <v>2018.0</v>
      </c>
      <c r="D38" s="14" t="s">
        <v>85</v>
      </c>
      <c r="E38" s="13" t="s">
        <v>433</v>
      </c>
      <c r="F38" s="13" t="s">
        <v>434</v>
      </c>
      <c r="G38" s="13" t="s">
        <v>435</v>
      </c>
      <c r="H38" s="13" t="s">
        <v>436</v>
      </c>
      <c r="I38" s="13" t="s">
        <v>437</v>
      </c>
      <c r="J38" s="13" t="s">
        <v>438</v>
      </c>
      <c r="K38" s="13" t="s">
        <v>439</v>
      </c>
      <c r="L38" s="13" t="s">
        <v>440</v>
      </c>
      <c r="M38" s="15" t="s">
        <v>441</v>
      </c>
      <c r="N38" s="7" t="s">
        <v>95</v>
      </c>
      <c r="O38" s="7" t="s">
        <v>56</v>
      </c>
      <c r="P38" s="15" t="s">
        <v>62</v>
      </c>
      <c r="Q38" s="15" t="s">
        <v>56</v>
      </c>
      <c r="R38" s="7" t="str">
        <f>IFERROR(__xludf.DUMMYFUNCTION("IF(REGEXMATCH(M38, ""Accuracy""), ""Yes"", ""No"")"),"No")</f>
        <v>No</v>
      </c>
      <c r="S38" s="7" t="str">
        <f>IFERROR(__xludf.DUMMYFUNCTION("IF(REGEXMATCH(M38, ""Precision""), ""Yes"", ""No"")"),"Yes")</f>
        <v>Yes</v>
      </c>
      <c r="T38" s="7" t="str">
        <f>IFERROR(__xludf.DUMMYFUNCTION("IF(REGEXMATCH(M38, ""Recall""), ""Yes"", ""No"")"),"Yes")</f>
        <v>Yes</v>
      </c>
      <c r="U38" s="7" t="str">
        <f>IFERROR(__xludf.DUMMYFUNCTION("IF(REGEXMATCH(M38, ""F1 Measure""), ""Yes"", ""No"")"),"Yes")</f>
        <v>Yes</v>
      </c>
      <c r="V38" s="15" t="s">
        <v>57</v>
      </c>
      <c r="W38" s="15" t="s">
        <v>23</v>
      </c>
      <c r="X38" s="15" t="s">
        <v>96</v>
      </c>
      <c r="Y38" s="15" t="s">
        <v>59</v>
      </c>
      <c r="Z38" s="15" t="s">
        <v>145</v>
      </c>
      <c r="AA38" s="11" t="s">
        <v>211</v>
      </c>
      <c r="AB38" s="11" t="s">
        <v>99</v>
      </c>
      <c r="AC38" s="11" t="s">
        <v>99</v>
      </c>
      <c r="AD38" s="7" t="s">
        <v>56</v>
      </c>
      <c r="AE38" s="7" t="s">
        <v>56</v>
      </c>
      <c r="AF38" s="11" t="s">
        <v>56</v>
      </c>
      <c r="AG38" s="11" t="s">
        <v>56</v>
      </c>
      <c r="AH38" s="11" t="s">
        <v>442</v>
      </c>
      <c r="AI38" s="11" t="s">
        <v>64</v>
      </c>
      <c r="AJ38" s="11" t="s">
        <v>101</v>
      </c>
      <c r="AK38" s="11" t="s">
        <v>66</v>
      </c>
      <c r="AL38" s="11" t="s">
        <v>67</v>
      </c>
      <c r="AM38" s="7" t="str">
        <f>IFERROR(__xludf.DUMMYFUNCTION("IF(REGEXMATCH($AL38, ""Reproducible""), ""Yes"", ""No"")"),"No")</f>
        <v>No</v>
      </c>
      <c r="AN38" s="11" t="s">
        <v>56</v>
      </c>
      <c r="AO38" s="11" t="s">
        <v>56</v>
      </c>
      <c r="AP38" s="11" t="s">
        <v>56</v>
      </c>
      <c r="AQ38" s="7" t="str">
        <f>IFERROR(__xludf.DUMMYFUNCTION("IF(REGEXMATCH($AL38, ""No Repo""), ""Yes"", ""No"")"),"Yes")</f>
        <v>Yes</v>
      </c>
      <c r="AR38" s="7" t="str">
        <f>IFERROR(__xludf.DUMMYFUNCTION("IF(REGEXMATCH($AL38, ""Hyperparameters""), ""Yes"", ""No"")"),"No")</f>
        <v>No</v>
      </c>
      <c r="AS38" s="7" t="str">
        <f>IFERROR(__xludf.DUMMYFUNCTION("IF(REGEXMATCH($AL38, ""Filtering Details""), ""Yes"", ""No"")"),"Yes")</f>
        <v>Yes</v>
      </c>
    </row>
    <row r="39" ht="28.5" customHeight="1">
      <c r="A39" s="16" t="str">
        <f>HYPERLINK("http://proceedings.mlr.press/v70/deng17a/deng17a.pdf","Image-to-markup generation with coarse-to-fine attention")</f>
        <v>Image-to-markup generation with coarse-to-fine attention</v>
      </c>
      <c r="B39" s="6" t="s">
        <v>45</v>
      </c>
      <c r="C39" s="14">
        <v>2017.0</v>
      </c>
      <c r="D39" s="6" t="s">
        <v>46</v>
      </c>
      <c r="E39" s="14" t="s">
        <v>443</v>
      </c>
      <c r="F39" s="11" t="s">
        <v>444</v>
      </c>
      <c r="G39" s="14" t="s">
        <v>445</v>
      </c>
      <c r="H39" s="14" t="s">
        <v>446</v>
      </c>
      <c r="I39" s="14" t="s">
        <v>447</v>
      </c>
      <c r="J39" s="11" t="s">
        <v>448</v>
      </c>
      <c r="K39" s="14" t="s">
        <v>55</v>
      </c>
      <c r="L39" s="14" t="s">
        <v>449</v>
      </c>
      <c r="M39" s="11" t="s">
        <v>17</v>
      </c>
      <c r="N39" s="11" t="s">
        <v>55</v>
      </c>
      <c r="O39" s="7" t="s">
        <v>56</v>
      </c>
      <c r="P39" s="7" t="s">
        <v>56</v>
      </c>
      <c r="Q39" s="11" t="s">
        <v>56</v>
      </c>
      <c r="R39" s="7" t="str">
        <f>IFERROR(__xludf.DUMMYFUNCTION("IF(REGEXMATCH(M39, ""Accuracy""), ""Yes"", ""No"")"),"Yes")</f>
        <v>Yes</v>
      </c>
      <c r="S39" s="7" t="str">
        <f>IFERROR(__xludf.DUMMYFUNCTION("IF(REGEXMATCH(M39, ""Precision""), ""Yes"", ""No"")"),"No")</f>
        <v>No</v>
      </c>
      <c r="T39" s="7" t="str">
        <f>IFERROR(__xludf.DUMMYFUNCTION("IF(REGEXMATCH(M39, ""Recall""), ""Yes"", ""No"")"),"No")</f>
        <v>No</v>
      </c>
      <c r="U39" s="7" t="str">
        <f>IFERROR(__xludf.DUMMYFUNCTION("IF(REGEXMATCH(M39, ""F1 Measure""), ""Yes"", ""No"")"),"No")</f>
        <v>No</v>
      </c>
      <c r="V39" s="11" t="s">
        <v>79</v>
      </c>
      <c r="W39" s="11" t="s">
        <v>55</v>
      </c>
      <c r="X39" s="7" t="s">
        <v>55</v>
      </c>
      <c r="Y39" s="11" t="s">
        <v>59</v>
      </c>
      <c r="Z39" s="11" t="s">
        <v>60</v>
      </c>
      <c r="AA39" s="11" t="s">
        <v>81</v>
      </c>
      <c r="AB39" s="11" t="s">
        <v>30</v>
      </c>
      <c r="AC39" s="11" t="s">
        <v>55</v>
      </c>
      <c r="AD39" s="7" t="s">
        <v>56</v>
      </c>
      <c r="AE39" s="11" t="s">
        <v>62</v>
      </c>
      <c r="AF39" s="11" t="s">
        <v>56</v>
      </c>
      <c r="AG39" s="11" t="s">
        <v>56</v>
      </c>
      <c r="AH39" s="11" t="s">
        <v>100</v>
      </c>
      <c r="AI39" s="11" t="s">
        <v>64</v>
      </c>
      <c r="AJ39" s="7" t="s">
        <v>128</v>
      </c>
      <c r="AK39" s="7" t="s">
        <v>158</v>
      </c>
      <c r="AL39" s="7" t="s">
        <v>43</v>
      </c>
      <c r="AM39" s="7" t="str">
        <f>IFERROR(__xludf.DUMMYFUNCTION("IF(REGEXMATCH($AL39, ""Reproducible""), ""Yes"", ""No"")"),"No")</f>
        <v>No</v>
      </c>
      <c r="AN39" s="7" t="s">
        <v>56</v>
      </c>
      <c r="AO39" s="7" t="s">
        <v>56</v>
      </c>
      <c r="AP39" s="7" t="s">
        <v>56</v>
      </c>
      <c r="AQ39" s="7" t="str">
        <f>IFERROR(__xludf.DUMMYFUNCTION("IF(REGEXMATCH($AL39, ""No Repo""), ""Yes"", ""No"")"),"No")</f>
        <v>No</v>
      </c>
      <c r="AR39" s="7" t="str">
        <f>IFERROR(__xludf.DUMMYFUNCTION("IF(REGEXMATCH($AL39, ""Hyperparameters""), ""Yes"", ""No"")"),"Yes")</f>
        <v>Yes</v>
      </c>
      <c r="AS39" s="7" t="str">
        <f>IFERROR(__xludf.DUMMYFUNCTION("IF(REGEXMATCH($AL39, ""Filtering Details""), ""Yes"", ""No"")"),"No")</f>
        <v>No</v>
      </c>
    </row>
    <row r="40" ht="28.5" customHeight="1">
      <c r="A40" s="16" t="str">
        <f>HYPERLINK("https://dl-acm-org.proxy.wm.edu/citation.cfm?id=3238206","Improving Automatic Source Code Summarization via Deep Reinforcement Learning")</f>
        <v>Improving Automatic Source Code Summarization via Deep Reinforcement Learning</v>
      </c>
      <c r="B40" s="14" t="s">
        <v>103</v>
      </c>
      <c r="C40" s="14">
        <v>2018.0</v>
      </c>
      <c r="D40" s="6" t="s">
        <v>46</v>
      </c>
      <c r="E40" s="14" t="s">
        <v>450</v>
      </c>
      <c r="F40" s="14" t="s">
        <v>451</v>
      </c>
      <c r="G40" s="14" t="s">
        <v>452</v>
      </c>
      <c r="H40" s="14" t="s">
        <v>453</v>
      </c>
      <c r="I40" s="14" t="s">
        <v>454</v>
      </c>
      <c r="J40" s="14" t="s">
        <v>455</v>
      </c>
      <c r="K40" s="14" t="s">
        <v>456</v>
      </c>
      <c r="L40" s="14" t="s">
        <v>457</v>
      </c>
      <c r="M40" s="11" t="s">
        <v>458</v>
      </c>
      <c r="N40" s="7" t="s">
        <v>95</v>
      </c>
      <c r="O40" s="7" t="s">
        <v>56</v>
      </c>
      <c r="P40" s="7" t="s">
        <v>56</v>
      </c>
      <c r="Q40" s="11" t="s">
        <v>62</v>
      </c>
      <c r="R40" s="7" t="str">
        <f>IFERROR(__xludf.DUMMYFUNCTION("IF(REGEXMATCH(M40, ""Accuracy""), ""Yes"", ""No"")"),"No")</f>
        <v>No</v>
      </c>
      <c r="S40" s="7" t="str">
        <f>IFERROR(__xludf.DUMMYFUNCTION("IF(REGEXMATCH(M40, ""Precision""), ""Yes"", ""No"")"),"No")</f>
        <v>No</v>
      </c>
      <c r="T40" s="7" t="str">
        <f>IFERROR(__xludf.DUMMYFUNCTION("IF(REGEXMATCH(M40, ""Recall""), ""Yes"", ""No"")"),"No")</f>
        <v>No</v>
      </c>
      <c r="U40" s="7" t="str">
        <f>IFERROR(__xludf.DUMMYFUNCTION("IF(REGEXMATCH(M40, ""F1 Measure""), ""Yes"", ""No"")"),"No")</f>
        <v>No</v>
      </c>
      <c r="V40" s="11" t="s">
        <v>243</v>
      </c>
      <c r="W40" s="11" t="s">
        <v>80</v>
      </c>
      <c r="X40" s="7" t="s">
        <v>55</v>
      </c>
      <c r="Y40" s="11" t="s">
        <v>59</v>
      </c>
      <c r="Z40" s="11" t="s">
        <v>265</v>
      </c>
      <c r="AA40" s="11" t="s">
        <v>61</v>
      </c>
      <c r="AB40" s="11" t="s">
        <v>31</v>
      </c>
      <c r="AC40" s="11" t="s">
        <v>55</v>
      </c>
      <c r="AD40" s="7" t="s">
        <v>56</v>
      </c>
      <c r="AE40" s="7" t="s">
        <v>56</v>
      </c>
      <c r="AF40" s="11" t="s">
        <v>62</v>
      </c>
      <c r="AG40" s="11" t="s">
        <v>56</v>
      </c>
      <c r="AH40" s="11" t="s">
        <v>63</v>
      </c>
      <c r="AI40" s="11" t="s">
        <v>64</v>
      </c>
      <c r="AJ40" s="7" t="s">
        <v>128</v>
      </c>
      <c r="AK40" s="7" t="s">
        <v>66</v>
      </c>
      <c r="AL40" s="7" t="s">
        <v>67</v>
      </c>
      <c r="AM40" s="7" t="str">
        <f>IFERROR(__xludf.DUMMYFUNCTION("IF(REGEXMATCH($AL40, ""Reproducible""), ""Yes"", ""No"")"),"No")</f>
        <v>No</v>
      </c>
      <c r="AN40" s="7" t="s">
        <v>56</v>
      </c>
      <c r="AO40" s="7" t="s">
        <v>56</v>
      </c>
      <c r="AP40" s="7" t="s">
        <v>56</v>
      </c>
      <c r="AQ40" s="7" t="str">
        <f>IFERROR(__xludf.DUMMYFUNCTION("IF(REGEXMATCH($AL40, ""No Repo""), ""Yes"", ""No"")"),"Yes")</f>
        <v>Yes</v>
      </c>
      <c r="AR40" s="7" t="str">
        <f>IFERROR(__xludf.DUMMYFUNCTION("IF(REGEXMATCH($AL40, ""Hyperparameters""), ""Yes"", ""No"")"),"No")</f>
        <v>No</v>
      </c>
      <c r="AS40" s="7" t="str">
        <f>IFERROR(__xludf.DUMMYFUNCTION("IF(REGEXMATCH($AL40, ""Filtering Details""), ""Yes"", ""No"")"),"Yes")</f>
        <v>Yes</v>
      </c>
    </row>
    <row r="41" ht="28.5" customHeight="1">
      <c r="A41" s="21" t="str">
        <f>HYPERLINK("https://papers.nips.cc/paper/8107-improving-neural-program-synthesis-with-inferred-execution-traces","Improving Neural Program Synthesis with Inferred Execution Traces")</f>
        <v>Improving Neural Program Synthesis with Inferred Execution Traces</v>
      </c>
      <c r="B41" s="11" t="s">
        <v>171</v>
      </c>
      <c r="C41" s="11">
        <v>2018.0</v>
      </c>
      <c r="D41" s="6" t="s">
        <v>46</v>
      </c>
      <c r="E41" s="11" t="s">
        <v>459</v>
      </c>
      <c r="F41" s="11" t="s">
        <v>55</v>
      </c>
      <c r="G41" s="11" t="s">
        <v>460</v>
      </c>
      <c r="H41" s="11" t="s">
        <v>55</v>
      </c>
      <c r="I41" s="11" t="s">
        <v>461</v>
      </c>
      <c r="J41" s="11" t="s">
        <v>462</v>
      </c>
      <c r="K41" s="11" t="s">
        <v>55</v>
      </c>
      <c r="L41" s="11" t="s">
        <v>463</v>
      </c>
      <c r="M41" s="11" t="s">
        <v>464</v>
      </c>
      <c r="N41" s="7" t="s">
        <v>95</v>
      </c>
      <c r="O41" s="7" t="s">
        <v>56</v>
      </c>
      <c r="P41" s="7" t="s">
        <v>56</v>
      </c>
      <c r="Q41" s="11" t="s">
        <v>56</v>
      </c>
      <c r="R41" s="7" t="str">
        <f>IFERROR(__xludf.DUMMYFUNCTION("IF(REGEXMATCH(M41, ""Accuracy""), ""Yes"", ""No"")"),"Yes")</f>
        <v>Yes</v>
      </c>
      <c r="S41" s="7" t="str">
        <f>IFERROR(__xludf.DUMMYFUNCTION("IF(REGEXMATCH(M41, ""Precision""), ""Yes"", ""No"")"),"No")</f>
        <v>No</v>
      </c>
      <c r="T41" s="7" t="str">
        <f>IFERROR(__xludf.DUMMYFUNCTION("IF(REGEXMATCH(M41, ""Recall""), ""Yes"", ""No"")"),"No")</f>
        <v>No</v>
      </c>
      <c r="U41" s="7" t="str">
        <f>IFERROR(__xludf.DUMMYFUNCTION("IF(REGEXMATCH(M41, ""F1 Measure""), ""Yes"", ""No"")"),"No")</f>
        <v>No</v>
      </c>
      <c r="V41" s="11" t="s">
        <v>79</v>
      </c>
      <c r="W41" s="11" t="s">
        <v>55</v>
      </c>
      <c r="X41" s="15" t="s">
        <v>55</v>
      </c>
      <c r="Y41" s="11" t="s">
        <v>59</v>
      </c>
      <c r="Z41" s="11" t="s">
        <v>60</v>
      </c>
      <c r="AA41" s="11" t="s">
        <v>180</v>
      </c>
      <c r="AB41" s="11" t="s">
        <v>29</v>
      </c>
      <c r="AC41" s="7" t="s">
        <v>55</v>
      </c>
      <c r="AD41" s="7" t="s">
        <v>62</v>
      </c>
      <c r="AE41" s="7" t="s">
        <v>56</v>
      </c>
      <c r="AF41" s="11" t="s">
        <v>56</v>
      </c>
      <c r="AG41" s="11" t="s">
        <v>56</v>
      </c>
      <c r="AH41" s="11" t="s">
        <v>465</v>
      </c>
      <c r="AI41" s="11" t="s">
        <v>64</v>
      </c>
      <c r="AJ41" s="11" t="s">
        <v>101</v>
      </c>
      <c r="AK41" s="11" t="s">
        <v>66</v>
      </c>
      <c r="AL41" s="11" t="s">
        <v>375</v>
      </c>
      <c r="AM41" s="7" t="str">
        <f>IFERROR(__xludf.DUMMYFUNCTION("IF(REGEXMATCH($AL41, ""Reproducible""), ""Yes"", ""No"")"),"No")</f>
        <v>No</v>
      </c>
      <c r="AN41" s="11" t="s">
        <v>62</v>
      </c>
      <c r="AO41" s="11" t="s">
        <v>56</v>
      </c>
      <c r="AP41" s="11" t="s">
        <v>56</v>
      </c>
      <c r="AQ41" s="7" t="str">
        <f>IFERROR(__xludf.DUMMYFUNCTION("IF(REGEXMATCH($AL41, ""No Repo""), ""Yes"", ""No"")"),"Yes")</f>
        <v>Yes</v>
      </c>
      <c r="AR41" s="7" t="str">
        <f>IFERROR(__xludf.DUMMYFUNCTION("IF(REGEXMATCH($AL41, ""Hyperparameters""), ""Yes"", ""No"")"),"Yes")</f>
        <v>Yes</v>
      </c>
      <c r="AS41" s="7" t="str">
        <f>IFERROR(__xludf.DUMMYFUNCTION("IF(REGEXMATCH($AL41, ""Filtering Details""), ""Yes"", ""No"")"),"Yes")</f>
        <v>Yes</v>
      </c>
    </row>
    <row r="42" ht="28.5" customHeight="1">
      <c r="A42" s="5" t="str">
        <f>HYPERLINK("https://papers.nips.cc/paper/6284-latent-attention-for-if-then-program-synthesis","Latent attention for if-then program synthesis")</f>
        <v>Latent attention for if-then program synthesis</v>
      </c>
      <c r="B42" s="6" t="s">
        <v>171</v>
      </c>
      <c r="C42" s="6">
        <v>2016.0</v>
      </c>
      <c r="D42" s="6" t="s">
        <v>46</v>
      </c>
      <c r="E42" s="6" t="s">
        <v>466</v>
      </c>
      <c r="F42" s="6" t="s">
        <v>467</v>
      </c>
      <c r="G42" s="6" t="s">
        <v>468</v>
      </c>
      <c r="H42" s="6" t="s">
        <v>469</v>
      </c>
      <c r="I42" s="7" t="s">
        <v>470</v>
      </c>
      <c r="J42" s="7" t="s">
        <v>471</v>
      </c>
      <c r="K42" s="7" t="s">
        <v>472</v>
      </c>
      <c r="L42" s="6" t="s">
        <v>473</v>
      </c>
      <c r="M42" s="6" t="s">
        <v>17</v>
      </c>
      <c r="N42" s="7" t="s">
        <v>55</v>
      </c>
      <c r="O42" s="7" t="s">
        <v>56</v>
      </c>
      <c r="P42" s="7" t="s">
        <v>56</v>
      </c>
      <c r="Q42" s="7" t="s">
        <v>56</v>
      </c>
      <c r="R42" s="7" t="str">
        <f>IFERROR(__xludf.DUMMYFUNCTION("IF(REGEXMATCH(M42, ""Accuracy""), ""Yes"", ""No"")"),"Yes")</f>
        <v>Yes</v>
      </c>
      <c r="S42" s="7" t="str">
        <f>IFERROR(__xludf.DUMMYFUNCTION("IF(REGEXMATCH(M42, ""Precision""), ""Yes"", ""No"")"),"No")</f>
        <v>No</v>
      </c>
      <c r="T42" s="7" t="str">
        <f>IFERROR(__xludf.DUMMYFUNCTION("IF(REGEXMATCH(M42, ""Recall""), ""Yes"", ""No"")"),"No")</f>
        <v>No</v>
      </c>
      <c r="U42" s="7" t="str">
        <f>IFERROR(__xludf.DUMMYFUNCTION("IF(REGEXMATCH(M42, ""F1 Measure""), ""Yes"", ""No"")"),"No")</f>
        <v>No</v>
      </c>
      <c r="V42" s="7" t="s">
        <v>79</v>
      </c>
      <c r="W42" s="7" t="s">
        <v>55</v>
      </c>
      <c r="X42" s="7" t="s">
        <v>55</v>
      </c>
      <c r="Y42" s="7" t="s">
        <v>59</v>
      </c>
      <c r="Z42" s="7" t="s">
        <v>55</v>
      </c>
      <c r="AA42" s="7" t="s">
        <v>180</v>
      </c>
      <c r="AB42" s="7" t="s">
        <v>29</v>
      </c>
      <c r="AC42" s="7" t="s">
        <v>55</v>
      </c>
      <c r="AD42" s="7" t="s">
        <v>62</v>
      </c>
      <c r="AE42" s="7" t="s">
        <v>56</v>
      </c>
      <c r="AF42" s="7" t="s">
        <v>56</v>
      </c>
      <c r="AG42" s="7" t="s">
        <v>56</v>
      </c>
      <c r="AH42" s="7" t="s">
        <v>100</v>
      </c>
      <c r="AI42" s="7" t="s">
        <v>64</v>
      </c>
      <c r="AJ42" s="7" t="s">
        <v>101</v>
      </c>
      <c r="AK42" s="7" t="s">
        <v>158</v>
      </c>
      <c r="AL42" s="7" t="s">
        <v>67</v>
      </c>
      <c r="AM42" s="7" t="str">
        <f>IFERROR(__xludf.DUMMYFUNCTION("IF(REGEXMATCH($AL42, ""Reproducible""), ""Yes"", ""No"")"),"No")</f>
        <v>No</v>
      </c>
      <c r="AN42" s="7" t="s">
        <v>56</v>
      </c>
      <c r="AO42" s="7" t="s">
        <v>56</v>
      </c>
      <c r="AP42" s="7" t="s">
        <v>56</v>
      </c>
      <c r="AQ42" s="7" t="str">
        <f>IFERROR(__xludf.DUMMYFUNCTION("IF(REGEXMATCH($AL42, ""No Repo""), ""Yes"", ""No"")"),"Yes")</f>
        <v>Yes</v>
      </c>
      <c r="AR42" s="7" t="str">
        <f>IFERROR(__xludf.DUMMYFUNCTION("IF(REGEXMATCH($AL42, ""Hyperparameters""), ""Yes"", ""No"")"),"No")</f>
        <v>No</v>
      </c>
      <c r="AS42" s="7" t="str">
        <f>IFERROR(__xludf.DUMMYFUNCTION("IF(REGEXMATCH($AL42, ""Filtering Details""), ""Yes"", ""No"")"),"Yes")</f>
        <v>Yes</v>
      </c>
    </row>
    <row r="43" ht="28.5" customHeight="1">
      <c r="A43" s="16" t="str">
        <f>HYPERLINK("https://dl-acm-org.proxy.wm.edu/citation.cfm?id=3155573","Learn&amp;Fuzz: Machine learning for input fuzzing")</f>
        <v>Learn&amp;Fuzz: Machine learning for input fuzzing</v>
      </c>
      <c r="B43" s="14" t="s">
        <v>103</v>
      </c>
      <c r="C43" s="14">
        <v>2017.0</v>
      </c>
      <c r="D43" s="6" t="s">
        <v>46</v>
      </c>
      <c r="E43" s="14" t="s">
        <v>474</v>
      </c>
      <c r="F43" s="14" t="s">
        <v>475</v>
      </c>
      <c r="G43" s="11" t="s">
        <v>476</v>
      </c>
      <c r="H43" s="14" t="s">
        <v>477</v>
      </c>
      <c r="I43" s="11" t="s">
        <v>478</v>
      </c>
      <c r="J43" s="14" t="s">
        <v>55</v>
      </c>
      <c r="K43" s="14" t="s">
        <v>479</v>
      </c>
      <c r="L43" s="14" t="s">
        <v>480</v>
      </c>
      <c r="M43" s="11" t="s">
        <v>481</v>
      </c>
      <c r="N43" s="7" t="s">
        <v>95</v>
      </c>
      <c r="O43" s="7" t="s">
        <v>56</v>
      </c>
      <c r="P43" s="7" t="s">
        <v>56</v>
      </c>
      <c r="Q43" s="11" t="s">
        <v>56</v>
      </c>
      <c r="R43" s="7" t="str">
        <f>IFERROR(__xludf.DUMMYFUNCTION("IF(REGEXMATCH(M43, ""Accuracy""), ""Yes"", ""No"")"),"No")</f>
        <v>No</v>
      </c>
      <c r="S43" s="7" t="str">
        <f>IFERROR(__xludf.DUMMYFUNCTION("IF(REGEXMATCH(M43, ""Precision""), ""Yes"", ""No"")"),"No")</f>
        <v>No</v>
      </c>
      <c r="T43" s="7" t="str">
        <f>IFERROR(__xludf.DUMMYFUNCTION("IF(REGEXMATCH(M43, ""Recall""), ""Yes"", ""No"")"),"No")</f>
        <v>No</v>
      </c>
      <c r="U43" s="7" t="str">
        <f>IFERROR(__xludf.DUMMYFUNCTION("IF(REGEXMATCH(M43, ""F1 Measure""), ""Yes"", ""No"")"),"No")</f>
        <v>No</v>
      </c>
      <c r="V43" s="11" t="s">
        <v>79</v>
      </c>
      <c r="W43" s="7" t="s">
        <v>23</v>
      </c>
      <c r="X43" s="7" t="s">
        <v>96</v>
      </c>
      <c r="Y43" s="11" t="s">
        <v>482</v>
      </c>
      <c r="Z43" s="11" t="s">
        <v>482</v>
      </c>
      <c r="AA43" s="11" t="s">
        <v>188</v>
      </c>
      <c r="AB43" s="11" t="s">
        <v>483</v>
      </c>
      <c r="AC43" s="11" t="s">
        <v>55</v>
      </c>
      <c r="AD43" s="7" t="s">
        <v>56</v>
      </c>
      <c r="AE43" s="7" t="s">
        <v>56</v>
      </c>
      <c r="AF43" s="11" t="s">
        <v>56</v>
      </c>
      <c r="AG43" s="11" t="s">
        <v>62</v>
      </c>
      <c r="AH43" s="11" t="s">
        <v>484</v>
      </c>
      <c r="AI43" s="11" t="s">
        <v>64</v>
      </c>
      <c r="AJ43" s="11" t="s">
        <v>101</v>
      </c>
      <c r="AK43" s="11" t="s">
        <v>66</v>
      </c>
      <c r="AL43" s="11" t="s">
        <v>485</v>
      </c>
      <c r="AM43" s="7" t="str">
        <f>IFERROR(__xludf.DUMMYFUNCTION("IF(REGEXMATCH($AL43, ""Reproducible""), ""Yes"", ""No"")"),"No")</f>
        <v>No</v>
      </c>
      <c r="AN43" s="11" t="s">
        <v>56</v>
      </c>
      <c r="AO43" s="11" t="s">
        <v>56</v>
      </c>
      <c r="AP43" s="11" t="s">
        <v>62</v>
      </c>
      <c r="AQ43" s="7" t="str">
        <f>IFERROR(__xludf.DUMMYFUNCTION("IF(REGEXMATCH($AL43, ""No Repo""), ""Yes"", ""No"")"),"Yes")</f>
        <v>Yes</v>
      </c>
      <c r="AR43" s="7" t="str">
        <f>IFERROR(__xludf.DUMMYFUNCTION("IF(REGEXMATCH($AL43, ""Hyperparameters""), ""Yes"", ""No"")"),"No")</f>
        <v>No</v>
      </c>
      <c r="AS43" s="7" t="str">
        <f>IFERROR(__xludf.DUMMYFUNCTION("IF(REGEXMATCH($AL43, ""Filtering Details""), ""Yes"", ""No"")"),"No")</f>
        <v>No</v>
      </c>
    </row>
    <row r="44" ht="28.5" customHeight="1">
      <c r="A44" s="5" t="str">
        <f>HYPERLINK("https://ieeexplore.ieee.org/document/7582810","Learning a dual-language vector space for domain-specific cross-lingual question retrieval")</f>
        <v>Learning a dual-language vector space for domain-specific cross-lingual question retrieval</v>
      </c>
      <c r="B44" s="6" t="s">
        <v>103</v>
      </c>
      <c r="C44" s="6">
        <v>2016.0</v>
      </c>
      <c r="D44" s="6" t="s">
        <v>46</v>
      </c>
      <c r="E44" s="6" t="s">
        <v>486</v>
      </c>
      <c r="F44" s="6" t="s">
        <v>487</v>
      </c>
      <c r="G44" s="6" t="s">
        <v>488</v>
      </c>
      <c r="H44" s="6" t="s">
        <v>55</v>
      </c>
      <c r="I44" s="6" t="s">
        <v>489</v>
      </c>
      <c r="J44" s="7" t="s">
        <v>490</v>
      </c>
      <c r="K44" s="6" t="s">
        <v>491</v>
      </c>
      <c r="L44" s="6" t="s">
        <v>492</v>
      </c>
      <c r="M44" s="7" t="s">
        <v>17</v>
      </c>
      <c r="N44" s="7" t="s">
        <v>55</v>
      </c>
      <c r="O44" s="7" t="s">
        <v>56</v>
      </c>
      <c r="P44" s="7" t="s">
        <v>56</v>
      </c>
      <c r="Q44" s="7" t="s">
        <v>56</v>
      </c>
      <c r="R44" s="7" t="str">
        <f>IFERROR(__xludf.DUMMYFUNCTION("IF(REGEXMATCH(M44, ""Accuracy""), ""Yes"", ""No"")"),"Yes")</f>
        <v>Yes</v>
      </c>
      <c r="S44" s="7" t="str">
        <f>IFERROR(__xludf.DUMMYFUNCTION("IF(REGEXMATCH(M44, ""Precision""), ""Yes"", ""No"")"),"No")</f>
        <v>No</v>
      </c>
      <c r="T44" s="7" t="str">
        <f>IFERROR(__xludf.DUMMYFUNCTION("IF(REGEXMATCH(M44, ""Recall""), ""Yes"", ""No"")"),"No")</f>
        <v>No</v>
      </c>
      <c r="U44" s="7" t="str">
        <f>IFERROR(__xludf.DUMMYFUNCTION("IF(REGEXMATCH(M44, ""F1 Measure""), ""Yes"", ""No"")"),"No")</f>
        <v>No</v>
      </c>
      <c r="V44" s="7" t="s">
        <v>79</v>
      </c>
      <c r="W44" s="7" t="s">
        <v>23</v>
      </c>
      <c r="X44" s="7" t="s">
        <v>96</v>
      </c>
      <c r="Y44" s="7" t="s">
        <v>59</v>
      </c>
      <c r="Z44" s="7" t="s">
        <v>265</v>
      </c>
      <c r="AA44" s="7" t="s">
        <v>493</v>
      </c>
      <c r="AB44" s="7" t="s">
        <v>483</v>
      </c>
      <c r="AC44" s="7" t="s">
        <v>55</v>
      </c>
      <c r="AD44" s="7" t="s">
        <v>56</v>
      </c>
      <c r="AE44" s="7" t="s">
        <v>56</v>
      </c>
      <c r="AF44" s="7" t="s">
        <v>56</v>
      </c>
      <c r="AG44" s="7" t="s">
        <v>62</v>
      </c>
      <c r="AH44" s="7" t="s">
        <v>100</v>
      </c>
      <c r="AI44" s="7" t="s">
        <v>64</v>
      </c>
      <c r="AJ44" s="7" t="s">
        <v>65</v>
      </c>
      <c r="AK44" s="7" t="s">
        <v>118</v>
      </c>
      <c r="AL44" s="7" t="s">
        <v>214</v>
      </c>
      <c r="AM44" s="7" t="str">
        <f>IFERROR(__xludf.DUMMYFUNCTION("IF(REGEXMATCH($AL44, ""Reproducible""), ""Yes"", ""No"")"),"No")</f>
        <v>No</v>
      </c>
      <c r="AN44" s="7" t="s">
        <v>56</v>
      </c>
      <c r="AO44" s="7" t="s">
        <v>56</v>
      </c>
      <c r="AP44" s="7" t="s">
        <v>62</v>
      </c>
      <c r="AQ44" s="7" t="str">
        <f>IFERROR(__xludf.DUMMYFUNCTION("IF(REGEXMATCH($AL44, ""No Repo""), ""Yes"", ""No"")"),"No")</f>
        <v>No</v>
      </c>
      <c r="AR44" s="7" t="str">
        <f>IFERROR(__xludf.DUMMYFUNCTION("IF(REGEXMATCH($AL44, ""Hyperparameters""), ""Yes"", ""No"")"),"No")</f>
        <v>No</v>
      </c>
      <c r="AS44" s="7" t="str">
        <f>IFERROR(__xludf.DUMMYFUNCTION("IF(REGEXMATCH($AL44, ""Filtering Details""), ""Yes"", ""No"")"),"Yes")</f>
        <v>Yes</v>
      </c>
    </row>
    <row r="45" ht="28.5" customHeight="1">
      <c r="A45" s="21" t="str">
        <f>HYPERLINK("https://papers.nips.cc/paper/8006-learning-libraries-of-subroutines-for-neurallyguided-bayesian-program-induction","Learning Libraries of Subroutines for Neurally–Guided Bayesian Program Induction")</f>
        <v>Learning Libraries of Subroutines for Neurally–Guided Bayesian Program Induction</v>
      </c>
      <c r="B45" s="11" t="s">
        <v>171</v>
      </c>
      <c r="C45" s="11">
        <v>2018.0</v>
      </c>
      <c r="D45" s="14" t="s">
        <v>85</v>
      </c>
      <c r="E45" s="11" t="s">
        <v>494</v>
      </c>
      <c r="F45" s="11" t="s">
        <v>495</v>
      </c>
      <c r="G45" s="11" t="s">
        <v>55</v>
      </c>
      <c r="H45" s="11" t="s">
        <v>55</v>
      </c>
      <c r="I45" s="11" t="s">
        <v>496</v>
      </c>
      <c r="J45" s="11" t="s">
        <v>497</v>
      </c>
      <c r="K45" s="11" t="s">
        <v>55</v>
      </c>
      <c r="L45" s="11" t="s">
        <v>55</v>
      </c>
      <c r="M45" s="11" t="s">
        <v>498</v>
      </c>
      <c r="N45" s="7" t="s">
        <v>95</v>
      </c>
      <c r="O45" s="7" t="s">
        <v>56</v>
      </c>
      <c r="P45" s="7" t="s">
        <v>56</v>
      </c>
      <c r="Q45" s="11" t="s">
        <v>56</v>
      </c>
      <c r="R45" s="7" t="str">
        <f>IFERROR(__xludf.DUMMYFUNCTION("IF(REGEXMATCH(M45, ""Accuracy""), ""Yes"", ""No"")"),"No")</f>
        <v>No</v>
      </c>
      <c r="S45" s="7" t="str">
        <f>IFERROR(__xludf.DUMMYFUNCTION("IF(REGEXMATCH(M45, ""Precision""), ""Yes"", ""No"")"),"No")</f>
        <v>No</v>
      </c>
      <c r="T45" s="7" t="str">
        <f>IFERROR(__xludf.DUMMYFUNCTION("IF(REGEXMATCH(M45, ""Recall""), ""Yes"", ""No"")"),"No")</f>
        <v>No</v>
      </c>
      <c r="U45" s="7" t="str">
        <f>IFERROR(__xludf.DUMMYFUNCTION("IF(REGEXMATCH(M45, ""F1 Measure""), ""Yes"", ""No"")"),"No")</f>
        <v>No</v>
      </c>
      <c r="V45" s="11" t="s">
        <v>231</v>
      </c>
      <c r="W45" s="11" t="s">
        <v>55</v>
      </c>
      <c r="X45" s="15" t="s">
        <v>55</v>
      </c>
      <c r="Y45" s="11" t="s">
        <v>59</v>
      </c>
      <c r="Z45" s="11" t="s">
        <v>145</v>
      </c>
      <c r="AA45" s="11" t="s">
        <v>180</v>
      </c>
      <c r="AB45" s="11" t="s">
        <v>29</v>
      </c>
      <c r="AC45" s="7" t="s">
        <v>55</v>
      </c>
      <c r="AD45" s="7" t="s">
        <v>62</v>
      </c>
      <c r="AE45" s="7" t="s">
        <v>56</v>
      </c>
      <c r="AF45" s="11" t="s">
        <v>56</v>
      </c>
      <c r="AG45" s="11" t="s">
        <v>56</v>
      </c>
      <c r="AH45" s="11" t="s">
        <v>465</v>
      </c>
      <c r="AI45" s="11" t="s">
        <v>64</v>
      </c>
      <c r="AJ45" s="11" t="s">
        <v>101</v>
      </c>
      <c r="AK45" s="11" t="s">
        <v>83</v>
      </c>
      <c r="AL45" s="11" t="s">
        <v>499</v>
      </c>
      <c r="AM45" s="7" t="str">
        <f>IFERROR(__xludf.DUMMYFUNCTION("IF(REGEXMATCH($AL45, ""Reproducible""), ""Yes"", ""No"")"),"No")</f>
        <v>No</v>
      </c>
      <c r="AN45" s="11" t="s">
        <v>56</v>
      </c>
      <c r="AO45" s="11" t="s">
        <v>62</v>
      </c>
      <c r="AP45" s="11" t="s">
        <v>56</v>
      </c>
      <c r="AQ45" s="7" t="str">
        <f>IFERROR(__xludf.DUMMYFUNCTION("IF(REGEXMATCH($AL45, ""No Repo""), ""Yes"", ""No"")"),"Yes")</f>
        <v>Yes</v>
      </c>
      <c r="AR45" s="7" t="str">
        <f>IFERROR(__xludf.DUMMYFUNCTION("IF(REGEXMATCH($AL45, ""Hyperparameters""), ""Yes"", ""No"")"),"Yes")</f>
        <v>Yes</v>
      </c>
      <c r="AS45" s="7" t="str">
        <f>IFERROR(__xludf.DUMMYFUNCTION("IF(REGEXMATCH($AL45, ""Filtering Details""), ""Yes"", ""No"")"),"Yes")</f>
        <v>Yes</v>
      </c>
    </row>
    <row r="46" ht="28.5" customHeight="1">
      <c r="A46" s="21" t="str">
        <f>HYPERLINK("https://papers.nips.cc/paper/8001-learning-loop-invariants-for-program-verification","Learning loop invariants for program verification")</f>
        <v>Learning loop invariants for program verification</v>
      </c>
      <c r="B46" s="11" t="s">
        <v>171</v>
      </c>
      <c r="C46" s="11">
        <v>2018.0</v>
      </c>
      <c r="D46" s="14" t="s">
        <v>85</v>
      </c>
      <c r="E46" s="11" t="s">
        <v>500</v>
      </c>
      <c r="F46" s="11" t="s">
        <v>55</v>
      </c>
      <c r="G46" s="11" t="s">
        <v>501</v>
      </c>
      <c r="H46" s="11" t="s">
        <v>502</v>
      </c>
      <c r="I46" s="11" t="s">
        <v>503</v>
      </c>
      <c r="J46" s="11" t="s">
        <v>504</v>
      </c>
      <c r="K46" s="11" t="s">
        <v>505</v>
      </c>
      <c r="L46" s="11" t="s">
        <v>506</v>
      </c>
      <c r="M46" s="11" t="s">
        <v>507</v>
      </c>
      <c r="N46" s="7" t="s">
        <v>95</v>
      </c>
      <c r="O46" s="7" t="s">
        <v>56</v>
      </c>
      <c r="P46" s="7" t="s">
        <v>56</v>
      </c>
      <c r="Q46" s="11" t="s">
        <v>56</v>
      </c>
      <c r="R46" s="7" t="str">
        <f>IFERROR(__xludf.DUMMYFUNCTION("IF(REGEXMATCH(M46, ""Accuracy""), ""Yes"", ""No"")"),"No")</f>
        <v>No</v>
      </c>
      <c r="S46" s="7" t="str">
        <f>IFERROR(__xludf.DUMMYFUNCTION("IF(REGEXMATCH(M46, ""Precision""), ""Yes"", ""No"")"),"No")</f>
        <v>No</v>
      </c>
      <c r="T46" s="7" t="str">
        <f>IFERROR(__xludf.DUMMYFUNCTION("IF(REGEXMATCH(M46, ""Recall""), ""Yes"", ""No"")"),"No")</f>
        <v>No</v>
      </c>
      <c r="U46" s="7" t="str">
        <f>IFERROR(__xludf.DUMMYFUNCTION("IF(REGEXMATCH(M46, ""F1 Measure""), ""Yes"", ""No"")"),"No")</f>
        <v>No</v>
      </c>
      <c r="V46" s="11" t="s">
        <v>231</v>
      </c>
      <c r="W46" s="15" t="s">
        <v>277</v>
      </c>
      <c r="X46" s="15" t="s">
        <v>55</v>
      </c>
      <c r="Y46" s="11" t="s">
        <v>385</v>
      </c>
      <c r="Z46" s="11" t="s">
        <v>508</v>
      </c>
      <c r="AA46" s="11" t="s">
        <v>188</v>
      </c>
      <c r="AB46" s="11" t="s">
        <v>31</v>
      </c>
      <c r="AC46" s="11" t="s">
        <v>55</v>
      </c>
      <c r="AD46" s="7" t="s">
        <v>56</v>
      </c>
      <c r="AE46" s="7" t="s">
        <v>56</v>
      </c>
      <c r="AF46" s="11" t="s">
        <v>62</v>
      </c>
      <c r="AG46" s="11" t="s">
        <v>56</v>
      </c>
      <c r="AH46" s="11" t="s">
        <v>63</v>
      </c>
      <c r="AI46" s="11" t="s">
        <v>509</v>
      </c>
      <c r="AJ46" s="11" t="s">
        <v>510</v>
      </c>
      <c r="AK46" s="11" t="s">
        <v>83</v>
      </c>
      <c r="AL46" s="11" t="s">
        <v>511</v>
      </c>
      <c r="AM46" s="7" t="str">
        <f>IFERROR(__xludf.DUMMYFUNCTION("IF(REGEXMATCH($AL46, ""Reproducible""), ""Yes"", ""No"")"),"No")</f>
        <v>No</v>
      </c>
      <c r="AN46" s="11" t="s">
        <v>62</v>
      </c>
      <c r="AO46" s="11" t="s">
        <v>56</v>
      </c>
      <c r="AP46" s="11" t="s">
        <v>56</v>
      </c>
      <c r="AQ46" s="7" t="str">
        <f>IFERROR(__xludf.DUMMYFUNCTION("IF(REGEXMATCH($AL46, ""No Repo""), ""Yes"", ""No"")"),"No")</f>
        <v>No</v>
      </c>
      <c r="AR46" s="7" t="str">
        <f>IFERROR(__xludf.DUMMYFUNCTION("IF(REGEXMATCH($AL46, ""Hyperparameters""), ""Yes"", ""No"")"),"No")</f>
        <v>No</v>
      </c>
      <c r="AS46" s="7" t="str">
        <f>IFERROR(__xludf.DUMMYFUNCTION("IF(REGEXMATCH($AL46, ""Filtering Details""), ""Yes"", ""No"")"),"Yes")</f>
        <v>Yes</v>
      </c>
    </row>
    <row r="47" ht="28.5" customHeight="1">
      <c r="A47" s="5" t="str">
        <f>HYPERLINK("http://proceedings.mlr.press/v37/piech15.html","Learning program embeddings to propagate feedback on student code")</f>
        <v>Learning program embeddings to propagate feedback on student code</v>
      </c>
      <c r="B47" s="6" t="s">
        <v>45</v>
      </c>
      <c r="C47" s="6">
        <v>2015.0</v>
      </c>
      <c r="D47" s="6" t="s">
        <v>46</v>
      </c>
      <c r="E47" s="6" t="s">
        <v>512</v>
      </c>
      <c r="F47" s="6" t="s">
        <v>513</v>
      </c>
      <c r="G47" s="6" t="s">
        <v>514</v>
      </c>
      <c r="H47" s="6" t="s">
        <v>515</v>
      </c>
      <c r="I47" s="7" t="s">
        <v>516</v>
      </c>
      <c r="J47" s="7" t="s">
        <v>517</v>
      </c>
      <c r="K47" s="6" t="s">
        <v>518</v>
      </c>
      <c r="L47" s="6" t="s">
        <v>519</v>
      </c>
      <c r="M47" s="7" t="s">
        <v>17</v>
      </c>
      <c r="N47" s="7" t="s">
        <v>55</v>
      </c>
      <c r="O47" s="7" t="s">
        <v>56</v>
      </c>
      <c r="P47" s="7" t="s">
        <v>56</v>
      </c>
      <c r="Q47" s="7" t="s">
        <v>56</v>
      </c>
      <c r="R47" s="7" t="str">
        <f>IFERROR(__xludf.DUMMYFUNCTION("IF(REGEXMATCH(M47, ""Accuracy""), ""Yes"", ""No"")"),"Yes")</f>
        <v>Yes</v>
      </c>
      <c r="S47" s="7" t="str">
        <f>IFERROR(__xludf.DUMMYFUNCTION("IF(REGEXMATCH(M47, ""Precision""), ""Yes"", ""No"")"),"No")</f>
        <v>No</v>
      </c>
      <c r="T47" s="7" t="str">
        <f>IFERROR(__xludf.DUMMYFUNCTION("IF(REGEXMATCH(M47, ""Recall""), ""Yes"", ""No"")"),"No")</f>
        <v>No</v>
      </c>
      <c r="U47" s="7" t="str">
        <f>IFERROR(__xludf.DUMMYFUNCTION("IF(REGEXMATCH(M47, ""F1 Measure""), ""Yes"", ""No"")"),"No")</f>
        <v>No</v>
      </c>
      <c r="V47" s="7" t="s">
        <v>79</v>
      </c>
      <c r="W47" s="7" t="s">
        <v>23</v>
      </c>
      <c r="X47" s="7" t="s">
        <v>210</v>
      </c>
      <c r="Y47" s="7" t="s">
        <v>59</v>
      </c>
      <c r="Z47" s="7" t="s">
        <v>145</v>
      </c>
      <c r="AA47" s="7" t="s">
        <v>342</v>
      </c>
      <c r="AB47" s="7" t="s">
        <v>31</v>
      </c>
      <c r="AC47" s="7" t="s">
        <v>55</v>
      </c>
      <c r="AD47" s="7" t="s">
        <v>56</v>
      </c>
      <c r="AE47" s="7" t="s">
        <v>56</v>
      </c>
      <c r="AF47" s="7" t="s">
        <v>62</v>
      </c>
      <c r="AG47" s="7" t="s">
        <v>56</v>
      </c>
      <c r="AH47" s="7" t="s">
        <v>358</v>
      </c>
      <c r="AI47" s="7" t="s">
        <v>64</v>
      </c>
      <c r="AJ47" s="7" t="s">
        <v>128</v>
      </c>
      <c r="AK47" s="7" t="s">
        <v>102</v>
      </c>
      <c r="AL47" s="7" t="s">
        <v>67</v>
      </c>
      <c r="AM47" s="7" t="str">
        <f>IFERROR(__xludf.DUMMYFUNCTION("IF(REGEXMATCH($AL47, ""Reproducible""), ""Yes"", ""No"")"),"No")</f>
        <v>No</v>
      </c>
      <c r="AN47" s="7" t="s">
        <v>56</v>
      </c>
      <c r="AO47" s="7" t="s">
        <v>56</v>
      </c>
      <c r="AP47" s="7" t="s">
        <v>56</v>
      </c>
      <c r="AQ47" s="7" t="str">
        <f>IFERROR(__xludf.DUMMYFUNCTION("IF(REGEXMATCH($AL47, ""No Repo""), ""Yes"", ""No"")"),"Yes")</f>
        <v>Yes</v>
      </c>
      <c r="AR47" s="7" t="str">
        <f>IFERROR(__xludf.DUMMYFUNCTION("IF(REGEXMATCH($AL47, ""Hyperparameters""), ""Yes"", ""No"")"),"No")</f>
        <v>No</v>
      </c>
      <c r="AS47" s="7" t="str">
        <f>IFERROR(__xludf.DUMMYFUNCTION("IF(REGEXMATCH($AL47, ""Filtering Details""), ""Yes"", ""No"")"),"Yes")</f>
        <v>Yes</v>
      </c>
    </row>
    <row r="48" ht="28.5" customHeight="1">
      <c r="A48" s="16" t="str">
        <f>HYPERLINK("http://proceedings.mlr.press/v70/levy17a.html","Learning to align the source code to the compiled object code")</f>
        <v>Learning to align the source code to the compiled object code</v>
      </c>
      <c r="B48" s="6" t="s">
        <v>45</v>
      </c>
      <c r="C48" s="14">
        <v>2017.0</v>
      </c>
      <c r="D48" s="6" t="s">
        <v>46</v>
      </c>
      <c r="E48" s="14" t="s">
        <v>520</v>
      </c>
      <c r="F48" s="14" t="s">
        <v>521</v>
      </c>
      <c r="G48" s="14" t="s">
        <v>522</v>
      </c>
      <c r="H48" s="14" t="s">
        <v>523</v>
      </c>
      <c r="I48" s="14" t="s">
        <v>524</v>
      </c>
      <c r="J48" s="11" t="s">
        <v>525</v>
      </c>
      <c r="K48" s="14" t="s">
        <v>55</v>
      </c>
      <c r="L48" s="14" t="s">
        <v>526</v>
      </c>
      <c r="M48" s="11" t="s">
        <v>17</v>
      </c>
      <c r="N48" s="11" t="s">
        <v>55</v>
      </c>
      <c r="O48" s="7" t="s">
        <v>56</v>
      </c>
      <c r="P48" s="7" t="s">
        <v>56</v>
      </c>
      <c r="Q48" s="11" t="s">
        <v>56</v>
      </c>
      <c r="R48" s="7" t="str">
        <f>IFERROR(__xludf.DUMMYFUNCTION("IF(REGEXMATCH(M48, ""Accuracy""), ""Yes"", ""No"")"),"Yes")</f>
        <v>Yes</v>
      </c>
      <c r="S48" s="7" t="str">
        <f>IFERROR(__xludf.DUMMYFUNCTION("IF(REGEXMATCH(M48, ""Precision""), ""Yes"", ""No"")"),"No")</f>
        <v>No</v>
      </c>
      <c r="T48" s="7" t="str">
        <f>IFERROR(__xludf.DUMMYFUNCTION("IF(REGEXMATCH(M48, ""Recall""), ""Yes"", ""No"")"),"No")</f>
        <v>No</v>
      </c>
      <c r="U48" s="7" t="str">
        <f>IFERROR(__xludf.DUMMYFUNCTION("IF(REGEXMATCH(M48, ""F1 Measure""), ""Yes"", ""No"")"),"No")</f>
        <v>No</v>
      </c>
      <c r="V48" s="11" t="s">
        <v>79</v>
      </c>
      <c r="W48" s="11" t="s">
        <v>55</v>
      </c>
      <c r="X48" s="7" t="s">
        <v>55</v>
      </c>
      <c r="Y48" s="11" t="s">
        <v>59</v>
      </c>
      <c r="Z48" s="11" t="s">
        <v>97</v>
      </c>
      <c r="AA48" s="11" t="s">
        <v>342</v>
      </c>
      <c r="AB48" s="11" t="s">
        <v>31</v>
      </c>
      <c r="AC48" s="11" t="s">
        <v>55</v>
      </c>
      <c r="AD48" s="7" t="s">
        <v>56</v>
      </c>
      <c r="AE48" s="7" t="s">
        <v>56</v>
      </c>
      <c r="AF48" s="11" t="s">
        <v>62</v>
      </c>
      <c r="AG48" s="11" t="s">
        <v>56</v>
      </c>
      <c r="AH48" s="11" t="s">
        <v>63</v>
      </c>
      <c r="AI48" s="11" t="s">
        <v>64</v>
      </c>
      <c r="AJ48" s="7" t="s">
        <v>128</v>
      </c>
      <c r="AK48" s="7" t="s">
        <v>66</v>
      </c>
      <c r="AL48" s="7" t="s">
        <v>200</v>
      </c>
      <c r="AM48" s="7" t="str">
        <f>IFERROR(__xludf.DUMMYFUNCTION("IF(REGEXMATCH($AL48, ""Reproducible""), ""Yes"", ""No"")"),"No")</f>
        <v>No</v>
      </c>
      <c r="AN48" s="7" t="s">
        <v>56</v>
      </c>
      <c r="AO48" s="7" t="s">
        <v>56</v>
      </c>
      <c r="AP48" s="7" t="s">
        <v>56</v>
      </c>
      <c r="AQ48" s="7" t="str">
        <f>IFERROR(__xludf.DUMMYFUNCTION("IF(REGEXMATCH($AL48, ""No Repo""), ""Yes"", ""No"")"),"Yes")</f>
        <v>Yes</v>
      </c>
      <c r="AR48" s="7" t="str">
        <f>IFERROR(__xludf.DUMMYFUNCTION("IF(REGEXMATCH($AL48, ""Hyperparameters""), ""Yes"", ""No"")"),"Yes")</f>
        <v>Yes</v>
      </c>
      <c r="AS48" s="7" t="str">
        <f>IFERROR(__xludf.DUMMYFUNCTION("IF(REGEXMATCH($AL48, ""Filtering Details""), ""Yes"", ""No"")"),"No")</f>
        <v>No</v>
      </c>
    </row>
    <row r="49" ht="28.5" customHeight="1">
      <c r="A49" s="21" t="str">
        <f>HYPERLINK("https://papers.nips.cc/paper/7845-learning-to-infer-graphics-programs-from-hand-drawn-images","Learning to infer graphics programs from hand-drawn images")</f>
        <v>Learning to infer graphics programs from hand-drawn images</v>
      </c>
      <c r="B49" s="11" t="s">
        <v>171</v>
      </c>
      <c r="C49" s="11">
        <v>2018.0</v>
      </c>
      <c r="D49" s="14" t="s">
        <v>85</v>
      </c>
      <c r="E49" s="11" t="s">
        <v>527</v>
      </c>
      <c r="F49" s="11" t="s">
        <v>528</v>
      </c>
      <c r="G49" s="11" t="s">
        <v>55</v>
      </c>
      <c r="H49" s="11" t="s">
        <v>529</v>
      </c>
      <c r="I49" s="11" t="s">
        <v>530</v>
      </c>
      <c r="J49" s="11" t="s">
        <v>531</v>
      </c>
      <c r="K49" s="11" t="s">
        <v>55</v>
      </c>
      <c r="L49" s="11" t="s">
        <v>55</v>
      </c>
      <c r="M49" s="11" t="s">
        <v>532</v>
      </c>
      <c r="N49" s="7" t="s">
        <v>95</v>
      </c>
      <c r="O49" s="7" t="s">
        <v>56</v>
      </c>
      <c r="P49" s="7" t="s">
        <v>56</v>
      </c>
      <c r="Q49" s="11" t="s">
        <v>56</v>
      </c>
      <c r="R49" s="7" t="str">
        <f>IFERROR(__xludf.DUMMYFUNCTION("IF(REGEXMATCH(M49, ""Accuracy""), ""Yes"", ""No"")"),"Yes")</f>
        <v>Yes</v>
      </c>
      <c r="S49" s="7" t="str">
        <f>IFERROR(__xludf.DUMMYFUNCTION("IF(REGEXMATCH(M49, ""Precision""), ""Yes"", ""No"")"),"No")</f>
        <v>No</v>
      </c>
      <c r="T49" s="7" t="str">
        <f>IFERROR(__xludf.DUMMYFUNCTION("IF(REGEXMATCH(M49, ""Recall""), ""Yes"", ""No"")"),"No")</f>
        <v>No</v>
      </c>
      <c r="U49" s="7" t="str">
        <f>IFERROR(__xludf.DUMMYFUNCTION("IF(REGEXMATCH(M49, ""F1 Measure""), ""Yes"", ""No"")"),"No")</f>
        <v>No</v>
      </c>
      <c r="V49" s="11" t="s">
        <v>79</v>
      </c>
      <c r="W49" s="11" t="s">
        <v>55</v>
      </c>
      <c r="X49" s="15" t="s">
        <v>55</v>
      </c>
      <c r="Y49" s="11" t="s">
        <v>533</v>
      </c>
      <c r="Z49" s="11" t="s">
        <v>534</v>
      </c>
      <c r="AA49" s="11" t="s">
        <v>180</v>
      </c>
      <c r="AB49" s="11" t="s">
        <v>30</v>
      </c>
      <c r="AC49" s="11" t="s">
        <v>55</v>
      </c>
      <c r="AD49" s="7" t="s">
        <v>56</v>
      </c>
      <c r="AE49" s="11" t="s">
        <v>62</v>
      </c>
      <c r="AF49" s="11" t="s">
        <v>56</v>
      </c>
      <c r="AG49" s="11" t="s">
        <v>56</v>
      </c>
      <c r="AH49" s="11" t="s">
        <v>465</v>
      </c>
      <c r="AI49" s="11" t="s">
        <v>64</v>
      </c>
      <c r="AJ49" s="11" t="s">
        <v>535</v>
      </c>
      <c r="AK49" s="11" t="s">
        <v>66</v>
      </c>
      <c r="AL49" s="11" t="s">
        <v>536</v>
      </c>
      <c r="AM49" s="7" t="str">
        <f>IFERROR(__xludf.DUMMYFUNCTION("IF(REGEXMATCH($AL49, ""Reproducible""), ""Yes"", ""No"")"),"No")</f>
        <v>No</v>
      </c>
      <c r="AN49" s="11" t="s">
        <v>56</v>
      </c>
      <c r="AO49" s="11" t="s">
        <v>62</v>
      </c>
      <c r="AP49" s="11" t="s">
        <v>56</v>
      </c>
      <c r="AQ49" s="7" t="str">
        <f>IFERROR(__xludf.DUMMYFUNCTION("IF(REGEXMATCH($AL49, ""No Repo""), ""Yes"", ""No"")"),"No")</f>
        <v>No</v>
      </c>
      <c r="AR49" s="7" t="str">
        <f>IFERROR(__xludf.DUMMYFUNCTION("IF(REGEXMATCH($AL49, ""Hyperparameters""), ""Yes"", ""No"")"),"Yes")</f>
        <v>Yes</v>
      </c>
      <c r="AS49" s="7" t="str">
        <f>IFERROR(__xludf.DUMMYFUNCTION("IF(REGEXMATCH($AL49, ""Filtering Details""), ""Yes"", ""No"")"),"Yes")</f>
        <v>Yes</v>
      </c>
    </row>
    <row r="50" ht="28.5" customHeight="1">
      <c r="A50" s="16" t="str">
        <f>HYPERLINK("https://ieeexplore.ieee.org/document/8094415","Learning to Predict Severity of Software Vulnerability Using Only Vulnerability Description")</f>
        <v>Learning to Predict Severity of Software Vulnerability Using Only Vulnerability Description</v>
      </c>
      <c r="B50" s="11" t="s">
        <v>235</v>
      </c>
      <c r="C50" s="14">
        <v>2017.0</v>
      </c>
      <c r="D50" s="14" t="s">
        <v>85</v>
      </c>
      <c r="E50" s="14" t="s">
        <v>537</v>
      </c>
      <c r="F50" s="14" t="s">
        <v>538</v>
      </c>
      <c r="G50" s="14" t="s">
        <v>539</v>
      </c>
      <c r="H50" s="14" t="s">
        <v>540</v>
      </c>
      <c r="I50" s="14" t="s">
        <v>541</v>
      </c>
      <c r="J50" s="11" t="s">
        <v>542</v>
      </c>
      <c r="K50" s="14" t="s">
        <v>543</v>
      </c>
      <c r="L50" s="14" t="s">
        <v>544</v>
      </c>
      <c r="M50" s="11" t="s">
        <v>223</v>
      </c>
      <c r="N50" s="11" t="s">
        <v>55</v>
      </c>
      <c r="O50" s="7" t="s">
        <v>56</v>
      </c>
      <c r="P50" s="7" t="s">
        <v>56</v>
      </c>
      <c r="Q50" s="11" t="s">
        <v>56</v>
      </c>
      <c r="R50" s="7" t="str">
        <f>IFERROR(__xludf.DUMMYFUNCTION("IF(REGEXMATCH(M50, ""Accuracy""), ""Yes"", ""No"")"),"Yes")</f>
        <v>Yes</v>
      </c>
      <c r="S50" s="7" t="str">
        <f>IFERROR(__xludf.DUMMYFUNCTION("IF(REGEXMATCH(M50, ""Precision""), ""Yes"", ""No"")"),"Yes")</f>
        <v>Yes</v>
      </c>
      <c r="T50" s="7" t="str">
        <f>IFERROR(__xludf.DUMMYFUNCTION("IF(REGEXMATCH(M50, ""Recall""), ""Yes"", ""No"")"),"Yes")</f>
        <v>Yes</v>
      </c>
      <c r="U50" s="7" t="str">
        <f>IFERROR(__xludf.DUMMYFUNCTION("IF(REGEXMATCH(M50, ""F1 Measure""), ""Yes"", ""No"")"),"Yes")</f>
        <v>Yes</v>
      </c>
      <c r="V50" s="11" t="s">
        <v>79</v>
      </c>
      <c r="W50" s="7" t="s">
        <v>23</v>
      </c>
      <c r="X50" s="7" t="s">
        <v>96</v>
      </c>
      <c r="Y50" s="11" t="s">
        <v>59</v>
      </c>
      <c r="Z50" s="11" t="s">
        <v>545</v>
      </c>
      <c r="AA50" s="11" t="s">
        <v>169</v>
      </c>
      <c r="AB50" s="11" t="s">
        <v>483</v>
      </c>
      <c r="AC50" s="11" t="s">
        <v>55</v>
      </c>
      <c r="AD50" s="7" t="s">
        <v>56</v>
      </c>
      <c r="AE50" s="7" t="s">
        <v>56</v>
      </c>
      <c r="AF50" s="11" t="s">
        <v>56</v>
      </c>
      <c r="AG50" s="11" t="s">
        <v>62</v>
      </c>
      <c r="AH50" s="11" t="s">
        <v>100</v>
      </c>
      <c r="AI50" s="11" t="s">
        <v>64</v>
      </c>
      <c r="AJ50" s="11" t="s">
        <v>65</v>
      </c>
      <c r="AK50" s="11" t="s">
        <v>102</v>
      </c>
      <c r="AL50" s="11" t="s">
        <v>305</v>
      </c>
      <c r="AM50" s="7" t="str">
        <f>IFERROR(__xludf.DUMMYFUNCTION("IF(REGEXMATCH($AL50, ""Reproducible""), ""Yes"", ""No"")"),"No")</f>
        <v>No</v>
      </c>
      <c r="AN50" s="11" t="s">
        <v>56</v>
      </c>
      <c r="AO50" s="11" t="s">
        <v>62</v>
      </c>
      <c r="AP50" s="11" t="s">
        <v>56</v>
      </c>
      <c r="AQ50" s="7" t="str">
        <f>IFERROR(__xludf.DUMMYFUNCTION("IF(REGEXMATCH($AL50, ""No Repo""), ""Yes"", ""No"")"),"Yes")</f>
        <v>Yes</v>
      </c>
      <c r="AR50" s="7" t="str">
        <f>IFERROR(__xludf.DUMMYFUNCTION("IF(REGEXMATCH($AL50, ""Hyperparameters""), ""Yes"", ""No"")"),"Yes")</f>
        <v>Yes</v>
      </c>
      <c r="AS50" s="7" t="str">
        <f>IFERROR(__xludf.DUMMYFUNCTION("IF(REGEXMATCH($AL50, ""Filtering Details""), ""Yes"", ""No"")"),"Yes")</f>
        <v>Yes</v>
      </c>
    </row>
    <row r="51" ht="28.5" customHeight="1">
      <c r="A51" s="21" t="str">
        <f>HYPERLINK("https://papers.nips.cc/paper/8018-learning-to-repair-software-vulnerabilities-with-generative-adversarial-networks","Learning to repair software vulnerabilities with generative adversarial networks")</f>
        <v>Learning to repair software vulnerabilities with generative adversarial networks</v>
      </c>
      <c r="B51" s="11" t="s">
        <v>171</v>
      </c>
      <c r="C51" s="11">
        <v>2018.0</v>
      </c>
      <c r="D51" s="14" t="s">
        <v>85</v>
      </c>
      <c r="E51" s="11" t="s">
        <v>546</v>
      </c>
      <c r="F51" s="11" t="s">
        <v>547</v>
      </c>
      <c r="G51" s="11" t="s">
        <v>55</v>
      </c>
      <c r="H51" s="11" t="s">
        <v>548</v>
      </c>
      <c r="I51" s="11" t="s">
        <v>549</v>
      </c>
      <c r="J51" s="11" t="s">
        <v>550</v>
      </c>
      <c r="K51" s="11" t="s">
        <v>551</v>
      </c>
      <c r="L51" s="11" t="s">
        <v>552</v>
      </c>
      <c r="M51" s="11" t="s">
        <v>432</v>
      </c>
      <c r="N51" s="11" t="s">
        <v>55</v>
      </c>
      <c r="O51" s="7" t="s">
        <v>56</v>
      </c>
      <c r="P51" s="7" t="s">
        <v>56</v>
      </c>
      <c r="Q51" s="11" t="s">
        <v>62</v>
      </c>
      <c r="R51" s="7" t="str">
        <f>IFERROR(__xludf.DUMMYFUNCTION("IF(REGEXMATCH(M51, ""Accuracy""), ""Yes"", ""No"")"),"Yes")</f>
        <v>Yes</v>
      </c>
      <c r="S51" s="7" t="str">
        <f>IFERROR(__xludf.DUMMYFUNCTION("IF(REGEXMATCH(M51, ""Precision""), ""Yes"", ""No"")"),"No")</f>
        <v>No</v>
      </c>
      <c r="T51" s="7" t="str">
        <f>IFERROR(__xludf.DUMMYFUNCTION("IF(REGEXMATCH(M51, ""Recall""), ""Yes"", ""No"")"),"No")</f>
        <v>No</v>
      </c>
      <c r="U51" s="7" t="str">
        <f>IFERROR(__xludf.DUMMYFUNCTION("IF(REGEXMATCH(M51, ""F1 Measure""), ""Yes"", ""No"")"),"No")</f>
        <v>No</v>
      </c>
      <c r="V51" s="11" t="s">
        <v>79</v>
      </c>
      <c r="W51" s="15" t="s">
        <v>277</v>
      </c>
      <c r="X51" s="15" t="s">
        <v>55</v>
      </c>
      <c r="Y51" s="11" t="s">
        <v>59</v>
      </c>
      <c r="Z51" s="11" t="s">
        <v>97</v>
      </c>
      <c r="AA51" s="11" t="s">
        <v>127</v>
      </c>
      <c r="AB51" s="11" t="s">
        <v>31</v>
      </c>
      <c r="AC51" s="11" t="s">
        <v>55</v>
      </c>
      <c r="AD51" s="7" t="s">
        <v>56</v>
      </c>
      <c r="AE51" s="7" t="s">
        <v>56</v>
      </c>
      <c r="AF51" s="11" t="s">
        <v>62</v>
      </c>
      <c r="AG51" s="11" t="s">
        <v>56</v>
      </c>
      <c r="AH51" s="11" t="s">
        <v>63</v>
      </c>
      <c r="AI51" s="11" t="s">
        <v>147</v>
      </c>
      <c r="AJ51" s="11" t="s">
        <v>553</v>
      </c>
      <c r="AK51" s="11" t="s">
        <v>102</v>
      </c>
      <c r="AL51" s="11" t="s">
        <v>554</v>
      </c>
      <c r="AM51" s="7" t="str">
        <f>IFERROR(__xludf.DUMMYFUNCTION("IF(REGEXMATCH($AL51, ""Reproducible""), ""Yes"", ""No"")"),"No")</f>
        <v>No</v>
      </c>
      <c r="AN51" s="11" t="s">
        <v>56</v>
      </c>
      <c r="AO51" s="11" t="s">
        <v>62</v>
      </c>
      <c r="AP51" s="11" t="s">
        <v>56</v>
      </c>
      <c r="AQ51" s="7" t="str">
        <f>IFERROR(__xludf.DUMMYFUNCTION("IF(REGEXMATCH($AL51, ""No Repo""), ""Yes"", ""No"")"),"No")</f>
        <v>No</v>
      </c>
      <c r="AR51" s="7" t="str">
        <f>IFERROR(__xludf.DUMMYFUNCTION("IF(REGEXMATCH($AL51, ""Hyperparameters""), ""Yes"", ""No"")"),"No")</f>
        <v>No</v>
      </c>
      <c r="AS51" s="7" t="str">
        <f>IFERROR(__xludf.DUMMYFUNCTION("IF(REGEXMATCH($AL51, ""Filtering Details""), ""Yes"", ""No"")"),"Yes")</f>
        <v>Yes</v>
      </c>
    </row>
    <row r="52" ht="28.5" customHeight="1">
      <c r="A52" s="21" t="str">
        <f>HYPERLINK("https://arxiv.org/abs/1711.00740","Learning to represent programs with graphs")</f>
        <v>Learning to represent programs with graphs</v>
      </c>
      <c r="B52" s="6" t="s">
        <v>256</v>
      </c>
      <c r="C52" s="11">
        <v>2018.0</v>
      </c>
      <c r="D52" s="14" t="s">
        <v>85</v>
      </c>
      <c r="E52" s="11" t="s">
        <v>555</v>
      </c>
      <c r="F52" s="11" t="s">
        <v>55</v>
      </c>
      <c r="G52" s="11" t="s">
        <v>556</v>
      </c>
      <c r="H52" s="11" t="s">
        <v>557</v>
      </c>
      <c r="I52" s="11" t="s">
        <v>558</v>
      </c>
      <c r="J52" s="11" t="s">
        <v>55</v>
      </c>
      <c r="K52" s="11" t="s">
        <v>55</v>
      </c>
      <c r="L52" s="11" t="s">
        <v>559</v>
      </c>
      <c r="M52" s="11" t="s">
        <v>17</v>
      </c>
      <c r="N52" s="11" t="s">
        <v>55</v>
      </c>
      <c r="O52" s="7" t="s">
        <v>56</v>
      </c>
      <c r="P52" s="7" t="s">
        <v>56</v>
      </c>
      <c r="Q52" s="11" t="s">
        <v>56</v>
      </c>
      <c r="R52" s="7" t="str">
        <f>IFERROR(__xludf.DUMMYFUNCTION("IF(REGEXMATCH(M52, ""Accuracy""), ""Yes"", ""No"")"),"Yes")</f>
        <v>Yes</v>
      </c>
      <c r="S52" s="7" t="str">
        <f>IFERROR(__xludf.DUMMYFUNCTION("IF(REGEXMATCH(M52, ""Precision""), ""Yes"", ""No"")"),"No")</f>
        <v>No</v>
      </c>
      <c r="T52" s="7" t="str">
        <f>IFERROR(__xludf.DUMMYFUNCTION("IF(REGEXMATCH(M52, ""Recall""), ""Yes"", ""No"")"),"No")</f>
        <v>No</v>
      </c>
      <c r="U52" s="7" t="str">
        <f>IFERROR(__xludf.DUMMYFUNCTION("IF(REGEXMATCH(M52, ""F1 Measure""), ""Yes"", ""No"")"),"No")</f>
        <v>No</v>
      </c>
      <c r="V52" s="11" t="s">
        <v>57</v>
      </c>
      <c r="W52" s="11" t="s">
        <v>55</v>
      </c>
      <c r="X52" s="15" t="s">
        <v>55</v>
      </c>
      <c r="Y52" s="11" t="s">
        <v>55</v>
      </c>
      <c r="Z52" s="11" t="s">
        <v>55</v>
      </c>
      <c r="AA52" s="11" t="s">
        <v>342</v>
      </c>
      <c r="AB52" s="11" t="s">
        <v>31</v>
      </c>
      <c r="AC52" s="11" t="s">
        <v>55</v>
      </c>
      <c r="AD52" s="7" t="s">
        <v>56</v>
      </c>
      <c r="AE52" s="7" t="s">
        <v>56</v>
      </c>
      <c r="AF52" s="11" t="s">
        <v>62</v>
      </c>
      <c r="AG52" s="11" t="s">
        <v>56</v>
      </c>
      <c r="AH52" s="11" t="s">
        <v>63</v>
      </c>
      <c r="AI52" s="11" t="s">
        <v>64</v>
      </c>
      <c r="AJ52" s="11" t="s">
        <v>510</v>
      </c>
      <c r="AK52" s="11" t="s">
        <v>102</v>
      </c>
      <c r="AL52" s="11" t="s">
        <v>560</v>
      </c>
      <c r="AM52" s="7" t="str">
        <f>IFERROR(__xludf.DUMMYFUNCTION("IF(REGEXMATCH($AL52, ""Reproducible""), ""Yes"", ""No"")"),"No")</f>
        <v>No</v>
      </c>
      <c r="AN52" s="11" t="s">
        <v>62</v>
      </c>
      <c r="AO52" s="11" t="s">
        <v>56</v>
      </c>
      <c r="AP52" s="11" t="s">
        <v>62</v>
      </c>
      <c r="AQ52" s="7" t="str">
        <f>IFERROR(__xludf.DUMMYFUNCTION("IF(REGEXMATCH($AL52, ""No Repo""), ""Yes"", ""No"")"),"No")</f>
        <v>No</v>
      </c>
      <c r="AR52" s="7" t="str">
        <f>IFERROR(__xludf.DUMMYFUNCTION("IF(REGEXMATCH($AL52, ""Hyperparameters""), ""Yes"", ""No"")"),"Yes")</f>
        <v>Yes</v>
      </c>
      <c r="AS52" s="7" t="str">
        <f>IFERROR(__xludf.DUMMYFUNCTION("IF(REGEXMATCH($AL52, ""Filtering Details""), ""Yes"", ""No"")"),"No")</f>
        <v>No</v>
      </c>
    </row>
    <row r="53" ht="28.5" customHeight="1">
      <c r="A53" s="5" t="str">
        <f>HYPERLINK("https://arxiv.org/abs/1805.04276","Leveraging grammar and reinforcement learning for neural program synthesis")</f>
        <v>Leveraging grammar and reinforcement learning for neural program synthesis</v>
      </c>
      <c r="B53" s="6" t="s">
        <v>256</v>
      </c>
      <c r="C53" s="6">
        <v>2018.0</v>
      </c>
      <c r="D53" s="6" t="s">
        <v>46</v>
      </c>
      <c r="E53" s="7" t="s">
        <v>561</v>
      </c>
      <c r="F53" s="6" t="s">
        <v>55</v>
      </c>
      <c r="G53" s="7" t="s">
        <v>562</v>
      </c>
      <c r="H53" s="6" t="s">
        <v>563</v>
      </c>
      <c r="I53" s="6" t="s">
        <v>564</v>
      </c>
      <c r="J53" s="7" t="s">
        <v>565</v>
      </c>
      <c r="K53" s="7" t="s">
        <v>566</v>
      </c>
      <c r="L53" s="6" t="s">
        <v>567</v>
      </c>
      <c r="M53" s="7" t="s">
        <v>17</v>
      </c>
      <c r="N53" s="7" t="s">
        <v>55</v>
      </c>
      <c r="O53" s="7" t="s">
        <v>56</v>
      </c>
      <c r="P53" s="7" t="s">
        <v>56</v>
      </c>
      <c r="Q53" s="7" t="s">
        <v>56</v>
      </c>
      <c r="R53" s="7" t="str">
        <f>IFERROR(__xludf.DUMMYFUNCTION("IF(REGEXMATCH(M53, ""Accuracy""), ""Yes"", ""No"")"),"Yes")</f>
        <v>Yes</v>
      </c>
      <c r="S53" s="7" t="str">
        <f>IFERROR(__xludf.DUMMYFUNCTION("IF(REGEXMATCH(M53, ""Precision""), ""Yes"", ""No"")"),"No")</f>
        <v>No</v>
      </c>
      <c r="T53" s="7" t="str">
        <f>IFERROR(__xludf.DUMMYFUNCTION("IF(REGEXMATCH(M53, ""Recall""), ""Yes"", ""No"")"),"No")</f>
        <v>No</v>
      </c>
      <c r="U53" s="7" t="str">
        <f>IFERROR(__xludf.DUMMYFUNCTION("IF(REGEXMATCH(M53, ""F1 Measure""), ""Yes"", ""No"")"),"No")</f>
        <v>No</v>
      </c>
      <c r="V53" s="7" t="s">
        <v>79</v>
      </c>
      <c r="W53" s="7" t="s">
        <v>23</v>
      </c>
      <c r="X53" s="7" t="s">
        <v>96</v>
      </c>
      <c r="Y53" s="7" t="s">
        <v>59</v>
      </c>
      <c r="Z53" s="7" t="s">
        <v>60</v>
      </c>
      <c r="AA53" s="7" t="s">
        <v>180</v>
      </c>
      <c r="AB53" s="7" t="s">
        <v>568</v>
      </c>
      <c r="AC53" s="7" t="s">
        <v>569</v>
      </c>
      <c r="AD53" s="7" t="s">
        <v>62</v>
      </c>
      <c r="AE53" s="7" t="s">
        <v>56</v>
      </c>
      <c r="AF53" s="7" t="s">
        <v>56</v>
      </c>
      <c r="AG53" s="7" t="s">
        <v>56</v>
      </c>
      <c r="AH53" s="7" t="s">
        <v>465</v>
      </c>
      <c r="AI53" s="7" t="s">
        <v>509</v>
      </c>
      <c r="AJ53" s="7" t="s">
        <v>101</v>
      </c>
      <c r="AK53" s="7" t="s">
        <v>158</v>
      </c>
      <c r="AL53" s="7" t="s">
        <v>406</v>
      </c>
      <c r="AM53" s="7" t="str">
        <f>IFERROR(__xludf.DUMMYFUNCTION("IF(REGEXMATCH($AL53, ""Reproducible""), ""Yes"", ""No"")"),"No")</f>
        <v>No</v>
      </c>
      <c r="AN53" s="7" t="s">
        <v>62</v>
      </c>
      <c r="AO53" s="7" t="s">
        <v>56</v>
      </c>
      <c r="AP53" s="7" t="s">
        <v>56</v>
      </c>
      <c r="AQ53" s="7" t="str">
        <f>IFERROR(__xludf.DUMMYFUNCTION("IF(REGEXMATCH($AL53, ""No Repo""), ""Yes"", ""No"")"),"Yes")</f>
        <v>Yes</v>
      </c>
      <c r="AR53" s="7" t="str">
        <f>IFERROR(__xludf.DUMMYFUNCTION("IF(REGEXMATCH($AL53, ""Hyperparameters""), ""Yes"", ""No"")"),"No")</f>
        <v>No</v>
      </c>
      <c r="AS53" s="7" t="str">
        <f>IFERROR(__xludf.DUMMYFUNCTION("IF(REGEXMATCH($AL53, ""Filtering Details""), ""Yes"", ""No"")"),"Yes")</f>
        <v>Yes</v>
      </c>
    </row>
    <row r="54" ht="28.5" customHeight="1">
      <c r="A54" s="26" t="str">
        <f>HYPERLINK("https://arxiv.org/abs/1802.02312", "Machine Learning-Based Prototyping of Graphical User Interfaces for Mobile Apps")</f>
        <v>Machine Learning-Based Prototyping of Graphical User Interfaces for Mobile Apps</v>
      </c>
      <c r="B54" s="11" t="s">
        <v>84</v>
      </c>
      <c r="C54" s="11">
        <v>2018.0</v>
      </c>
      <c r="D54" s="14" t="s">
        <v>85</v>
      </c>
      <c r="E54" s="11" t="s">
        <v>570</v>
      </c>
      <c r="F54" s="11" t="s">
        <v>571</v>
      </c>
      <c r="G54" s="11" t="s">
        <v>572</v>
      </c>
      <c r="H54" s="11" t="s">
        <v>573</v>
      </c>
      <c r="I54" s="11" t="s">
        <v>574</v>
      </c>
      <c r="J54" s="11" t="s">
        <v>575</v>
      </c>
      <c r="K54" s="11" t="s">
        <v>576</v>
      </c>
      <c r="L54" s="11" t="s">
        <v>577</v>
      </c>
      <c r="M54" s="11" t="s">
        <v>578</v>
      </c>
      <c r="N54" s="7" t="s">
        <v>95</v>
      </c>
      <c r="O54" s="7" t="s">
        <v>56</v>
      </c>
      <c r="P54" s="7" t="s">
        <v>56</v>
      </c>
      <c r="Q54" s="11" t="s">
        <v>56</v>
      </c>
      <c r="R54" s="7" t="str">
        <f>IFERROR(__xludf.DUMMYFUNCTION("IF(REGEXMATCH(M54, ""Accuracy""), ""Yes"", ""No"")"),"No")</f>
        <v>No</v>
      </c>
      <c r="S54" s="7" t="str">
        <f>IFERROR(__xludf.DUMMYFUNCTION("IF(REGEXMATCH(M54, ""Precision""), ""Yes"", ""No"")"),"Yes")</f>
        <v>Yes</v>
      </c>
      <c r="T54" s="7" t="str">
        <f>IFERROR(__xludf.DUMMYFUNCTION("IF(REGEXMATCH(M54, ""Recall""), ""Yes"", ""No"")"),"No")</f>
        <v>No</v>
      </c>
      <c r="U54" s="7" t="str">
        <f>IFERROR(__xludf.DUMMYFUNCTION("IF(REGEXMATCH(M54, ""F1 Measure""), ""Yes"", ""No"")"),"No")</f>
        <v>No</v>
      </c>
      <c r="V54" s="11" t="s">
        <v>231</v>
      </c>
      <c r="W54" s="15" t="s">
        <v>23</v>
      </c>
      <c r="X54" s="15" t="s">
        <v>224</v>
      </c>
      <c r="Y54" s="10" t="s">
        <v>59</v>
      </c>
      <c r="Z54" s="11" t="s">
        <v>265</v>
      </c>
      <c r="AA54" s="11" t="s">
        <v>81</v>
      </c>
      <c r="AB54" s="11" t="s">
        <v>30</v>
      </c>
      <c r="AC54" s="11" t="s">
        <v>55</v>
      </c>
      <c r="AD54" s="7" t="s">
        <v>56</v>
      </c>
      <c r="AE54" s="11" t="s">
        <v>62</v>
      </c>
      <c r="AF54" s="11" t="s">
        <v>56</v>
      </c>
      <c r="AG54" s="11" t="s">
        <v>56</v>
      </c>
      <c r="AH54" s="11" t="s">
        <v>100</v>
      </c>
      <c r="AI54" s="11" t="s">
        <v>64</v>
      </c>
      <c r="AJ54" s="11" t="s">
        <v>65</v>
      </c>
      <c r="AK54" s="11" t="s">
        <v>66</v>
      </c>
      <c r="AL54" s="11" t="s">
        <v>38</v>
      </c>
      <c r="AM54" s="7" t="str">
        <f>IFERROR(__xludf.DUMMYFUNCTION("IF(REGEXMATCH($AL54, ""Reproducible""), ""Yes"", ""No"")"),"Yes")</f>
        <v>Yes</v>
      </c>
      <c r="AN54" s="11" t="s">
        <v>56</v>
      </c>
      <c r="AO54" s="11" t="s">
        <v>56</v>
      </c>
      <c r="AP54" s="11" t="s">
        <v>56</v>
      </c>
      <c r="AQ54" s="7" t="str">
        <f>IFERROR(__xludf.DUMMYFUNCTION("IF(REGEXMATCH($AL54, ""No Repo""), ""Yes"", ""No"")"),"No")</f>
        <v>No</v>
      </c>
      <c r="AR54" s="7" t="str">
        <f>IFERROR(__xludf.DUMMYFUNCTION("IF(REGEXMATCH($AL54, ""Hyperparameters""), ""Yes"", ""No"")"),"No")</f>
        <v>No</v>
      </c>
      <c r="AS54" s="7" t="str">
        <f>IFERROR(__xludf.DUMMYFUNCTION("IF(REGEXMATCH($AL54, ""Filtering Details""), ""Yes"", ""No"")"),"No")</f>
        <v>No</v>
      </c>
    </row>
    <row r="55" ht="28.5" customHeight="1">
      <c r="A55" s="16" t="str">
        <f>HYPERLINK("https://people.eecs.berkeley.edu/~dawnsong/papers/iclr_2017_recursion.pdf","Making neural programming architectures generalize via recursion")</f>
        <v>Making neural programming architectures generalize via recursion</v>
      </c>
      <c r="B55" s="6" t="s">
        <v>256</v>
      </c>
      <c r="C55" s="14">
        <v>2017.0</v>
      </c>
      <c r="D55" s="14" t="s">
        <v>85</v>
      </c>
      <c r="E55" s="14" t="s">
        <v>579</v>
      </c>
      <c r="F55" s="14" t="s">
        <v>580</v>
      </c>
      <c r="G55" s="14" t="s">
        <v>55</v>
      </c>
      <c r="H55" s="14" t="s">
        <v>581</v>
      </c>
      <c r="I55" s="14" t="s">
        <v>582</v>
      </c>
      <c r="J55" s="14" t="s">
        <v>583</v>
      </c>
      <c r="K55" s="14" t="s">
        <v>55</v>
      </c>
      <c r="L55" s="14" t="s">
        <v>584</v>
      </c>
      <c r="M55" s="11" t="s">
        <v>17</v>
      </c>
      <c r="N55" s="11" t="s">
        <v>55</v>
      </c>
      <c r="O55" s="7" t="s">
        <v>56</v>
      </c>
      <c r="P55" s="7" t="s">
        <v>56</v>
      </c>
      <c r="Q55" s="11" t="s">
        <v>56</v>
      </c>
      <c r="R55" s="7" t="str">
        <f>IFERROR(__xludf.DUMMYFUNCTION("IF(REGEXMATCH(M55, ""Accuracy""), ""Yes"", ""No"")"),"Yes")</f>
        <v>Yes</v>
      </c>
      <c r="S55" s="7" t="str">
        <f>IFERROR(__xludf.DUMMYFUNCTION("IF(REGEXMATCH(M55, ""Precision""), ""Yes"", ""No"")"),"No")</f>
        <v>No</v>
      </c>
      <c r="T55" s="7" t="str">
        <f>IFERROR(__xludf.DUMMYFUNCTION("IF(REGEXMATCH(M55, ""Recall""), ""Yes"", ""No"")"),"No")</f>
        <v>No</v>
      </c>
      <c r="U55" s="7" t="str">
        <f>IFERROR(__xludf.DUMMYFUNCTION("IF(REGEXMATCH(M55, ""F1 Measure""), ""Yes"", ""No"")"),"No")</f>
        <v>No</v>
      </c>
      <c r="V55" s="11" t="s">
        <v>231</v>
      </c>
      <c r="W55" s="11" t="s">
        <v>55</v>
      </c>
      <c r="X55" s="7" t="s">
        <v>55</v>
      </c>
      <c r="Y55" s="11" t="s">
        <v>59</v>
      </c>
      <c r="Z55" s="11" t="s">
        <v>55</v>
      </c>
      <c r="AA55" s="11" t="s">
        <v>585</v>
      </c>
      <c r="AB55" s="11" t="s">
        <v>357</v>
      </c>
      <c r="AC55" s="11" t="s">
        <v>357</v>
      </c>
      <c r="AD55" s="7" t="s">
        <v>56</v>
      </c>
      <c r="AE55" s="7" t="s">
        <v>56</v>
      </c>
      <c r="AF55" s="11" t="s">
        <v>56</v>
      </c>
      <c r="AG55" s="11" t="s">
        <v>56</v>
      </c>
      <c r="AH55" s="11" t="s">
        <v>358</v>
      </c>
      <c r="AI55" s="11" t="s">
        <v>64</v>
      </c>
      <c r="AJ55" s="11" t="s">
        <v>101</v>
      </c>
      <c r="AK55" s="11" t="s">
        <v>158</v>
      </c>
      <c r="AL55" s="11" t="s">
        <v>305</v>
      </c>
      <c r="AM55" s="7" t="str">
        <f>IFERROR(__xludf.DUMMYFUNCTION("IF(REGEXMATCH($AL55, ""Reproducible""), ""Yes"", ""No"")"),"No")</f>
        <v>No</v>
      </c>
      <c r="AN55" s="11" t="s">
        <v>56</v>
      </c>
      <c r="AO55" s="11" t="s">
        <v>62</v>
      </c>
      <c r="AP55" s="11" t="s">
        <v>56</v>
      </c>
      <c r="AQ55" s="7" t="str">
        <f>IFERROR(__xludf.DUMMYFUNCTION("IF(REGEXMATCH($AL55, ""No Repo""), ""Yes"", ""No"")"),"Yes")</f>
        <v>Yes</v>
      </c>
      <c r="AR55" s="7" t="str">
        <f>IFERROR(__xludf.DUMMYFUNCTION("IF(REGEXMATCH($AL55, ""Hyperparameters""), ""Yes"", ""No"")"),"Yes")</f>
        <v>Yes</v>
      </c>
      <c r="AS55" s="7" t="str">
        <f>IFERROR(__xludf.DUMMYFUNCTION("IF(REGEXMATCH($AL55, ""Filtering Details""), ""Yes"", ""No"")"),"Yes")</f>
        <v>Yes</v>
      </c>
    </row>
    <row r="56" ht="28.5" customHeight="1">
      <c r="A56" s="5" t="str">
        <f>HYPERLINK("https://arxiv.org/pdf/1903.05734.pdf","Maybe Deep Neural Networks are the Best Choice for Modeling Source Code")</f>
        <v>Maybe Deep Neural Networks are the Best Choice for Modeling Source Code</v>
      </c>
      <c r="B56" s="6" t="s">
        <v>586</v>
      </c>
      <c r="C56" s="6">
        <v>2019.0</v>
      </c>
      <c r="D56" s="6" t="s">
        <v>46</v>
      </c>
      <c r="E56" s="7" t="s">
        <v>587</v>
      </c>
      <c r="F56" s="6" t="s">
        <v>588</v>
      </c>
      <c r="G56" s="7" t="s">
        <v>589</v>
      </c>
      <c r="H56" s="6" t="s">
        <v>590</v>
      </c>
      <c r="I56" s="6" t="s">
        <v>591</v>
      </c>
      <c r="J56" s="6" t="s">
        <v>592</v>
      </c>
      <c r="K56" s="6" t="s">
        <v>593</v>
      </c>
      <c r="L56" s="6" t="s">
        <v>594</v>
      </c>
      <c r="M56" s="7" t="s">
        <v>14</v>
      </c>
      <c r="N56" s="7" t="s">
        <v>55</v>
      </c>
      <c r="O56" s="7" t="s">
        <v>62</v>
      </c>
      <c r="P56" s="7" t="s">
        <v>56</v>
      </c>
      <c r="Q56" s="7" t="s">
        <v>56</v>
      </c>
      <c r="R56" s="7" t="str">
        <f>IFERROR(__xludf.DUMMYFUNCTION("IF(REGEXMATCH(M56, ""Accuracy""), ""Yes"", ""No"")"),"No")</f>
        <v>No</v>
      </c>
      <c r="S56" s="7" t="str">
        <f>IFERROR(__xludf.DUMMYFUNCTION("IF(REGEXMATCH(M56, ""Precision""), ""Yes"", ""No"")"),"No")</f>
        <v>No</v>
      </c>
      <c r="T56" s="7" t="str">
        <f>IFERROR(__xludf.DUMMYFUNCTION("IF(REGEXMATCH(M56, ""Recall""), ""Yes"", ""No"")"),"No")</f>
        <v>No</v>
      </c>
      <c r="U56" s="7" t="str">
        <f>IFERROR(__xludf.DUMMYFUNCTION("IF(REGEXMATCH(M56, ""F1 Measure""), ""Yes"", ""No"")"),"No")</f>
        <v>No</v>
      </c>
      <c r="V56" s="7" t="s">
        <v>79</v>
      </c>
      <c r="W56" s="15" t="s">
        <v>23</v>
      </c>
      <c r="X56" s="15" t="s">
        <v>96</v>
      </c>
      <c r="Y56" s="10" t="s">
        <v>59</v>
      </c>
      <c r="Z56" s="7" t="s">
        <v>145</v>
      </c>
      <c r="AA56" s="7" t="s">
        <v>146</v>
      </c>
      <c r="AB56" s="7" t="s">
        <v>31</v>
      </c>
      <c r="AC56" s="11" t="s">
        <v>55</v>
      </c>
      <c r="AD56" s="7" t="s">
        <v>56</v>
      </c>
      <c r="AE56" s="7" t="s">
        <v>56</v>
      </c>
      <c r="AF56" s="11" t="s">
        <v>62</v>
      </c>
      <c r="AG56" s="11" t="s">
        <v>56</v>
      </c>
      <c r="AH56" s="7" t="s">
        <v>595</v>
      </c>
      <c r="AI56" s="7" t="s">
        <v>64</v>
      </c>
      <c r="AJ56" s="7" t="s">
        <v>101</v>
      </c>
      <c r="AK56" s="7" t="s">
        <v>596</v>
      </c>
      <c r="AL56" s="11" t="s">
        <v>38</v>
      </c>
      <c r="AM56" s="7" t="str">
        <f>IFERROR(__xludf.DUMMYFUNCTION("IF(REGEXMATCH($AL56, ""Reproducible""), ""Yes"", ""No"")"),"Yes")</f>
        <v>Yes</v>
      </c>
      <c r="AN56" s="11" t="s">
        <v>56</v>
      </c>
      <c r="AO56" s="11" t="s">
        <v>56</v>
      </c>
      <c r="AP56" s="11" t="s">
        <v>56</v>
      </c>
      <c r="AQ56" s="7" t="str">
        <f>IFERROR(__xludf.DUMMYFUNCTION("IF(REGEXMATCH($AL56, ""No Repo""), ""Yes"", ""No"")"),"No")</f>
        <v>No</v>
      </c>
      <c r="AR56" s="7" t="str">
        <f>IFERROR(__xludf.DUMMYFUNCTION("IF(REGEXMATCH($AL56, ""Hyperparameters""), ""Yes"", ""No"")"),"No")</f>
        <v>No</v>
      </c>
      <c r="AS56" s="7" t="str">
        <f>IFERROR(__xludf.DUMMYFUNCTION("IF(REGEXMATCH($AL56, ""Filtering Details""), ""Yes"", ""No"")"),"No")</f>
        <v>No</v>
      </c>
    </row>
    <row r="57" ht="28.5" customHeight="1">
      <c r="A57" s="21" t="str">
        <f>HYPERLINK("https://papers.nips.cc/paper/8204-memory-augmented-policy-optimization-for-program-synthesis-and-semantic-parsing","Memory Augmented Policy Optimization for Program Synthesis and Semantic Parsing")</f>
        <v>Memory Augmented Policy Optimization for Program Synthesis and Semantic Parsing</v>
      </c>
      <c r="B57" s="11" t="s">
        <v>171</v>
      </c>
      <c r="C57" s="11">
        <v>2018.0</v>
      </c>
      <c r="D57" s="14" t="s">
        <v>85</v>
      </c>
      <c r="E57" s="11" t="s">
        <v>597</v>
      </c>
      <c r="F57" s="11" t="s">
        <v>55</v>
      </c>
      <c r="G57" s="11" t="s">
        <v>598</v>
      </c>
      <c r="H57" s="11" t="s">
        <v>55</v>
      </c>
      <c r="I57" s="11" t="s">
        <v>599</v>
      </c>
      <c r="J57" s="11" t="s">
        <v>600</v>
      </c>
      <c r="K57" s="11" t="s">
        <v>601</v>
      </c>
      <c r="L57" s="11" t="s">
        <v>602</v>
      </c>
      <c r="M57" s="11" t="s">
        <v>17</v>
      </c>
      <c r="N57" s="11" t="s">
        <v>55</v>
      </c>
      <c r="O57" s="7" t="s">
        <v>56</v>
      </c>
      <c r="P57" s="7" t="s">
        <v>56</v>
      </c>
      <c r="Q57" s="11" t="s">
        <v>56</v>
      </c>
      <c r="R57" s="7" t="str">
        <f>IFERROR(__xludf.DUMMYFUNCTION("IF(REGEXMATCH(M57, ""Accuracy""), ""Yes"", ""No"")"),"Yes")</f>
        <v>Yes</v>
      </c>
      <c r="S57" s="7" t="str">
        <f>IFERROR(__xludf.DUMMYFUNCTION("IF(REGEXMATCH(M57, ""Precision""), ""Yes"", ""No"")"),"No")</f>
        <v>No</v>
      </c>
      <c r="T57" s="7" t="str">
        <f>IFERROR(__xludf.DUMMYFUNCTION("IF(REGEXMATCH(M57, ""Recall""), ""Yes"", ""No"")"),"No")</f>
        <v>No</v>
      </c>
      <c r="U57" s="7" t="str">
        <f>IFERROR(__xludf.DUMMYFUNCTION("IF(REGEXMATCH(M57, ""F1 Measure""), ""Yes"", ""No"")"),"No")</f>
        <v>No</v>
      </c>
      <c r="V57" s="11" t="s">
        <v>79</v>
      </c>
      <c r="W57" s="15" t="s">
        <v>404</v>
      </c>
      <c r="X57" s="23" t="s">
        <v>405</v>
      </c>
      <c r="Y57" s="11" t="s">
        <v>385</v>
      </c>
      <c r="Z57" s="11" t="s">
        <v>603</v>
      </c>
      <c r="AA57" s="11" t="s">
        <v>180</v>
      </c>
      <c r="AB57" s="11" t="s">
        <v>483</v>
      </c>
      <c r="AC57" s="11" t="s">
        <v>55</v>
      </c>
      <c r="AD57" s="7" t="s">
        <v>56</v>
      </c>
      <c r="AE57" s="7" t="s">
        <v>56</v>
      </c>
      <c r="AF57" s="11" t="s">
        <v>56</v>
      </c>
      <c r="AG57" s="11" t="s">
        <v>62</v>
      </c>
      <c r="AH57" s="11" t="s">
        <v>604</v>
      </c>
      <c r="AI57" s="11" t="s">
        <v>64</v>
      </c>
      <c r="AJ57" s="7" t="s">
        <v>128</v>
      </c>
      <c r="AK57" s="7" t="s">
        <v>158</v>
      </c>
      <c r="AL57" s="7" t="s">
        <v>511</v>
      </c>
      <c r="AM57" s="7" t="str">
        <f>IFERROR(__xludf.DUMMYFUNCTION("IF(REGEXMATCH($AL57, ""Reproducible""), ""Yes"", ""No"")"),"No")</f>
        <v>No</v>
      </c>
      <c r="AN57" s="7" t="s">
        <v>62</v>
      </c>
      <c r="AO57" s="7" t="s">
        <v>56</v>
      </c>
      <c r="AP57" s="7" t="s">
        <v>56</v>
      </c>
      <c r="AQ57" s="7" t="str">
        <f>IFERROR(__xludf.DUMMYFUNCTION("IF(REGEXMATCH($AL57, ""No Repo""), ""Yes"", ""No"")"),"No")</f>
        <v>No</v>
      </c>
      <c r="AR57" s="7" t="str">
        <f>IFERROR(__xludf.DUMMYFUNCTION("IF(REGEXMATCH($AL57, ""Hyperparameters""), ""Yes"", ""No"")"),"No")</f>
        <v>No</v>
      </c>
      <c r="AS57" s="7" t="str">
        <f>IFERROR(__xludf.DUMMYFUNCTION("IF(REGEXMATCH($AL57, ""Filtering Details""), ""Yes"", ""No"")"),"Yes")</f>
        <v>Yes</v>
      </c>
    </row>
    <row r="58" ht="28.5" customHeight="1">
      <c r="A58" s="24" t="str">
        <f>HYPERLINK("https://ieeexplore-ieee-org.proxy.wm.edu/document/8565907","Mining Fix Patterns for FindBugs Violations")</f>
        <v>Mining Fix Patterns for FindBugs Violations</v>
      </c>
      <c r="B58" s="25" t="s">
        <v>84</v>
      </c>
      <c r="C58" s="25">
        <v>2018.0</v>
      </c>
      <c r="D58" s="14" t="s">
        <v>85</v>
      </c>
      <c r="E58" s="13" t="s">
        <v>605</v>
      </c>
      <c r="F58" s="13" t="s">
        <v>606</v>
      </c>
      <c r="G58" s="13" t="s">
        <v>607</v>
      </c>
      <c r="H58" s="13" t="s">
        <v>608</v>
      </c>
      <c r="I58" s="13" t="s">
        <v>609</v>
      </c>
      <c r="J58" s="13" t="s">
        <v>610</v>
      </c>
      <c r="K58" s="15" t="s">
        <v>611</v>
      </c>
      <c r="L58" s="25" t="s">
        <v>612</v>
      </c>
      <c r="M58" s="15" t="s">
        <v>613</v>
      </c>
      <c r="N58" s="7" t="s">
        <v>95</v>
      </c>
      <c r="O58" s="7" t="s">
        <v>56</v>
      </c>
      <c r="P58" s="7" t="s">
        <v>56</v>
      </c>
      <c r="Q58" s="15" t="s">
        <v>56</v>
      </c>
      <c r="R58" s="7" t="str">
        <f>IFERROR(__xludf.DUMMYFUNCTION("IF(REGEXMATCH(M58, ""Accuracy""), ""Yes"", ""No"")"),"Yes")</f>
        <v>Yes</v>
      </c>
      <c r="S58" s="7" t="str">
        <f>IFERROR(__xludf.DUMMYFUNCTION("IF(REGEXMATCH(M58, ""Precision""), ""Yes"", ""No"")"),"No")</f>
        <v>No</v>
      </c>
      <c r="T58" s="7" t="str">
        <f>IFERROR(__xludf.DUMMYFUNCTION("IF(REGEXMATCH(M58, ""Recall""), ""Yes"", ""No"")"),"No")</f>
        <v>No</v>
      </c>
      <c r="U58" s="7" t="str">
        <f>IFERROR(__xludf.DUMMYFUNCTION("IF(REGEXMATCH(M58, ""F1 Measure""), ""Yes"", ""No"")"),"No")</f>
        <v>No</v>
      </c>
      <c r="V58" s="15" t="s">
        <v>231</v>
      </c>
      <c r="W58" s="15" t="s">
        <v>23</v>
      </c>
      <c r="X58" s="15" t="s">
        <v>614</v>
      </c>
      <c r="Y58" s="15" t="s">
        <v>59</v>
      </c>
      <c r="Z58" s="15" t="s">
        <v>265</v>
      </c>
      <c r="AA58" s="11" t="s">
        <v>127</v>
      </c>
      <c r="AB58" s="11" t="s">
        <v>99</v>
      </c>
      <c r="AC58" s="11" t="s">
        <v>99</v>
      </c>
      <c r="AD58" s="7" t="s">
        <v>56</v>
      </c>
      <c r="AE58" s="7" t="s">
        <v>56</v>
      </c>
      <c r="AF58" s="11" t="s">
        <v>56</v>
      </c>
      <c r="AG58" s="11" t="s">
        <v>56</v>
      </c>
      <c r="AH58" s="11" t="s">
        <v>100</v>
      </c>
      <c r="AI58" s="11" t="s">
        <v>147</v>
      </c>
      <c r="AJ58" s="11" t="s">
        <v>65</v>
      </c>
      <c r="AK58" s="11" t="s">
        <v>66</v>
      </c>
      <c r="AL58" s="11" t="s">
        <v>38</v>
      </c>
      <c r="AM58" s="7" t="str">
        <f>IFERROR(__xludf.DUMMYFUNCTION("IF(REGEXMATCH($AL58, ""Reproducible""), ""Yes"", ""No"")"),"Yes")</f>
        <v>Yes</v>
      </c>
      <c r="AN58" s="11" t="s">
        <v>56</v>
      </c>
      <c r="AO58" s="11" t="s">
        <v>56</v>
      </c>
      <c r="AP58" s="11" t="s">
        <v>56</v>
      </c>
      <c r="AQ58" s="7" t="str">
        <f>IFERROR(__xludf.DUMMYFUNCTION("IF(REGEXMATCH($AL58, ""No Repo""), ""Yes"", ""No"")"),"No")</f>
        <v>No</v>
      </c>
      <c r="AR58" s="7" t="str">
        <f>IFERROR(__xludf.DUMMYFUNCTION("IF(REGEXMATCH($AL58, ""Hyperparameters""), ""Yes"", ""No"")"),"No")</f>
        <v>No</v>
      </c>
      <c r="AS58" s="7" t="str">
        <f>IFERROR(__xludf.DUMMYFUNCTION("IF(REGEXMATCH($AL58, ""Filtering Details""), ""Yes"", ""No"")"),"No")</f>
        <v>No</v>
      </c>
    </row>
    <row r="59" ht="28.5" customHeight="1">
      <c r="A59" s="24" t="str">
        <f>HYPERLINK("https://ieeexplore-ieee-org.proxy.wm.edu/document/8630054","Mining Likely Analogical APIs across Third-Party Libraries via Large-Scale Unsupervised API Semantics Embedding")</f>
        <v>Mining Likely Analogical APIs across Third-Party Libraries via Large-Scale Unsupervised API Semantics Embedding</v>
      </c>
      <c r="B59" s="25" t="s">
        <v>84</v>
      </c>
      <c r="C59" s="25">
        <v>2019.0</v>
      </c>
      <c r="D59" s="14" t="s">
        <v>85</v>
      </c>
      <c r="E59" s="13" t="s">
        <v>615</v>
      </c>
      <c r="F59" s="13" t="s">
        <v>616</v>
      </c>
      <c r="G59" s="13" t="s">
        <v>617</v>
      </c>
      <c r="H59" s="13" t="s">
        <v>618</v>
      </c>
      <c r="I59" s="15" t="s">
        <v>619</v>
      </c>
      <c r="J59" s="13" t="s">
        <v>620</v>
      </c>
      <c r="K59" s="13" t="s">
        <v>621</v>
      </c>
      <c r="L59" s="13" t="s">
        <v>622</v>
      </c>
      <c r="M59" s="15" t="s">
        <v>623</v>
      </c>
      <c r="N59" s="7" t="s">
        <v>55</v>
      </c>
      <c r="O59" s="7" t="s">
        <v>62</v>
      </c>
      <c r="P59" s="7" t="s">
        <v>56</v>
      </c>
      <c r="Q59" s="7" t="s">
        <v>56</v>
      </c>
      <c r="R59" s="7" t="str">
        <f>IFERROR(__xludf.DUMMYFUNCTION("IF(REGEXMATCH(M59, ""Accuracy""), ""Yes"", ""No"")"),"No")</f>
        <v>No</v>
      </c>
      <c r="S59" s="7" t="str">
        <f>IFERROR(__xludf.DUMMYFUNCTION("IF(REGEXMATCH(M59, ""Precision""), ""Yes"", ""No"")"),"No")</f>
        <v>No</v>
      </c>
      <c r="T59" s="7" t="str">
        <f>IFERROR(__xludf.DUMMYFUNCTION("IF(REGEXMATCH(M59, ""Recall""), ""Yes"", ""No"")"),"Yes")</f>
        <v>Yes</v>
      </c>
      <c r="U59" s="7" t="str">
        <f>IFERROR(__xludf.DUMMYFUNCTION("IF(REGEXMATCH(M59, ""F1 Measure""), ""Yes"", ""No"")"),"No")</f>
        <v>No</v>
      </c>
      <c r="V59" s="15" t="s">
        <v>79</v>
      </c>
      <c r="W59" s="15" t="s">
        <v>23</v>
      </c>
      <c r="X59" s="15" t="s">
        <v>96</v>
      </c>
      <c r="Y59" s="10" t="s">
        <v>59</v>
      </c>
      <c r="Z59" s="15" t="s">
        <v>60</v>
      </c>
      <c r="AA59" s="7" t="s">
        <v>293</v>
      </c>
      <c r="AB59" s="11" t="s">
        <v>624</v>
      </c>
      <c r="AC59" s="11" t="s">
        <v>99</v>
      </c>
      <c r="AD59" s="7" t="s">
        <v>56</v>
      </c>
      <c r="AE59" s="7" t="s">
        <v>56</v>
      </c>
      <c r="AF59" s="11" t="s">
        <v>62</v>
      </c>
      <c r="AG59" s="11" t="s">
        <v>56</v>
      </c>
      <c r="AH59" s="11" t="s">
        <v>100</v>
      </c>
      <c r="AI59" s="11" t="s">
        <v>147</v>
      </c>
      <c r="AJ59" s="7" t="s">
        <v>128</v>
      </c>
      <c r="AK59" s="7" t="s">
        <v>102</v>
      </c>
      <c r="AL59" s="11" t="s">
        <v>38</v>
      </c>
      <c r="AM59" s="7" t="str">
        <f>IFERROR(__xludf.DUMMYFUNCTION("IF(REGEXMATCH($AL59, ""Reproducible""), ""Yes"", ""No"")"),"Yes")</f>
        <v>Yes</v>
      </c>
      <c r="AN59" s="11" t="s">
        <v>56</v>
      </c>
      <c r="AO59" s="11" t="s">
        <v>56</v>
      </c>
      <c r="AP59" s="11" t="s">
        <v>56</v>
      </c>
      <c r="AQ59" s="7" t="str">
        <f>IFERROR(__xludf.DUMMYFUNCTION("IF(REGEXMATCH($AL59, ""No Repo""), ""Yes"", ""No"")"),"No")</f>
        <v>No</v>
      </c>
      <c r="AR59" s="7" t="str">
        <f>IFERROR(__xludf.DUMMYFUNCTION("IF(REGEXMATCH($AL59, ""Hyperparameters""), ""Yes"", ""No"")"),"No")</f>
        <v>No</v>
      </c>
      <c r="AS59" s="7" t="str">
        <f>IFERROR(__xludf.DUMMYFUNCTION("IF(REGEXMATCH($AL59, ""Filtering Details""), ""Yes"", ""No"")"),"No")</f>
        <v>No</v>
      </c>
    </row>
    <row r="60" ht="28.5" customHeight="1">
      <c r="A60" s="16" t="str">
        <f>HYPERLINK("https://papers.nips.cc/paper/7617-neural-code-comprehension-a-learnable-representation-of-code-semantics.pdf","Neural Code Comprehension: A Learnable Representation of Code Semantics")</f>
        <v>Neural Code Comprehension: A Learnable Representation of Code Semantics</v>
      </c>
      <c r="B60" s="11" t="s">
        <v>171</v>
      </c>
      <c r="C60" s="14">
        <v>2018.0</v>
      </c>
      <c r="D60" s="14" t="s">
        <v>85</v>
      </c>
      <c r="E60" s="11" t="s">
        <v>625</v>
      </c>
      <c r="F60" s="14" t="s">
        <v>626</v>
      </c>
      <c r="G60" s="11" t="s">
        <v>627</v>
      </c>
      <c r="H60" s="14" t="s">
        <v>628</v>
      </c>
      <c r="I60" s="14" t="s">
        <v>629</v>
      </c>
      <c r="J60" s="14" t="s">
        <v>630</v>
      </c>
      <c r="K60" s="11" t="s">
        <v>631</v>
      </c>
      <c r="L60" s="14" t="s">
        <v>632</v>
      </c>
      <c r="M60" s="11" t="s">
        <v>17</v>
      </c>
      <c r="N60" s="11" t="s">
        <v>55</v>
      </c>
      <c r="O60" s="7" t="s">
        <v>56</v>
      </c>
      <c r="P60" s="7" t="s">
        <v>56</v>
      </c>
      <c r="Q60" s="11" t="s">
        <v>56</v>
      </c>
      <c r="R60" s="7" t="str">
        <f>IFERROR(__xludf.DUMMYFUNCTION("IF(REGEXMATCH(M60, ""Accuracy""), ""Yes"", ""No"")"),"Yes")</f>
        <v>Yes</v>
      </c>
      <c r="S60" s="7" t="str">
        <f>IFERROR(__xludf.DUMMYFUNCTION("IF(REGEXMATCH(M60, ""Precision""), ""Yes"", ""No"")"),"No")</f>
        <v>No</v>
      </c>
      <c r="T60" s="7" t="str">
        <f>IFERROR(__xludf.DUMMYFUNCTION("IF(REGEXMATCH(M60, ""Recall""), ""Yes"", ""No"")"),"No")</f>
        <v>No</v>
      </c>
      <c r="U60" s="7" t="str">
        <f>IFERROR(__xludf.DUMMYFUNCTION("IF(REGEXMATCH(M60, ""F1 Measure""), ""Yes"", ""No"")"),"No")</f>
        <v>No</v>
      </c>
      <c r="V60" s="11" t="s">
        <v>231</v>
      </c>
      <c r="W60" s="11" t="s">
        <v>80</v>
      </c>
      <c r="X60" s="7" t="s">
        <v>55</v>
      </c>
      <c r="Y60" s="11" t="s">
        <v>59</v>
      </c>
      <c r="Z60" s="11" t="s">
        <v>145</v>
      </c>
      <c r="AA60" s="11" t="s">
        <v>135</v>
      </c>
      <c r="AB60" s="11" t="s">
        <v>633</v>
      </c>
      <c r="AC60" s="11" t="s">
        <v>634</v>
      </c>
      <c r="AD60" s="7" t="s">
        <v>56</v>
      </c>
      <c r="AE60" s="7" t="s">
        <v>56</v>
      </c>
      <c r="AF60" s="11" t="s">
        <v>62</v>
      </c>
      <c r="AG60" s="11" t="s">
        <v>56</v>
      </c>
      <c r="AH60" s="11" t="s">
        <v>634</v>
      </c>
      <c r="AI60" s="11" t="s">
        <v>64</v>
      </c>
      <c r="AJ60" s="11" t="s">
        <v>101</v>
      </c>
      <c r="AK60" s="11" t="s">
        <v>148</v>
      </c>
      <c r="AL60" s="11" t="s">
        <v>42</v>
      </c>
      <c r="AM60" s="7" t="str">
        <f>IFERROR(__xludf.DUMMYFUNCTION("IF(REGEXMATCH($AL60, ""Reproducible""), ""Yes"", ""No"")"),"No")</f>
        <v>No</v>
      </c>
      <c r="AN60" s="11" t="s">
        <v>56</v>
      </c>
      <c r="AO60" s="11" t="s">
        <v>56</v>
      </c>
      <c r="AP60" s="11" t="s">
        <v>56</v>
      </c>
      <c r="AQ60" s="7" t="str">
        <f>IFERROR(__xludf.DUMMYFUNCTION("IF(REGEXMATCH($AL60, ""No Repo""), ""Yes"", ""No"")"),"Yes")</f>
        <v>Yes</v>
      </c>
      <c r="AR60" s="7" t="str">
        <f>IFERROR(__xludf.DUMMYFUNCTION("IF(REGEXMATCH($AL60, ""Hyperparameters""), ""Yes"", ""No"")"),"No")</f>
        <v>No</v>
      </c>
      <c r="AS60" s="7" t="str">
        <f>IFERROR(__xludf.DUMMYFUNCTION("IF(REGEXMATCH($AL60, ""Filtering Details""), ""Yes"", ""No"")"),"No")</f>
        <v>No</v>
      </c>
    </row>
    <row r="61" ht="28.5" customHeight="1">
      <c r="A61" s="16" t="str">
        <f>HYPERLINK("https://papers.nips.cc/paper/7445-neural-guided-constraint-logic-programming-for-program-synthesis","Neural guided constraint logic programming for program synthesis")</f>
        <v>Neural guided constraint logic programming for program synthesis</v>
      </c>
      <c r="B61" s="11" t="s">
        <v>171</v>
      </c>
      <c r="C61" s="14">
        <v>2018.0</v>
      </c>
      <c r="D61" s="6" t="s">
        <v>46</v>
      </c>
      <c r="E61" s="14" t="s">
        <v>635</v>
      </c>
      <c r="F61" s="11" t="s">
        <v>636</v>
      </c>
      <c r="G61" s="14" t="s">
        <v>637</v>
      </c>
      <c r="H61" s="14" t="s">
        <v>55</v>
      </c>
      <c r="I61" s="14" t="s">
        <v>638</v>
      </c>
      <c r="J61" s="11" t="s">
        <v>639</v>
      </c>
      <c r="K61" s="14" t="s">
        <v>640</v>
      </c>
      <c r="L61" s="14" t="s">
        <v>641</v>
      </c>
      <c r="M61" s="11" t="s">
        <v>17</v>
      </c>
      <c r="N61" s="11" t="s">
        <v>55</v>
      </c>
      <c r="O61" s="7" t="s">
        <v>56</v>
      </c>
      <c r="P61" s="7" t="s">
        <v>56</v>
      </c>
      <c r="Q61" s="11" t="s">
        <v>56</v>
      </c>
      <c r="R61" s="7" t="str">
        <f>IFERROR(__xludf.DUMMYFUNCTION("IF(REGEXMATCH(M61, ""Accuracy""), ""Yes"", ""No"")"),"Yes")</f>
        <v>Yes</v>
      </c>
      <c r="S61" s="7" t="str">
        <f>IFERROR(__xludf.DUMMYFUNCTION("IF(REGEXMATCH(M61, ""Precision""), ""Yes"", ""No"")"),"No")</f>
        <v>No</v>
      </c>
      <c r="T61" s="7" t="str">
        <f>IFERROR(__xludf.DUMMYFUNCTION("IF(REGEXMATCH(M61, ""Recall""), ""Yes"", ""No"")"),"No")</f>
        <v>No</v>
      </c>
      <c r="U61" s="7" t="str">
        <f>IFERROR(__xludf.DUMMYFUNCTION("IF(REGEXMATCH(M61, ""F1 Measure""), ""Yes"", ""No"")"),"No")</f>
        <v>No</v>
      </c>
      <c r="V61" s="11" t="s">
        <v>79</v>
      </c>
      <c r="W61" s="11" t="s">
        <v>23</v>
      </c>
      <c r="X61" s="11" t="s">
        <v>96</v>
      </c>
      <c r="Y61" s="11" t="s">
        <v>59</v>
      </c>
      <c r="Z61" s="11" t="s">
        <v>145</v>
      </c>
      <c r="AA61" s="11" t="s">
        <v>180</v>
      </c>
      <c r="AB61" s="11" t="s">
        <v>29</v>
      </c>
      <c r="AC61" s="7" t="s">
        <v>55</v>
      </c>
      <c r="AD61" s="7" t="s">
        <v>62</v>
      </c>
      <c r="AE61" s="7" t="s">
        <v>56</v>
      </c>
      <c r="AF61" s="11" t="s">
        <v>56</v>
      </c>
      <c r="AG61" s="11" t="s">
        <v>56</v>
      </c>
      <c r="AH61" s="11" t="s">
        <v>465</v>
      </c>
      <c r="AI61" s="11" t="s">
        <v>64</v>
      </c>
      <c r="AJ61" s="11" t="s">
        <v>510</v>
      </c>
      <c r="AK61" s="11" t="s">
        <v>66</v>
      </c>
      <c r="AL61" s="7" t="s">
        <v>38</v>
      </c>
      <c r="AM61" s="7" t="str">
        <f>IFERROR(__xludf.DUMMYFUNCTION("IF(REGEXMATCH($AL61, ""Reproducible""), ""Yes"", ""No"")"),"Yes")</f>
        <v>Yes</v>
      </c>
      <c r="AN61" s="7" t="s">
        <v>56</v>
      </c>
      <c r="AO61" s="7" t="s">
        <v>56</v>
      </c>
      <c r="AP61" s="7" t="s">
        <v>56</v>
      </c>
      <c r="AQ61" s="7" t="str">
        <f>IFERROR(__xludf.DUMMYFUNCTION("IF(REGEXMATCH($AL61, ""No Repo""), ""Yes"", ""No"")"),"No")</f>
        <v>No</v>
      </c>
      <c r="AR61" s="7" t="str">
        <f>IFERROR(__xludf.DUMMYFUNCTION("IF(REGEXMATCH($AL61, ""Hyperparameters""), ""Yes"", ""No"")"),"No")</f>
        <v>No</v>
      </c>
      <c r="AS61" s="7" t="str">
        <f>IFERROR(__xludf.DUMMYFUNCTION("IF(REGEXMATCH($AL61, ""Filtering Details""), ""Yes"", ""No"")"),"No")</f>
        <v>No</v>
      </c>
    </row>
    <row r="62" ht="28.5" customHeight="1">
      <c r="A62" s="21" t="str">
        <f>HYPERLINK("https://papers.nips.cc/paper/6803-neural-program-meta-induction.pdf","Neural program metainduction.")</f>
        <v>Neural program metainduction.</v>
      </c>
      <c r="B62" s="11" t="s">
        <v>171</v>
      </c>
      <c r="C62" s="11">
        <v>2017.0</v>
      </c>
      <c r="D62" s="6" t="s">
        <v>46</v>
      </c>
      <c r="E62" s="11" t="s">
        <v>642</v>
      </c>
      <c r="F62" s="11" t="s">
        <v>643</v>
      </c>
      <c r="G62" s="11" t="s">
        <v>55</v>
      </c>
      <c r="H62" s="11" t="s">
        <v>644</v>
      </c>
      <c r="I62" s="11" t="s">
        <v>645</v>
      </c>
      <c r="J62" s="11" t="s">
        <v>646</v>
      </c>
      <c r="K62" s="11" t="s">
        <v>647</v>
      </c>
      <c r="L62" s="11" t="s">
        <v>648</v>
      </c>
      <c r="M62" s="11" t="s">
        <v>17</v>
      </c>
      <c r="N62" s="11" t="s">
        <v>55</v>
      </c>
      <c r="O62" s="7" t="s">
        <v>56</v>
      </c>
      <c r="P62" s="7" t="s">
        <v>56</v>
      </c>
      <c r="Q62" s="11" t="s">
        <v>56</v>
      </c>
      <c r="R62" s="7" t="str">
        <f>IFERROR(__xludf.DUMMYFUNCTION("IF(REGEXMATCH(M62, ""Accuracy""), ""Yes"", ""No"")"),"Yes")</f>
        <v>Yes</v>
      </c>
      <c r="S62" s="7" t="str">
        <f>IFERROR(__xludf.DUMMYFUNCTION("IF(REGEXMATCH(M62, ""Precision""), ""Yes"", ""No"")"),"No")</f>
        <v>No</v>
      </c>
      <c r="T62" s="7" t="str">
        <f>IFERROR(__xludf.DUMMYFUNCTION("IF(REGEXMATCH(M62, ""Recall""), ""Yes"", ""No"")"),"No")</f>
        <v>No</v>
      </c>
      <c r="U62" s="7" t="str">
        <f>IFERROR(__xludf.DUMMYFUNCTION("IF(REGEXMATCH(M62, ""F1 Measure""), ""Yes"", ""No"")"),"No")</f>
        <v>No</v>
      </c>
      <c r="V62" s="11" t="s">
        <v>79</v>
      </c>
      <c r="W62" s="7" t="s">
        <v>23</v>
      </c>
      <c r="X62" s="7" t="s">
        <v>96</v>
      </c>
      <c r="Y62" s="11" t="s">
        <v>59</v>
      </c>
      <c r="Z62" s="11" t="s">
        <v>145</v>
      </c>
      <c r="AA62" s="11" t="s">
        <v>180</v>
      </c>
      <c r="AB62" s="11" t="s">
        <v>569</v>
      </c>
      <c r="AC62" s="11" t="s">
        <v>569</v>
      </c>
      <c r="AD62" s="7" t="s">
        <v>56</v>
      </c>
      <c r="AE62" s="7" t="s">
        <v>56</v>
      </c>
      <c r="AF62" s="11" t="s">
        <v>56</v>
      </c>
      <c r="AG62" s="11" t="s">
        <v>56</v>
      </c>
      <c r="AH62" s="11" t="s">
        <v>358</v>
      </c>
      <c r="AI62" s="11" t="s">
        <v>64</v>
      </c>
      <c r="AJ62" s="7" t="s">
        <v>128</v>
      </c>
      <c r="AK62" s="7" t="s">
        <v>118</v>
      </c>
      <c r="AL62" s="7" t="s">
        <v>649</v>
      </c>
      <c r="AM62" s="7" t="str">
        <f>IFERROR(__xludf.DUMMYFUNCTION("IF(REGEXMATCH($AL62, ""Reproducible""), ""Yes"", ""No"")"),"No")</f>
        <v>No</v>
      </c>
      <c r="AN62" s="7" t="s">
        <v>56</v>
      </c>
      <c r="AO62" s="7" t="s">
        <v>62</v>
      </c>
      <c r="AP62" s="7" t="s">
        <v>56</v>
      </c>
      <c r="AQ62" s="7" t="str">
        <f>IFERROR(__xludf.DUMMYFUNCTION("IF(REGEXMATCH($AL62, ""No Repo""), ""Yes"", ""No"")"),"Yes")</f>
        <v>Yes</v>
      </c>
      <c r="AR62" s="7" t="str">
        <f>IFERROR(__xludf.DUMMYFUNCTION("IF(REGEXMATCH($AL62, ""Hyperparameters""), ""Yes"", ""No"")"),"No")</f>
        <v>No</v>
      </c>
      <c r="AS62" s="7" t="str">
        <f>IFERROR(__xludf.DUMMYFUNCTION("IF(REGEXMATCH($AL62, ""Filtering Details""), ""Yes"", ""No"")"),"No")</f>
        <v>No</v>
      </c>
    </row>
    <row r="63" ht="28.5" customHeight="1">
      <c r="A63" s="16" t="str">
        <f>HYPERLINK("http://proceedings.mlr.press/v80/sun18a.html","Neural Program Synthesis from Diverse Demonstration Videos")</f>
        <v>Neural Program Synthesis from Diverse Demonstration Videos</v>
      </c>
      <c r="B63" s="6" t="s">
        <v>45</v>
      </c>
      <c r="C63" s="14">
        <v>2018.0</v>
      </c>
      <c r="D63" s="6" t="s">
        <v>46</v>
      </c>
      <c r="E63" s="14" t="s">
        <v>650</v>
      </c>
      <c r="F63" s="14" t="s">
        <v>651</v>
      </c>
      <c r="G63" s="14" t="s">
        <v>652</v>
      </c>
      <c r="H63" s="14" t="s">
        <v>653</v>
      </c>
      <c r="I63" s="14" t="s">
        <v>654</v>
      </c>
      <c r="J63" s="14" t="s">
        <v>655</v>
      </c>
      <c r="K63" s="14" t="s">
        <v>55</v>
      </c>
      <c r="L63" s="14" t="s">
        <v>55</v>
      </c>
      <c r="M63" s="11" t="s">
        <v>17</v>
      </c>
      <c r="N63" s="11" t="s">
        <v>55</v>
      </c>
      <c r="O63" s="7" t="s">
        <v>56</v>
      </c>
      <c r="P63" s="7" t="s">
        <v>56</v>
      </c>
      <c r="Q63" s="11" t="s">
        <v>56</v>
      </c>
      <c r="R63" s="7" t="str">
        <f>IFERROR(__xludf.DUMMYFUNCTION("IF(REGEXMATCH(M63, ""Accuracy""), ""Yes"", ""No"")"),"Yes")</f>
        <v>Yes</v>
      </c>
      <c r="S63" s="7" t="str">
        <f>IFERROR(__xludf.DUMMYFUNCTION("IF(REGEXMATCH(M63, ""Precision""), ""Yes"", ""No"")"),"No")</f>
        <v>No</v>
      </c>
      <c r="T63" s="7" t="str">
        <f>IFERROR(__xludf.DUMMYFUNCTION("IF(REGEXMATCH(M63, ""Recall""), ""Yes"", ""No"")"),"No")</f>
        <v>No</v>
      </c>
      <c r="U63" s="7" t="str">
        <f>IFERROR(__xludf.DUMMYFUNCTION("IF(REGEXMATCH(M63, ""F1 Measure""), ""Yes"", ""No"")"),"No")</f>
        <v>No</v>
      </c>
      <c r="V63" s="11" t="s">
        <v>79</v>
      </c>
      <c r="W63" s="11" t="s">
        <v>55</v>
      </c>
      <c r="X63" s="7" t="s">
        <v>55</v>
      </c>
      <c r="Y63" s="11" t="s">
        <v>59</v>
      </c>
      <c r="Z63" s="11" t="s">
        <v>314</v>
      </c>
      <c r="AA63" s="11" t="s">
        <v>180</v>
      </c>
      <c r="AB63" s="11" t="s">
        <v>30</v>
      </c>
      <c r="AC63" s="11" t="s">
        <v>55</v>
      </c>
      <c r="AD63" s="7" t="s">
        <v>56</v>
      </c>
      <c r="AE63" s="11" t="s">
        <v>62</v>
      </c>
      <c r="AF63" s="11" t="s">
        <v>56</v>
      </c>
      <c r="AG63" s="11" t="s">
        <v>56</v>
      </c>
      <c r="AH63" s="11" t="s">
        <v>100</v>
      </c>
      <c r="AI63" s="11" t="s">
        <v>64</v>
      </c>
      <c r="AJ63" s="7" t="s">
        <v>128</v>
      </c>
      <c r="AK63" s="7" t="s">
        <v>102</v>
      </c>
      <c r="AL63" s="7" t="s">
        <v>255</v>
      </c>
      <c r="AM63" s="7" t="str">
        <f>IFERROR(__xludf.DUMMYFUNCTION("IF(REGEXMATCH($AL63, ""Reproducible""), ""Yes"", ""No"")"),"No")</f>
        <v>No</v>
      </c>
      <c r="AN63" s="7" t="s">
        <v>56</v>
      </c>
      <c r="AO63" s="7" t="s">
        <v>56</v>
      </c>
      <c r="AP63" s="7" t="s">
        <v>56</v>
      </c>
      <c r="AQ63" s="7" t="str">
        <f>IFERROR(__xludf.DUMMYFUNCTION("IF(REGEXMATCH($AL63, ""No Repo""), ""Yes"", ""No"")"),"No")</f>
        <v>No</v>
      </c>
      <c r="AR63" s="7" t="str">
        <f>IFERROR(__xludf.DUMMYFUNCTION("IF(REGEXMATCH($AL63, ""Hyperparameters""), ""Yes"", ""No"")"),"Yes")</f>
        <v>Yes</v>
      </c>
      <c r="AS63" s="7" t="str">
        <f>IFERROR(__xludf.DUMMYFUNCTION("IF(REGEXMATCH($AL63, ""Filtering Details""), ""Yes"", ""No"")"),"Yes")</f>
        <v>Yes</v>
      </c>
    </row>
    <row r="64" ht="28.5" customHeight="1">
      <c r="A64" s="5" t="str">
        <f>HYPERLINK("https://arxiv.org/abs/1511.06279","Neural programmer-interpreters")</f>
        <v>Neural programmer-interpreters</v>
      </c>
      <c r="B64" s="6" t="s">
        <v>256</v>
      </c>
      <c r="C64" s="6">
        <v>2015.0</v>
      </c>
      <c r="D64" s="6" t="s">
        <v>46</v>
      </c>
      <c r="E64" s="7" t="s">
        <v>656</v>
      </c>
      <c r="F64" s="6" t="s">
        <v>657</v>
      </c>
      <c r="G64" s="6" t="s">
        <v>658</v>
      </c>
      <c r="H64" s="6" t="s">
        <v>659</v>
      </c>
      <c r="I64" s="6" t="s">
        <v>660</v>
      </c>
      <c r="J64" s="7" t="s">
        <v>661</v>
      </c>
      <c r="K64" s="6" t="s">
        <v>662</v>
      </c>
      <c r="L64" s="6" t="s">
        <v>55</v>
      </c>
      <c r="M64" s="7" t="s">
        <v>17</v>
      </c>
      <c r="N64" s="7" t="s">
        <v>55</v>
      </c>
      <c r="O64" s="7" t="s">
        <v>56</v>
      </c>
      <c r="P64" s="7" t="s">
        <v>56</v>
      </c>
      <c r="Q64" s="7" t="s">
        <v>56</v>
      </c>
      <c r="R64" s="7" t="str">
        <f>IFERROR(__xludf.DUMMYFUNCTION("IF(REGEXMATCH(M64, ""Accuracy""), ""Yes"", ""No"")"),"Yes")</f>
        <v>Yes</v>
      </c>
      <c r="S64" s="7" t="str">
        <f>IFERROR(__xludf.DUMMYFUNCTION("IF(REGEXMATCH(M64, ""Precision""), ""Yes"", ""No"")"),"No")</f>
        <v>No</v>
      </c>
      <c r="T64" s="7" t="str">
        <f>IFERROR(__xludf.DUMMYFUNCTION("IF(REGEXMATCH(M64, ""Recall""), ""Yes"", ""No"")"),"No")</f>
        <v>No</v>
      </c>
      <c r="U64" s="7" t="str">
        <f>IFERROR(__xludf.DUMMYFUNCTION("IF(REGEXMATCH(M64, ""F1 Measure""), ""Yes"", ""No"")"),"No")</f>
        <v>No</v>
      </c>
      <c r="V64" s="7" t="s">
        <v>57</v>
      </c>
      <c r="W64" s="7" t="s">
        <v>55</v>
      </c>
      <c r="X64" s="7" t="s">
        <v>55</v>
      </c>
      <c r="Y64" s="7" t="s">
        <v>533</v>
      </c>
      <c r="Z64" s="7" t="s">
        <v>60</v>
      </c>
      <c r="AA64" s="7" t="s">
        <v>180</v>
      </c>
      <c r="AB64" s="7" t="s">
        <v>357</v>
      </c>
      <c r="AC64" s="7" t="s">
        <v>357</v>
      </c>
      <c r="AD64" s="7" t="s">
        <v>56</v>
      </c>
      <c r="AE64" s="7" t="s">
        <v>56</v>
      </c>
      <c r="AF64" s="7" t="s">
        <v>56</v>
      </c>
      <c r="AG64" s="7" t="s">
        <v>56</v>
      </c>
      <c r="AH64" s="7" t="s">
        <v>358</v>
      </c>
      <c r="AI64" s="7" t="s">
        <v>64</v>
      </c>
      <c r="AJ64" s="7" t="s">
        <v>101</v>
      </c>
      <c r="AK64" s="7" t="s">
        <v>83</v>
      </c>
      <c r="AL64" s="7" t="s">
        <v>44</v>
      </c>
      <c r="AM64" s="7" t="str">
        <f>IFERROR(__xludf.DUMMYFUNCTION("IF(REGEXMATCH($AL64, ""Reproducible""), ""Yes"", ""No"")"),"No")</f>
        <v>No</v>
      </c>
      <c r="AN64" s="7" t="s">
        <v>56</v>
      </c>
      <c r="AO64" s="7" t="s">
        <v>56</v>
      </c>
      <c r="AP64" s="7" t="s">
        <v>56</v>
      </c>
      <c r="AQ64" s="7" t="str">
        <f>IFERROR(__xludf.DUMMYFUNCTION("IF(REGEXMATCH($AL64, ""No Repo""), ""Yes"", ""No"")"),"No")</f>
        <v>No</v>
      </c>
      <c r="AR64" s="7" t="str">
        <f>IFERROR(__xludf.DUMMYFUNCTION("IF(REGEXMATCH($AL64, ""Hyperparameters""), ""Yes"", ""No"")"),"No")</f>
        <v>No</v>
      </c>
      <c r="AS64" s="7" t="str">
        <f>IFERROR(__xludf.DUMMYFUNCTION("IF(REGEXMATCH($AL64, ""Filtering Details""), ""Yes"", ""No"")"),"Yes")</f>
        <v>Yes</v>
      </c>
    </row>
    <row r="65" ht="28.5" customHeight="1">
      <c r="A65" s="16" t="str">
        <f>HYPERLINK("https://arxiv.org/abs/1703.05698","Neural sketch learning for conditional program generation")</f>
        <v>Neural sketch learning for conditional program generation</v>
      </c>
      <c r="B65" s="6" t="s">
        <v>256</v>
      </c>
      <c r="C65" s="14">
        <v>2018.0</v>
      </c>
      <c r="D65" s="14" t="s">
        <v>85</v>
      </c>
      <c r="E65" s="14" t="s">
        <v>663</v>
      </c>
      <c r="F65" s="11" t="s">
        <v>664</v>
      </c>
      <c r="G65" s="11" t="s">
        <v>665</v>
      </c>
      <c r="H65" s="14" t="s">
        <v>666</v>
      </c>
      <c r="I65" s="14" t="s">
        <v>667</v>
      </c>
      <c r="J65" s="11" t="s">
        <v>668</v>
      </c>
      <c r="K65" s="14" t="s">
        <v>55</v>
      </c>
      <c r="L65" s="14" t="s">
        <v>55</v>
      </c>
      <c r="M65" s="11" t="s">
        <v>669</v>
      </c>
      <c r="N65" s="7" t="s">
        <v>95</v>
      </c>
      <c r="O65" s="7" t="s">
        <v>56</v>
      </c>
      <c r="P65" s="7" t="s">
        <v>56</v>
      </c>
      <c r="Q65" s="11" t="s">
        <v>56</v>
      </c>
      <c r="R65" s="7" t="str">
        <f>IFERROR(__xludf.DUMMYFUNCTION("IF(REGEXMATCH(M65, ""Accuracy""), ""Yes"", ""No"")"),"Yes")</f>
        <v>Yes</v>
      </c>
      <c r="S65" s="7" t="str">
        <f>IFERROR(__xludf.DUMMYFUNCTION("IF(REGEXMATCH(M65, ""Precision""), ""Yes"", ""No"")"),"No")</f>
        <v>No</v>
      </c>
      <c r="T65" s="7" t="str">
        <f>IFERROR(__xludf.DUMMYFUNCTION("IF(REGEXMATCH(M65, ""Recall""), ""Yes"", ""No"")"),"No")</f>
        <v>No</v>
      </c>
      <c r="U65" s="7" t="str">
        <f>IFERROR(__xludf.DUMMYFUNCTION("IF(REGEXMATCH(M65, ""F1 Measure""), ""Yes"", ""No"")"),"No")</f>
        <v>No</v>
      </c>
      <c r="V65" s="11" t="s">
        <v>79</v>
      </c>
      <c r="W65" s="11" t="s">
        <v>55</v>
      </c>
      <c r="X65" s="7" t="s">
        <v>55</v>
      </c>
      <c r="Y65" s="11" t="s">
        <v>59</v>
      </c>
      <c r="Z65" s="11" t="s">
        <v>145</v>
      </c>
      <c r="AA65" s="11" t="s">
        <v>180</v>
      </c>
      <c r="AB65" s="11" t="s">
        <v>31</v>
      </c>
      <c r="AC65" s="11" t="s">
        <v>55</v>
      </c>
      <c r="AD65" s="7" t="s">
        <v>56</v>
      </c>
      <c r="AE65" s="7" t="s">
        <v>56</v>
      </c>
      <c r="AF65" s="11" t="s">
        <v>62</v>
      </c>
      <c r="AG65" s="11" t="s">
        <v>56</v>
      </c>
      <c r="AH65" s="11" t="s">
        <v>63</v>
      </c>
      <c r="AI65" s="11" t="s">
        <v>64</v>
      </c>
      <c r="AJ65" s="7" t="s">
        <v>128</v>
      </c>
      <c r="AK65" s="7" t="s">
        <v>118</v>
      </c>
      <c r="AL65" s="7" t="s">
        <v>415</v>
      </c>
      <c r="AM65" s="7" t="str">
        <f>IFERROR(__xludf.DUMMYFUNCTION("IF(REGEXMATCH($AL65, ""Reproducible""), ""Yes"", ""No"")"),"No")</f>
        <v>No</v>
      </c>
      <c r="AN65" s="7" t="s">
        <v>56</v>
      </c>
      <c r="AO65" s="7" t="s">
        <v>56</v>
      </c>
      <c r="AP65" s="7" t="s">
        <v>56</v>
      </c>
      <c r="AQ65" s="7" t="str">
        <f>IFERROR(__xludf.DUMMYFUNCTION("IF(REGEXMATCH($AL65, ""No Repo""), ""Yes"", ""No"")"),"Yes")</f>
        <v>Yes</v>
      </c>
      <c r="AR65" s="7" t="str">
        <f>IFERROR(__xludf.DUMMYFUNCTION("IF(REGEXMATCH($AL65, ""Hyperparameters""), ""Yes"", ""No"")"),"Yes")</f>
        <v>Yes</v>
      </c>
      <c r="AS65" s="7" t="str">
        <f>IFERROR(__xludf.DUMMYFUNCTION("IF(REGEXMATCH($AL65, ""Filtering Details""), ""Yes"", ""No"")"),"Yes")</f>
        <v>Yes</v>
      </c>
    </row>
    <row r="66" ht="28.5" customHeight="1">
      <c r="A66" s="16" t="str">
        <f>HYPERLINK("https://arxiv.org/abs/1809.04059","Neural-augmented Static Analysis of Android Communication")</f>
        <v>Neural-augmented Static Analysis of Android Communication</v>
      </c>
      <c r="B66" s="6" t="s">
        <v>129</v>
      </c>
      <c r="C66" s="14">
        <v>2018.0</v>
      </c>
      <c r="D66" s="14" t="s">
        <v>85</v>
      </c>
      <c r="E66" s="14" t="s">
        <v>670</v>
      </c>
      <c r="F66" s="14" t="s">
        <v>671</v>
      </c>
      <c r="G66" s="14" t="s">
        <v>672</v>
      </c>
      <c r="H66" s="14" t="s">
        <v>55</v>
      </c>
      <c r="I66" s="14" t="s">
        <v>673</v>
      </c>
      <c r="J66" s="14" t="s">
        <v>674</v>
      </c>
      <c r="K66" s="14" t="s">
        <v>55</v>
      </c>
      <c r="L66" s="14" t="s">
        <v>675</v>
      </c>
      <c r="M66" s="11" t="s">
        <v>676</v>
      </c>
      <c r="N66" s="7" t="s">
        <v>95</v>
      </c>
      <c r="O66" s="7" t="s">
        <v>56</v>
      </c>
      <c r="P66" s="27" t="s">
        <v>62</v>
      </c>
      <c r="Q66" s="27" t="s">
        <v>56</v>
      </c>
      <c r="R66" s="7" t="str">
        <f>IFERROR(__xludf.DUMMYFUNCTION("IF(REGEXMATCH(M66, ""Accuracy""), ""Yes"", ""No"")"),"No")</f>
        <v>No</v>
      </c>
      <c r="S66" s="7" t="str">
        <f>IFERROR(__xludf.DUMMYFUNCTION("IF(REGEXMATCH(M66, ""Precision""), ""Yes"", ""No"")"),"No")</f>
        <v>No</v>
      </c>
      <c r="T66" s="7" t="str">
        <f>IFERROR(__xludf.DUMMYFUNCTION("IF(REGEXMATCH(M66, ""Recall""), ""Yes"", ""No"")"),"No")</f>
        <v>No</v>
      </c>
      <c r="U66" s="7" t="str">
        <f>IFERROR(__xludf.DUMMYFUNCTION("IF(REGEXMATCH(M66, ""F1 Measure""), ""Yes"", ""No"")"),"Yes")</f>
        <v>Yes</v>
      </c>
      <c r="V66" s="11" t="s">
        <v>79</v>
      </c>
      <c r="W66" s="11" t="s">
        <v>55</v>
      </c>
      <c r="X66" s="7" t="s">
        <v>55</v>
      </c>
      <c r="Y66" s="11" t="s">
        <v>59</v>
      </c>
      <c r="Z66" s="11" t="s">
        <v>145</v>
      </c>
      <c r="AA66" s="11" t="s">
        <v>169</v>
      </c>
      <c r="AB66" s="11" t="s">
        <v>31</v>
      </c>
      <c r="AC66" s="11" t="s">
        <v>55</v>
      </c>
      <c r="AD66" s="7" t="s">
        <v>56</v>
      </c>
      <c r="AE66" s="7" t="s">
        <v>56</v>
      </c>
      <c r="AF66" s="11" t="s">
        <v>62</v>
      </c>
      <c r="AG66" s="11" t="s">
        <v>56</v>
      </c>
      <c r="AH66" s="11" t="s">
        <v>677</v>
      </c>
      <c r="AI66" s="11" t="s">
        <v>64</v>
      </c>
      <c r="AJ66" s="11" t="s">
        <v>678</v>
      </c>
      <c r="AK66" s="11" t="s">
        <v>66</v>
      </c>
      <c r="AL66" s="11" t="s">
        <v>200</v>
      </c>
      <c r="AM66" s="7" t="str">
        <f>IFERROR(__xludf.DUMMYFUNCTION("IF(REGEXMATCH($AL66, ""Reproducible""), ""Yes"", ""No"")"),"No")</f>
        <v>No</v>
      </c>
      <c r="AN66" s="11" t="s">
        <v>56</v>
      </c>
      <c r="AO66" s="11" t="s">
        <v>56</v>
      </c>
      <c r="AP66" s="11" t="s">
        <v>56</v>
      </c>
      <c r="AQ66" s="7" t="str">
        <f>IFERROR(__xludf.DUMMYFUNCTION("IF(REGEXMATCH($AL66, ""No Repo""), ""Yes"", ""No"")"),"Yes")</f>
        <v>Yes</v>
      </c>
      <c r="AR66" s="7" t="str">
        <f>IFERROR(__xludf.DUMMYFUNCTION("IF(REGEXMATCH($AL66, ""Hyperparameters""), ""Yes"", ""No"")"),"Yes")</f>
        <v>Yes</v>
      </c>
      <c r="AS66" s="7" t="str">
        <f>IFERROR(__xludf.DUMMYFUNCTION("IF(REGEXMATCH($AL66, ""Filtering Details""), ""Yes"", ""No"")"),"No")</f>
        <v>No</v>
      </c>
    </row>
    <row r="67" ht="28.5" customHeight="1">
      <c r="A67" s="5" t="str">
        <f>HYPERLINK("https://arxiv.org/abs/1804.01186","Neural-guided deductive search for real-time program synthesis from examples")</f>
        <v>Neural-guided deductive search for real-time program synthesis from examples</v>
      </c>
      <c r="B67" s="6" t="s">
        <v>256</v>
      </c>
      <c r="C67" s="6">
        <v>2018.0</v>
      </c>
      <c r="D67" s="6" t="s">
        <v>46</v>
      </c>
      <c r="E67" s="7" t="s">
        <v>679</v>
      </c>
      <c r="F67" s="6" t="s">
        <v>55</v>
      </c>
      <c r="G67" s="6" t="s">
        <v>680</v>
      </c>
      <c r="H67" s="6" t="s">
        <v>55</v>
      </c>
      <c r="I67" s="7" t="s">
        <v>681</v>
      </c>
      <c r="J67" s="7" t="s">
        <v>682</v>
      </c>
      <c r="K67" s="7" t="s">
        <v>683</v>
      </c>
      <c r="L67" s="7" t="s">
        <v>684</v>
      </c>
      <c r="M67" s="7" t="s">
        <v>17</v>
      </c>
      <c r="N67" s="7" t="s">
        <v>55</v>
      </c>
      <c r="O67" s="7" t="s">
        <v>56</v>
      </c>
      <c r="P67" s="7" t="s">
        <v>56</v>
      </c>
      <c r="Q67" s="7" t="s">
        <v>56</v>
      </c>
      <c r="R67" s="7" t="str">
        <f>IFERROR(__xludf.DUMMYFUNCTION("IF(REGEXMATCH(M67, ""Accuracy""), ""Yes"", ""No"")"),"Yes")</f>
        <v>Yes</v>
      </c>
      <c r="S67" s="7" t="str">
        <f>IFERROR(__xludf.DUMMYFUNCTION("IF(REGEXMATCH(M67, ""Precision""), ""Yes"", ""No"")"),"No")</f>
        <v>No</v>
      </c>
      <c r="T67" s="7" t="str">
        <f>IFERROR(__xludf.DUMMYFUNCTION("IF(REGEXMATCH(M67, ""Recall""), ""Yes"", ""No"")"),"No")</f>
        <v>No</v>
      </c>
      <c r="U67" s="7" t="str">
        <f>IFERROR(__xludf.DUMMYFUNCTION("IF(REGEXMATCH(M67, ""F1 Measure""), ""Yes"", ""No"")"),"No")</f>
        <v>No</v>
      </c>
      <c r="V67" s="7" t="s">
        <v>79</v>
      </c>
      <c r="W67" s="7" t="s">
        <v>55</v>
      </c>
      <c r="X67" s="7" t="s">
        <v>55</v>
      </c>
      <c r="Y67" s="7" t="s">
        <v>59</v>
      </c>
      <c r="Z67" s="7" t="s">
        <v>60</v>
      </c>
      <c r="AA67" s="7" t="s">
        <v>180</v>
      </c>
      <c r="AB67" s="7" t="s">
        <v>29</v>
      </c>
      <c r="AC67" s="7" t="s">
        <v>55</v>
      </c>
      <c r="AD67" s="7" t="s">
        <v>62</v>
      </c>
      <c r="AE67" s="7" t="s">
        <v>56</v>
      </c>
      <c r="AF67" s="11" t="s">
        <v>56</v>
      </c>
      <c r="AG67" s="11" t="s">
        <v>56</v>
      </c>
      <c r="AH67" s="7" t="s">
        <v>465</v>
      </c>
      <c r="AI67" s="7" t="s">
        <v>64</v>
      </c>
      <c r="AJ67" s="7" t="s">
        <v>101</v>
      </c>
      <c r="AK67" s="7" t="s">
        <v>158</v>
      </c>
      <c r="AL67" s="7" t="s">
        <v>406</v>
      </c>
      <c r="AM67" s="7" t="str">
        <f>IFERROR(__xludf.DUMMYFUNCTION("IF(REGEXMATCH($AL67, ""Reproducible""), ""Yes"", ""No"")"),"No")</f>
        <v>No</v>
      </c>
      <c r="AN67" s="7" t="s">
        <v>62</v>
      </c>
      <c r="AO67" s="7" t="s">
        <v>56</v>
      </c>
      <c r="AP67" s="7" t="s">
        <v>56</v>
      </c>
      <c r="AQ67" s="7" t="str">
        <f>IFERROR(__xludf.DUMMYFUNCTION("IF(REGEXMATCH($AL67, ""No Repo""), ""Yes"", ""No"")"),"Yes")</f>
        <v>Yes</v>
      </c>
      <c r="AR67" s="7" t="str">
        <f>IFERROR(__xludf.DUMMYFUNCTION("IF(REGEXMATCH($AL67, ""Hyperparameters""), ""Yes"", ""No"")"),"No")</f>
        <v>No</v>
      </c>
      <c r="AS67" s="7" t="str">
        <f>IFERROR(__xludf.DUMMYFUNCTION("IF(REGEXMATCH($AL67, ""Filtering Details""), ""Yes"", ""No"")"),"Yes")</f>
        <v>Yes</v>
      </c>
    </row>
    <row r="68" ht="28.5" customHeight="1">
      <c r="A68" s="16" t="str">
        <f>HYPERLINK("https://dl.acm.org/citation.cfm?id=3180155.3180219","Neuro-Symbolic Program Corrector for Introductory Programming Assignments")</f>
        <v>Neuro-Symbolic Program Corrector for Introductory Programming Assignments</v>
      </c>
      <c r="B68" s="14" t="s">
        <v>150</v>
      </c>
      <c r="C68" s="14">
        <v>2018.0</v>
      </c>
      <c r="D68" s="14" t="s">
        <v>85</v>
      </c>
      <c r="E68" s="14" t="s">
        <v>500</v>
      </c>
      <c r="F68" s="14" t="s">
        <v>685</v>
      </c>
      <c r="G68" s="14" t="s">
        <v>686</v>
      </c>
      <c r="H68" s="14" t="s">
        <v>687</v>
      </c>
      <c r="I68" s="14" t="s">
        <v>688</v>
      </c>
      <c r="J68" s="14" t="s">
        <v>689</v>
      </c>
      <c r="K68" s="14" t="s">
        <v>690</v>
      </c>
      <c r="L68" s="14" t="s">
        <v>691</v>
      </c>
      <c r="M68" s="11" t="s">
        <v>17</v>
      </c>
      <c r="N68" s="11" t="s">
        <v>55</v>
      </c>
      <c r="O68" s="7" t="s">
        <v>56</v>
      </c>
      <c r="P68" s="7" t="s">
        <v>56</v>
      </c>
      <c r="Q68" s="11" t="s">
        <v>56</v>
      </c>
      <c r="R68" s="7" t="str">
        <f>IFERROR(__xludf.DUMMYFUNCTION("IF(REGEXMATCH(M68, ""Accuracy""), ""Yes"", ""No"")"),"Yes")</f>
        <v>Yes</v>
      </c>
      <c r="S68" s="7" t="str">
        <f>IFERROR(__xludf.DUMMYFUNCTION("IF(REGEXMATCH(M68, ""Precision""), ""Yes"", ""No"")"),"No")</f>
        <v>No</v>
      </c>
      <c r="T68" s="7" t="str">
        <f>IFERROR(__xludf.DUMMYFUNCTION("IF(REGEXMATCH(M68, ""Recall""), ""Yes"", ""No"")"),"No")</f>
        <v>No</v>
      </c>
      <c r="U68" s="7" t="str">
        <f>IFERROR(__xludf.DUMMYFUNCTION("IF(REGEXMATCH(M68, ""F1 Measure""), ""Yes"", ""No"")"),"No")</f>
        <v>No</v>
      </c>
      <c r="V68" s="11" t="s">
        <v>79</v>
      </c>
      <c r="W68" s="11" t="s">
        <v>23</v>
      </c>
      <c r="X68" s="11" t="s">
        <v>96</v>
      </c>
      <c r="Y68" s="11" t="s">
        <v>59</v>
      </c>
      <c r="Z68" s="11" t="s">
        <v>55</v>
      </c>
      <c r="AA68" s="11" t="s">
        <v>127</v>
      </c>
      <c r="AB68" s="11" t="s">
        <v>31</v>
      </c>
      <c r="AC68" s="11" t="s">
        <v>55</v>
      </c>
      <c r="AD68" s="7" t="s">
        <v>56</v>
      </c>
      <c r="AE68" s="7" t="s">
        <v>56</v>
      </c>
      <c r="AF68" s="11" t="s">
        <v>62</v>
      </c>
      <c r="AG68" s="11" t="s">
        <v>56</v>
      </c>
      <c r="AH68" s="11" t="s">
        <v>63</v>
      </c>
      <c r="AI68" s="11" t="s">
        <v>64</v>
      </c>
      <c r="AJ68" s="11" t="s">
        <v>101</v>
      </c>
      <c r="AK68" s="11" t="s">
        <v>102</v>
      </c>
      <c r="AL68" s="11" t="s">
        <v>67</v>
      </c>
      <c r="AM68" s="7" t="str">
        <f>IFERROR(__xludf.DUMMYFUNCTION("IF(REGEXMATCH($AL68, ""Reproducible""), ""Yes"", ""No"")"),"No")</f>
        <v>No</v>
      </c>
      <c r="AN68" s="11" t="s">
        <v>56</v>
      </c>
      <c r="AO68" s="11" t="s">
        <v>56</v>
      </c>
      <c r="AP68" s="11" t="s">
        <v>56</v>
      </c>
      <c r="AQ68" s="7" t="str">
        <f>IFERROR(__xludf.DUMMYFUNCTION("IF(REGEXMATCH($AL68, ""No Repo""), ""Yes"", ""No"")"),"Yes")</f>
        <v>Yes</v>
      </c>
      <c r="AR68" s="7" t="str">
        <f>IFERROR(__xludf.DUMMYFUNCTION("IF(REGEXMATCH($AL68, ""Hyperparameters""), ""Yes"", ""No"")"),"No")</f>
        <v>No</v>
      </c>
      <c r="AS68" s="7" t="str">
        <f>IFERROR(__xludf.DUMMYFUNCTION("IF(REGEXMATCH($AL68, ""Filtering Details""), ""Yes"", ""No"")"),"Yes")</f>
        <v>Yes</v>
      </c>
    </row>
    <row r="69" ht="28.5" customHeight="1">
      <c r="A69" s="16" t="str">
        <f>HYPERLINK("https://dl.acm.org/citation.cfm?id=3275433","On the Adoption of Neural Networks in Modeling Software Reliability")</f>
        <v>On the Adoption of Neural Networks in Modeling Software Reliability</v>
      </c>
      <c r="B69" s="6" t="s">
        <v>129</v>
      </c>
      <c r="C69" s="14">
        <v>2018.0</v>
      </c>
      <c r="D69" s="6" t="s">
        <v>104</v>
      </c>
      <c r="E69" s="11" t="s">
        <v>692</v>
      </c>
      <c r="F69" s="14" t="s">
        <v>55</v>
      </c>
      <c r="G69" s="14" t="s">
        <v>55</v>
      </c>
      <c r="H69" s="14" t="s">
        <v>55</v>
      </c>
      <c r="I69" s="14" t="s">
        <v>55</v>
      </c>
      <c r="J69" s="14" t="s">
        <v>693</v>
      </c>
      <c r="K69" s="14" t="s">
        <v>694</v>
      </c>
      <c r="L69" s="14" t="s">
        <v>695</v>
      </c>
      <c r="M69" s="11" t="s">
        <v>696</v>
      </c>
      <c r="N69" s="7" t="s">
        <v>95</v>
      </c>
      <c r="O69" s="7" t="s">
        <v>56</v>
      </c>
      <c r="P69" s="7" t="s">
        <v>56</v>
      </c>
      <c r="Q69" s="11" t="s">
        <v>56</v>
      </c>
      <c r="R69" s="7" t="str">
        <f>IFERROR(__xludf.DUMMYFUNCTION("IF(REGEXMATCH(M69, ""Accuracy""), ""Yes"", ""No"")"),"No")</f>
        <v>No</v>
      </c>
      <c r="S69" s="7" t="str">
        <f>IFERROR(__xludf.DUMMYFUNCTION("IF(REGEXMATCH(M69, ""Precision""), ""Yes"", ""No"")"),"No")</f>
        <v>No</v>
      </c>
      <c r="T69" s="7" t="str">
        <f>IFERROR(__xludf.DUMMYFUNCTION("IF(REGEXMATCH(M69, ""Recall""), ""Yes"", ""No"")"),"No")</f>
        <v>No</v>
      </c>
      <c r="U69" s="7" t="str">
        <f>IFERROR(__xludf.DUMMYFUNCTION("IF(REGEXMATCH(M69, ""F1 Measure""), ""Yes"", ""No"")"),"No")</f>
        <v>No</v>
      </c>
      <c r="V69" s="11" t="s">
        <v>55</v>
      </c>
      <c r="W69" s="11" t="s">
        <v>23</v>
      </c>
      <c r="X69" s="11" t="s">
        <v>210</v>
      </c>
      <c r="Y69" s="11" t="s">
        <v>59</v>
      </c>
      <c r="Z69" s="11" t="s">
        <v>265</v>
      </c>
      <c r="AA69" s="7" t="s">
        <v>211</v>
      </c>
      <c r="AB69" s="11" t="s">
        <v>303</v>
      </c>
      <c r="AC69" s="11" t="s">
        <v>303</v>
      </c>
      <c r="AD69" s="7" t="s">
        <v>56</v>
      </c>
      <c r="AE69" s="7" t="s">
        <v>56</v>
      </c>
      <c r="AF69" s="11" t="s">
        <v>56</v>
      </c>
      <c r="AG69" s="11" t="s">
        <v>56</v>
      </c>
      <c r="AH69" s="11" t="s">
        <v>55</v>
      </c>
      <c r="AI69" s="11" t="s">
        <v>64</v>
      </c>
      <c r="AJ69" s="7" t="s">
        <v>128</v>
      </c>
      <c r="AK69" s="7" t="s">
        <v>66</v>
      </c>
      <c r="AL69" s="7" t="s">
        <v>697</v>
      </c>
      <c r="AM69" s="7" t="str">
        <f>IFERROR(__xludf.DUMMYFUNCTION("IF(REGEXMATCH($AL69, ""Reproducible""), ""Yes"", ""No"")"),"No")</f>
        <v>No</v>
      </c>
      <c r="AN69" s="7" t="s">
        <v>62</v>
      </c>
      <c r="AO69" s="7" t="s">
        <v>62</v>
      </c>
      <c r="AP69" s="7" t="s">
        <v>56</v>
      </c>
      <c r="AQ69" s="7" t="str">
        <f>IFERROR(__xludf.DUMMYFUNCTION("IF(REGEXMATCH($AL69, ""No Repo""), ""Yes"", ""No"")"),"Yes")</f>
        <v>Yes</v>
      </c>
      <c r="AR69" s="7" t="str">
        <f>IFERROR(__xludf.DUMMYFUNCTION("IF(REGEXMATCH($AL69, ""Hyperparameters""), ""Yes"", ""No"")"),"No")</f>
        <v>No</v>
      </c>
      <c r="AS69" s="7" t="str">
        <f>IFERROR(__xludf.DUMMYFUNCTION("IF(REGEXMATCH($AL69, ""Filtering Details""), ""Yes"", ""No"")"),"Yes")</f>
        <v>Yes</v>
      </c>
    </row>
    <row r="70" ht="28.5" customHeight="1">
      <c r="A70" s="21" t="str">
        <f>HYPERLINK("https://dl-acm-org.proxy.wm.edu/citation.cfm?id=3264832","On the Naturalness of Proofs")</f>
        <v>On the Naturalness of Proofs</v>
      </c>
      <c r="B70" s="6" t="s">
        <v>129</v>
      </c>
      <c r="C70" s="11">
        <v>2018.0</v>
      </c>
      <c r="D70" s="6" t="s">
        <v>104</v>
      </c>
      <c r="E70" s="11" t="s">
        <v>698</v>
      </c>
      <c r="F70" s="11" t="s">
        <v>699</v>
      </c>
      <c r="G70" s="11" t="s">
        <v>55</v>
      </c>
      <c r="H70" s="11" t="s">
        <v>700</v>
      </c>
      <c r="I70" s="11" t="s">
        <v>701</v>
      </c>
      <c r="J70" s="11" t="s">
        <v>702</v>
      </c>
      <c r="K70" s="11" t="s">
        <v>55</v>
      </c>
      <c r="L70" s="11" t="s">
        <v>703</v>
      </c>
      <c r="M70" s="11" t="s">
        <v>704</v>
      </c>
      <c r="N70" s="7" t="s">
        <v>95</v>
      </c>
      <c r="O70" s="7" t="s">
        <v>56</v>
      </c>
      <c r="P70" s="7" t="s">
        <v>56</v>
      </c>
      <c r="Q70" s="11" t="s">
        <v>56</v>
      </c>
      <c r="R70" s="7" t="str">
        <f>IFERROR(__xludf.DUMMYFUNCTION("IF(REGEXMATCH(M70, ""Accuracy""), ""Yes"", ""No"")"),"Yes")</f>
        <v>Yes</v>
      </c>
      <c r="S70" s="7" t="str">
        <f>IFERROR(__xludf.DUMMYFUNCTION("IF(REGEXMATCH(M70, ""Precision""), ""Yes"", ""No"")"),"No")</f>
        <v>No</v>
      </c>
      <c r="T70" s="7" t="str">
        <f>IFERROR(__xludf.DUMMYFUNCTION("IF(REGEXMATCH(M70, ""Recall""), ""Yes"", ""No"")"),"No")</f>
        <v>No</v>
      </c>
      <c r="U70" s="7" t="str">
        <f>IFERROR(__xludf.DUMMYFUNCTION("IF(REGEXMATCH(M70, ""F1 Measure""), ""Yes"", ""No"")"),"No")</f>
        <v>No</v>
      </c>
      <c r="V70" s="11" t="s">
        <v>79</v>
      </c>
      <c r="W70" s="11" t="s">
        <v>55</v>
      </c>
      <c r="X70" s="7" t="s">
        <v>55</v>
      </c>
      <c r="Y70" s="7" t="s">
        <v>59</v>
      </c>
      <c r="Z70" s="11" t="s">
        <v>97</v>
      </c>
      <c r="AA70" s="11" t="s">
        <v>180</v>
      </c>
      <c r="AB70" s="11" t="s">
        <v>31</v>
      </c>
      <c r="AC70" s="11" t="s">
        <v>55</v>
      </c>
      <c r="AD70" s="7" t="s">
        <v>56</v>
      </c>
      <c r="AE70" s="7" t="s">
        <v>56</v>
      </c>
      <c r="AF70" s="11" t="s">
        <v>62</v>
      </c>
      <c r="AG70" s="11" t="s">
        <v>56</v>
      </c>
      <c r="AH70" s="11" t="s">
        <v>63</v>
      </c>
      <c r="AI70" s="11" t="s">
        <v>64</v>
      </c>
      <c r="AJ70" s="11" t="s">
        <v>101</v>
      </c>
      <c r="AK70" s="11" t="s">
        <v>148</v>
      </c>
      <c r="AL70" s="11" t="s">
        <v>305</v>
      </c>
      <c r="AM70" s="7" t="str">
        <f>IFERROR(__xludf.DUMMYFUNCTION("IF(REGEXMATCH($AL70, ""Reproducible""), ""Yes"", ""No"")"),"No")</f>
        <v>No</v>
      </c>
      <c r="AN70" s="7" t="s">
        <v>56</v>
      </c>
      <c r="AO70" s="7" t="s">
        <v>62</v>
      </c>
      <c r="AP70" s="7" t="s">
        <v>56</v>
      </c>
      <c r="AQ70" s="7" t="str">
        <f>IFERROR(__xludf.DUMMYFUNCTION("IF(REGEXMATCH($AL70, ""No Repo""), ""Yes"", ""No"")"),"Yes")</f>
        <v>Yes</v>
      </c>
      <c r="AR70" s="7" t="str">
        <f>IFERROR(__xludf.DUMMYFUNCTION("IF(REGEXMATCH($AL70, ""Hyperparameters""), ""Yes"", ""No"")"),"Yes")</f>
        <v>Yes</v>
      </c>
      <c r="AS70" s="7" t="str">
        <f>IFERROR(__xludf.DUMMYFUNCTION("IF(REGEXMATCH($AL70, ""Filtering Details""), ""Yes"", ""No"")"),"Yes")</f>
        <v>Yes</v>
      </c>
    </row>
    <row r="71" ht="28.5" customHeight="1">
      <c r="A71" s="21" t="str">
        <f>HYPERLINK("https://arxiv.org/abs/1806.05837","Oreo: Detection of Clones in the Twilight Zone")</f>
        <v>Oreo: Detection of Clones in the Twilight Zone</v>
      </c>
      <c r="B71" s="6" t="s">
        <v>129</v>
      </c>
      <c r="C71" s="11">
        <v>2018.0</v>
      </c>
      <c r="D71" s="14" t="s">
        <v>85</v>
      </c>
      <c r="E71" s="11" t="s">
        <v>705</v>
      </c>
      <c r="F71" s="11" t="s">
        <v>706</v>
      </c>
      <c r="G71" s="11" t="s">
        <v>707</v>
      </c>
      <c r="H71" s="11" t="s">
        <v>708</v>
      </c>
      <c r="I71" s="11" t="s">
        <v>709</v>
      </c>
      <c r="J71" s="11" t="s">
        <v>710</v>
      </c>
      <c r="K71" s="11" t="s">
        <v>711</v>
      </c>
      <c r="L71" s="11" t="s">
        <v>712</v>
      </c>
      <c r="M71" s="11" t="s">
        <v>713</v>
      </c>
      <c r="N71" s="11" t="s">
        <v>55</v>
      </c>
      <c r="O71" s="7" t="s">
        <v>56</v>
      </c>
      <c r="P71" s="11" t="s">
        <v>62</v>
      </c>
      <c r="Q71" s="11" t="s">
        <v>56</v>
      </c>
      <c r="R71" s="7" t="str">
        <f>IFERROR(__xludf.DUMMYFUNCTION("IF(REGEXMATCH(M71, ""Accuracy""), ""Yes"", ""No"")"),"Yes")</f>
        <v>Yes</v>
      </c>
      <c r="S71" s="7" t="str">
        <f>IFERROR(__xludf.DUMMYFUNCTION("IF(REGEXMATCH(M71, ""Precision""), ""Yes"", ""No"")"),"Yes")</f>
        <v>Yes</v>
      </c>
      <c r="T71" s="7" t="str">
        <f>IFERROR(__xludf.DUMMYFUNCTION("IF(REGEXMATCH(M71, ""Recall""), ""Yes"", ""No"")"),"Yes")</f>
        <v>Yes</v>
      </c>
      <c r="U71" s="7" t="str">
        <f>IFERROR(__xludf.DUMMYFUNCTION("IF(REGEXMATCH(M71, ""F1 Measure""), ""Yes"", ""No"")"),"No")</f>
        <v>No</v>
      </c>
      <c r="V71" s="11" t="s">
        <v>79</v>
      </c>
      <c r="W71" s="11" t="s">
        <v>23</v>
      </c>
      <c r="X71" s="11" t="s">
        <v>96</v>
      </c>
      <c r="Y71" s="11" t="s">
        <v>59</v>
      </c>
      <c r="Z71" s="11" t="s">
        <v>145</v>
      </c>
      <c r="AA71" s="11" t="s">
        <v>244</v>
      </c>
      <c r="AB71" s="11" t="s">
        <v>31</v>
      </c>
      <c r="AC71" s="11" t="s">
        <v>55</v>
      </c>
      <c r="AD71" s="7" t="s">
        <v>56</v>
      </c>
      <c r="AE71" s="7" t="s">
        <v>56</v>
      </c>
      <c r="AF71" s="11" t="s">
        <v>62</v>
      </c>
      <c r="AG71" s="11" t="s">
        <v>56</v>
      </c>
      <c r="AH71" s="11" t="s">
        <v>714</v>
      </c>
      <c r="AI71" s="11" t="s">
        <v>64</v>
      </c>
      <c r="AJ71" s="11" t="s">
        <v>715</v>
      </c>
      <c r="AK71" s="11" t="s">
        <v>66</v>
      </c>
      <c r="AL71" s="11" t="s">
        <v>716</v>
      </c>
      <c r="AM71" s="7" t="str">
        <f>IFERROR(__xludf.DUMMYFUNCTION("IF(REGEXMATCH($AL71, ""Reproducible""), ""Yes"", ""No"")"),"No")</f>
        <v>No</v>
      </c>
      <c r="AN71" s="11" t="s">
        <v>56</v>
      </c>
      <c r="AO71" s="11" t="s">
        <v>56</v>
      </c>
      <c r="AP71" s="11" t="s">
        <v>56</v>
      </c>
      <c r="AQ71" s="7" t="str">
        <f>IFERROR(__xludf.DUMMYFUNCTION("IF(REGEXMATCH($AL71, ""No Repo""), ""Yes"", ""No"")"),"No")</f>
        <v>No</v>
      </c>
      <c r="AR71" s="7" t="str">
        <f>IFERROR(__xludf.DUMMYFUNCTION("IF(REGEXMATCH($AL71, ""Hyperparameters""), ""Yes"", ""No"")"),"No")</f>
        <v>No</v>
      </c>
      <c r="AS71" s="7" t="str">
        <f>IFERROR(__xludf.DUMMYFUNCTION("IF(REGEXMATCH($AL71, ""Filtering Details""), ""Yes"", ""No"")"),"Yes")</f>
        <v>Yes</v>
      </c>
    </row>
    <row r="72" ht="28.5" customHeight="1">
      <c r="A72" s="21" t="str">
        <f>HYPERLINK("https://arxiv.org/abs/1708.02884","Predicting and Evaluating Software Model Growth in the Automotive Industry")</f>
        <v>Predicting and Evaluating Software Model Growth in the Automotive Industry</v>
      </c>
      <c r="B72" s="11" t="s">
        <v>235</v>
      </c>
      <c r="C72" s="11">
        <v>2017.0</v>
      </c>
      <c r="D72" s="6" t="s">
        <v>46</v>
      </c>
      <c r="E72" s="11" t="s">
        <v>717</v>
      </c>
      <c r="F72" s="11" t="s">
        <v>718</v>
      </c>
      <c r="G72" s="11" t="s">
        <v>55</v>
      </c>
      <c r="H72" s="11" t="s">
        <v>719</v>
      </c>
      <c r="I72" s="11" t="s">
        <v>720</v>
      </c>
      <c r="J72" s="11" t="s">
        <v>55</v>
      </c>
      <c r="K72" s="11" t="s">
        <v>721</v>
      </c>
      <c r="L72" s="11" t="s">
        <v>722</v>
      </c>
      <c r="M72" s="11" t="s">
        <v>696</v>
      </c>
      <c r="N72" s="7" t="s">
        <v>95</v>
      </c>
      <c r="O72" s="7" t="s">
        <v>56</v>
      </c>
      <c r="P72" s="7" t="s">
        <v>56</v>
      </c>
      <c r="Q72" s="11" t="s">
        <v>56</v>
      </c>
      <c r="R72" s="7" t="str">
        <f>IFERROR(__xludf.DUMMYFUNCTION("IF(REGEXMATCH(M72, ""Accuracy""), ""Yes"", ""No"")"),"No")</f>
        <v>No</v>
      </c>
      <c r="S72" s="7" t="str">
        <f>IFERROR(__xludf.DUMMYFUNCTION("IF(REGEXMATCH(M72, ""Precision""), ""Yes"", ""No"")"),"No")</f>
        <v>No</v>
      </c>
      <c r="T72" s="7" t="str">
        <f>IFERROR(__xludf.DUMMYFUNCTION("IF(REGEXMATCH(M72, ""Recall""), ""Yes"", ""No"")"),"No")</f>
        <v>No</v>
      </c>
      <c r="U72" s="7" t="str">
        <f>IFERROR(__xludf.DUMMYFUNCTION("IF(REGEXMATCH(M72, ""F1 Measure""), ""Yes"", ""No"")"),"No")</f>
        <v>No</v>
      </c>
      <c r="V72" s="11" t="s">
        <v>57</v>
      </c>
      <c r="W72" s="11" t="s">
        <v>80</v>
      </c>
      <c r="X72" s="7" t="s">
        <v>55</v>
      </c>
      <c r="Y72" s="11" t="s">
        <v>55</v>
      </c>
      <c r="Z72" s="11" t="s">
        <v>55</v>
      </c>
      <c r="AA72" s="11" t="s">
        <v>98</v>
      </c>
      <c r="AB72" s="11" t="s">
        <v>99</v>
      </c>
      <c r="AC72" s="11" t="s">
        <v>99</v>
      </c>
      <c r="AD72" s="7" t="s">
        <v>56</v>
      </c>
      <c r="AE72" s="7" t="s">
        <v>56</v>
      </c>
      <c r="AF72" s="11" t="s">
        <v>56</v>
      </c>
      <c r="AG72" s="11" t="s">
        <v>56</v>
      </c>
      <c r="AH72" s="11" t="s">
        <v>714</v>
      </c>
      <c r="AI72" s="11" t="s">
        <v>64</v>
      </c>
      <c r="AJ72" s="11" t="s">
        <v>101</v>
      </c>
      <c r="AK72" s="11" t="s">
        <v>66</v>
      </c>
      <c r="AL72" s="11" t="s">
        <v>723</v>
      </c>
      <c r="AM72" s="7" t="str">
        <f>IFERROR(__xludf.DUMMYFUNCTION("IF(REGEXMATCH($AL72, ""Reproducible""), ""Yes"", ""No"")"),"No")</f>
        <v>No</v>
      </c>
      <c r="AN72" s="11" t="s">
        <v>56</v>
      </c>
      <c r="AO72" s="11" t="s">
        <v>62</v>
      </c>
      <c r="AP72" s="11" t="s">
        <v>62</v>
      </c>
      <c r="AQ72" s="7" t="str">
        <f>IFERROR(__xludf.DUMMYFUNCTION("IF(REGEXMATCH($AL72, ""No Repo""), ""Yes"", ""No"")"),"Yes")</f>
        <v>Yes</v>
      </c>
      <c r="AR72" s="7" t="str">
        <f>IFERROR(__xludf.DUMMYFUNCTION("IF(REGEXMATCH($AL72, ""Hyperparameters""), ""Yes"", ""No"")"),"No")</f>
        <v>No</v>
      </c>
      <c r="AS72" s="7" t="str">
        <f>IFERROR(__xludf.DUMMYFUNCTION("IF(REGEXMATCH($AL72, ""Filtering Details""), ""Yes"", ""No"")"),"No")</f>
        <v>No</v>
      </c>
    </row>
    <row r="73" ht="28.5" customHeight="1">
      <c r="A73" s="21" t="str">
        <f>HYPERLINK("https://ieeexplore-ieee-org.proxy.wm.edu/document/7898472","Predicting Delivery Capability in Iterative Software Development")</f>
        <v>Predicting Delivery Capability in Iterative Software Development</v>
      </c>
      <c r="B73" s="13" t="s">
        <v>84</v>
      </c>
      <c r="C73" s="11">
        <v>2017.0</v>
      </c>
      <c r="D73" s="14" t="s">
        <v>85</v>
      </c>
      <c r="E73" s="11" t="s">
        <v>724</v>
      </c>
      <c r="F73" s="11" t="s">
        <v>725</v>
      </c>
      <c r="G73" s="11" t="s">
        <v>726</v>
      </c>
      <c r="H73" s="11" t="s">
        <v>55</v>
      </c>
      <c r="I73" s="11" t="s">
        <v>727</v>
      </c>
      <c r="J73" s="11" t="s">
        <v>55</v>
      </c>
      <c r="K73" s="11" t="s">
        <v>55</v>
      </c>
      <c r="L73" s="11" t="s">
        <v>728</v>
      </c>
      <c r="M73" s="11" t="s">
        <v>729</v>
      </c>
      <c r="N73" s="7" t="s">
        <v>95</v>
      </c>
      <c r="O73" s="7" t="s">
        <v>56</v>
      </c>
      <c r="P73" s="7" t="s">
        <v>56</v>
      </c>
      <c r="Q73" s="11" t="s">
        <v>56</v>
      </c>
      <c r="R73" s="7" t="str">
        <f>IFERROR(__xludf.DUMMYFUNCTION("IF(REGEXMATCH(M73, ""Accuracy""), ""Yes"", ""No"")"),"No")</f>
        <v>No</v>
      </c>
      <c r="S73" s="7" t="str">
        <f>IFERROR(__xludf.DUMMYFUNCTION("IF(REGEXMATCH(M73, ""Precision""), ""Yes"", ""No"")"),"Yes")</f>
        <v>Yes</v>
      </c>
      <c r="T73" s="7" t="str">
        <f>IFERROR(__xludf.DUMMYFUNCTION("IF(REGEXMATCH(M73, ""Recall""), ""Yes"", ""No"")"),"Yes")</f>
        <v>Yes</v>
      </c>
      <c r="U73" s="7" t="str">
        <f>IFERROR(__xludf.DUMMYFUNCTION("IF(REGEXMATCH(M73, ""F1 Measure""), ""Yes"", ""No"")"),"Yes")</f>
        <v>Yes</v>
      </c>
      <c r="V73" s="11" t="s">
        <v>79</v>
      </c>
      <c r="W73" s="11" t="s">
        <v>55</v>
      </c>
      <c r="X73" s="7" t="s">
        <v>55</v>
      </c>
      <c r="Y73" s="11" t="s">
        <v>59</v>
      </c>
      <c r="Z73" s="11" t="s">
        <v>55</v>
      </c>
      <c r="AA73" s="11" t="s">
        <v>98</v>
      </c>
      <c r="AB73" s="11" t="s">
        <v>99</v>
      </c>
      <c r="AC73" s="11" t="s">
        <v>99</v>
      </c>
      <c r="AD73" s="7" t="s">
        <v>56</v>
      </c>
      <c r="AE73" s="7" t="s">
        <v>56</v>
      </c>
      <c r="AF73" s="11" t="s">
        <v>56</v>
      </c>
      <c r="AG73" s="11" t="s">
        <v>56</v>
      </c>
      <c r="AH73" s="11" t="s">
        <v>730</v>
      </c>
      <c r="AI73" s="11" t="s">
        <v>64</v>
      </c>
      <c r="AJ73" s="11" t="s">
        <v>157</v>
      </c>
      <c r="AK73" s="11" t="s">
        <v>158</v>
      </c>
      <c r="AL73" s="11" t="s">
        <v>190</v>
      </c>
      <c r="AM73" s="7" t="str">
        <f>IFERROR(__xludf.DUMMYFUNCTION("IF(REGEXMATCH($AL73, ""Reproducible""), ""Yes"", ""No"")"),"No")</f>
        <v>No</v>
      </c>
      <c r="AN73" s="11" t="s">
        <v>56</v>
      </c>
      <c r="AO73" s="11" t="s">
        <v>56</v>
      </c>
      <c r="AP73" s="11" t="s">
        <v>62</v>
      </c>
      <c r="AQ73" s="7" t="str">
        <f>IFERROR(__xludf.DUMMYFUNCTION("IF(REGEXMATCH($AL73, ""No Repo""), ""Yes"", ""No"")"),"No")</f>
        <v>No</v>
      </c>
      <c r="AR73" s="7" t="str">
        <f>IFERROR(__xludf.DUMMYFUNCTION("IF(REGEXMATCH($AL73, ""Hyperparameters""), ""Yes"", ""No"")"),"Yes")</f>
        <v>Yes</v>
      </c>
      <c r="AS73" s="7" t="str">
        <f>IFERROR(__xludf.DUMMYFUNCTION("IF(REGEXMATCH($AL73, ""Filtering Details""), ""Yes"", ""No"")"),"Yes")</f>
        <v>Yes</v>
      </c>
    </row>
    <row r="74" ht="28.5" customHeight="1">
      <c r="A74" s="5" t="str">
        <f>HYPERLINK("https://ieeexplore.ieee.org/document/7582745","Predicting semantically linkable knowledge in developer online forums via convolutional neural network")</f>
        <v>Predicting semantically linkable knowledge in developer online forums via convolutional neural network</v>
      </c>
      <c r="B74" s="6" t="s">
        <v>103</v>
      </c>
      <c r="C74" s="6">
        <v>2016.0</v>
      </c>
      <c r="D74" s="6" t="s">
        <v>46</v>
      </c>
      <c r="E74" s="6" t="s">
        <v>731</v>
      </c>
      <c r="F74" s="6" t="s">
        <v>487</v>
      </c>
      <c r="G74" s="6" t="s">
        <v>488</v>
      </c>
      <c r="H74" s="6" t="s">
        <v>55</v>
      </c>
      <c r="I74" s="6" t="s">
        <v>732</v>
      </c>
      <c r="J74" s="7" t="s">
        <v>733</v>
      </c>
      <c r="K74" s="6" t="s">
        <v>55</v>
      </c>
      <c r="L74" s="6" t="s">
        <v>734</v>
      </c>
      <c r="M74" s="7" t="s">
        <v>223</v>
      </c>
      <c r="N74" s="7" t="s">
        <v>55</v>
      </c>
      <c r="O74" s="7" t="s">
        <v>56</v>
      </c>
      <c r="P74" s="7" t="s">
        <v>56</v>
      </c>
      <c r="Q74" s="7" t="s">
        <v>56</v>
      </c>
      <c r="R74" s="7" t="str">
        <f>IFERROR(__xludf.DUMMYFUNCTION("IF(REGEXMATCH(M74, ""Accuracy""), ""Yes"", ""No"")"),"Yes")</f>
        <v>Yes</v>
      </c>
      <c r="S74" s="7" t="str">
        <f>IFERROR(__xludf.DUMMYFUNCTION("IF(REGEXMATCH(M74, ""Precision""), ""Yes"", ""No"")"),"Yes")</f>
        <v>Yes</v>
      </c>
      <c r="T74" s="7" t="str">
        <f>IFERROR(__xludf.DUMMYFUNCTION("IF(REGEXMATCH(M74, ""Recall""), ""Yes"", ""No"")"),"Yes")</f>
        <v>Yes</v>
      </c>
      <c r="U74" s="7" t="str">
        <f>IFERROR(__xludf.DUMMYFUNCTION("IF(REGEXMATCH(M74, ""F1 Measure""), ""Yes"", ""No"")"),"Yes")</f>
        <v>Yes</v>
      </c>
      <c r="V74" s="7" t="s">
        <v>79</v>
      </c>
      <c r="W74" s="7" t="s">
        <v>55</v>
      </c>
      <c r="X74" s="7" t="s">
        <v>55</v>
      </c>
      <c r="Y74" s="7" t="s">
        <v>59</v>
      </c>
      <c r="Z74" s="7" t="s">
        <v>292</v>
      </c>
      <c r="AA74" s="7" t="s">
        <v>493</v>
      </c>
      <c r="AB74" s="7" t="s">
        <v>483</v>
      </c>
      <c r="AC74" s="7" t="s">
        <v>55</v>
      </c>
      <c r="AD74" s="7" t="s">
        <v>56</v>
      </c>
      <c r="AE74" s="7" t="s">
        <v>56</v>
      </c>
      <c r="AF74" s="7" t="s">
        <v>56</v>
      </c>
      <c r="AG74" s="7" t="s">
        <v>62</v>
      </c>
      <c r="AH74" s="7" t="s">
        <v>100</v>
      </c>
      <c r="AI74" s="7" t="s">
        <v>64</v>
      </c>
      <c r="AJ74" s="7" t="s">
        <v>65</v>
      </c>
      <c r="AK74" s="7" t="s">
        <v>66</v>
      </c>
      <c r="AL74" s="7" t="s">
        <v>735</v>
      </c>
      <c r="AM74" s="7" t="str">
        <f>IFERROR(__xludf.DUMMYFUNCTION("IF(REGEXMATCH($AL74, ""Reproducible""), ""Yes"", ""No"")"),"No")</f>
        <v>No</v>
      </c>
      <c r="AN74" s="7" t="s">
        <v>56</v>
      </c>
      <c r="AO74" s="7" t="s">
        <v>56</v>
      </c>
      <c r="AP74" s="7" t="s">
        <v>62</v>
      </c>
      <c r="AQ74" s="7" t="str">
        <f>IFERROR(__xludf.DUMMYFUNCTION("IF(REGEXMATCH($AL74, ""No Repo""), ""Yes"", ""No"")"),"Yes")</f>
        <v>Yes</v>
      </c>
      <c r="AR74" s="7" t="str">
        <f>IFERROR(__xludf.DUMMYFUNCTION("IF(REGEXMATCH($AL74, ""Hyperparameters""), ""Yes"", ""No"")"),"Yes")</f>
        <v>Yes</v>
      </c>
      <c r="AS74" s="7" t="str">
        <f>IFERROR(__xludf.DUMMYFUNCTION("IF(REGEXMATCH($AL74, ""Filtering Details""), ""Yes"", ""No"")"),"Yes")</f>
        <v>Yes</v>
      </c>
    </row>
    <row r="75" ht="28.5" customHeight="1">
      <c r="A75" s="21" t="str">
        <f>HYPERLINK("https://link-springer-com.proxy.wm.edu/article/10.1007/s10664-016-9496-7","Predicting the delay of issues with due dates in software projects")</f>
        <v>Predicting the delay of issues with due dates in software projects</v>
      </c>
      <c r="B75" s="11" t="s">
        <v>736</v>
      </c>
      <c r="C75" s="11">
        <v>2017.0</v>
      </c>
      <c r="D75" s="14" t="s">
        <v>85</v>
      </c>
      <c r="E75" s="11" t="s">
        <v>737</v>
      </c>
      <c r="F75" s="11" t="s">
        <v>738</v>
      </c>
      <c r="G75" s="11" t="s">
        <v>55</v>
      </c>
      <c r="H75" s="11" t="s">
        <v>739</v>
      </c>
      <c r="I75" s="11" t="s">
        <v>740</v>
      </c>
      <c r="J75" s="11" t="s">
        <v>55</v>
      </c>
      <c r="K75" s="11" t="s">
        <v>55</v>
      </c>
      <c r="L75" s="11" t="s">
        <v>741</v>
      </c>
      <c r="M75" s="11" t="s">
        <v>742</v>
      </c>
      <c r="N75" s="7" t="s">
        <v>95</v>
      </c>
      <c r="O75" s="7" t="s">
        <v>56</v>
      </c>
      <c r="P75" s="22" t="s">
        <v>62</v>
      </c>
      <c r="Q75" s="22" t="s">
        <v>56</v>
      </c>
      <c r="R75" s="7" t="str">
        <f>IFERROR(__xludf.DUMMYFUNCTION("IF(REGEXMATCH(M75, ""Accuracy""), ""Yes"", ""No"")"),"No")</f>
        <v>No</v>
      </c>
      <c r="S75" s="7" t="str">
        <f>IFERROR(__xludf.DUMMYFUNCTION("IF(REGEXMATCH(M75, ""Precision""), ""Yes"", ""No"")"),"Yes")</f>
        <v>Yes</v>
      </c>
      <c r="T75" s="7" t="str">
        <f>IFERROR(__xludf.DUMMYFUNCTION("IF(REGEXMATCH(M75, ""Recall""), ""Yes"", ""No"")"),"Yes")</f>
        <v>Yes</v>
      </c>
      <c r="U75" s="7" t="str">
        <f>IFERROR(__xludf.DUMMYFUNCTION("IF(REGEXMATCH(M75, ""F1 Measure""), ""Yes"", ""No"")"),"Yes")</f>
        <v>Yes</v>
      </c>
      <c r="V75" s="11" t="s">
        <v>79</v>
      </c>
      <c r="W75" s="11" t="s">
        <v>55</v>
      </c>
      <c r="X75" s="7" t="s">
        <v>55</v>
      </c>
      <c r="Y75" s="11" t="s">
        <v>59</v>
      </c>
      <c r="Z75" s="11" t="s">
        <v>55</v>
      </c>
      <c r="AA75" s="11" t="s">
        <v>98</v>
      </c>
      <c r="AB75" s="11" t="s">
        <v>99</v>
      </c>
      <c r="AC75" s="11" t="s">
        <v>99</v>
      </c>
      <c r="AD75" s="7" t="s">
        <v>56</v>
      </c>
      <c r="AE75" s="7" t="s">
        <v>56</v>
      </c>
      <c r="AF75" s="11" t="s">
        <v>56</v>
      </c>
      <c r="AG75" s="11" t="s">
        <v>56</v>
      </c>
      <c r="AH75" s="11" t="s">
        <v>730</v>
      </c>
      <c r="AI75" s="11" t="s">
        <v>64</v>
      </c>
      <c r="AJ75" s="11" t="s">
        <v>157</v>
      </c>
      <c r="AK75" s="11" t="s">
        <v>66</v>
      </c>
      <c r="AL75" s="11" t="s">
        <v>349</v>
      </c>
      <c r="AM75" s="7" t="str">
        <f>IFERROR(__xludf.DUMMYFUNCTION("IF(REGEXMATCH($AL75, ""Reproducible""), ""Yes"", ""No"")"),"No")</f>
        <v>No</v>
      </c>
      <c r="AN75" s="11" t="s">
        <v>56</v>
      </c>
      <c r="AO75" s="11" t="s">
        <v>62</v>
      </c>
      <c r="AP75" s="11" t="s">
        <v>62</v>
      </c>
      <c r="AQ75" s="7" t="str">
        <f>IFERROR(__xludf.DUMMYFUNCTION("IF(REGEXMATCH($AL75, ""No Repo""), ""Yes"", ""No"")"),"Yes")</f>
        <v>Yes</v>
      </c>
      <c r="AR75" s="7" t="str">
        <f>IFERROR(__xludf.DUMMYFUNCTION("IF(REGEXMATCH($AL75, ""Hyperparameters""), ""Yes"", ""No"")"),"Yes")</f>
        <v>Yes</v>
      </c>
      <c r="AS75" s="7" t="str">
        <f>IFERROR(__xludf.DUMMYFUNCTION("IF(REGEXMATCH($AL75, ""Filtering Details""), ""Yes"", ""No"")"),"Yes")</f>
        <v>Yes</v>
      </c>
    </row>
    <row r="76" ht="28.5" customHeight="1">
      <c r="A76" s="28" t="str">
        <f>HYPERLINK("https://arxiv.org/pdf/1703.07469.pdf","Robustfill: Neural program learning under noisy i/o")</f>
        <v>Robustfill: Neural program learning under noisy i/o</v>
      </c>
      <c r="B76" s="6" t="s">
        <v>45</v>
      </c>
      <c r="C76" s="6">
        <v>2017.0</v>
      </c>
      <c r="D76" s="6" t="s">
        <v>46</v>
      </c>
      <c r="E76" s="6" t="s">
        <v>743</v>
      </c>
      <c r="F76" s="6" t="s">
        <v>744</v>
      </c>
      <c r="G76" s="6" t="s">
        <v>745</v>
      </c>
      <c r="H76" s="6" t="s">
        <v>746</v>
      </c>
      <c r="I76" s="6" t="s">
        <v>747</v>
      </c>
      <c r="J76" s="6" t="s">
        <v>748</v>
      </c>
      <c r="K76" s="7" t="s">
        <v>749</v>
      </c>
      <c r="L76" s="6" t="s">
        <v>750</v>
      </c>
      <c r="M76" s="7" t="s">
        <v>17</v>
      </c>
      <c r="N76" s="7" t="s">
        <v>55</v>
      </c>
      <c r="O76" s="7" t="s">
        <v>56</v>
      </c>
      <c r="P76" s="7" t="s">
        <v>56</v>
      </c>
      <c r="Q76" s="7" t="s">
        <v>56</v>
      </c>
      <c r="R76" s="7" t="str">
        <f>IFERROR(__xludf.DUMMYFUNCTION("IF(REGEXMATCH(M76, ""Accuracy""), ""Yes"", ""No"")"),"Yes")</f>
        <v>Yes</v>
      </c>
      <c r="S76" s="7" t="str">
        <f>IFERROR(__xludf.DUMMYFUNCTION("IF(REGEXMATCH(M76, ""Precision""), ""Yes"", ""No"")"),"No")</f>
        <v>No</v>
      </c>
      <c r="T76" s="7" t="str">
        <f>IFERROR(__xludf.DUMMYFUNCTION("IF(REGEXMATCH(M76, ""Recall""), ""Yes"", ""No"")"),"No")</f>
        <v>No</v>
      </c>
      <c r="U76" s="7" t="str">
        <f>IFERROR(__xludf.DUMMYFUNCTION("IF(REGEXMATCH(M76, ""F1 Measure""), ""Yes"", ""No"")"),"No")</f>
        <v>No</v>
      </c>
      <c r="V76" s="7" t="s">
        <v>243</v>
      </c>
      <c r="W76" s="7" t="s">
        <v>404</v>
      </c>
      <c r="X76" s="23" t="s">
        <v>405</v>
      </c>
      <c r="Y76" s="7" t="s">
        <v>59</v>
      </c>
      <c r="Z76" s="7" t="s">
        <v>60</v>
      </c>
      <c r="AA76" s="7" t="s">
        <v>180</v>
      </c>
      <c r="AB76" s="7" t="s">
        <v>29</v>
      </c>
      <c r="AC76" s="7" t="s">
        <v>55</v>
      </c>
      <c r="AD76" s="7" t="s">
        <v>62</v>
      </c>
      <c r="AE76" s="7" t="s">
        <v>56</v>
      </c>
      <c r="AF76" s="7" t="s">
        <v>56</v>
      </c>
      <c r="AG76" s="7" t="s">
        <v>56</v>
      </c>
      <c r="AH76" s="7" t="s">
        <v>100</v>
      </c>
      <c r="AI76" s="7" t="s">
        <v>64</v>
      </c>
      <c r="AJ76" s="7" t="s">
        <v>101</v>
      </c>
      <c r="AK76" s="7" t="s">
        <v>158</v>
      </c>
      <c r="AL76" s="7" t="s">
        <v>67</v>
      </c>
      <c r="AM76" s="7" t="str">
        <f>IFERROR(__xludf.DUMMYFUNCTION("IF(REGEXMATCH($AL76, ""Reproducible""), ""Yes"", ""No"")"),"No")</f>
        <v>No</v>
      </c>
      <c r="AN76" s="7" t="s">
        <v>56</v>
      </c>
      <c r="AO76" s="7" t="s">
        <v>56</v>
      </c>
      <c r="AP76" s="7" t="s">
        <v>56</v>
      </c>
      <c r="AQ76" s="7" t="str">
        <f>IFERROR(__xludf.DUMMYFUNCTION("IF(REGEXMATCH($AL76, ""No Repo""), ""Yes"", ""No"")"),"Yes")</f>
        <v>Yes</v>
      </c>
      <c r="AR76" s="7" t="str">
        <f>IFERROR(__xludf.DUMMYFUNCTION("IF(REGEXMATCH($AL76, ""Hyperparameters""), ""Yes"", ""No"")"),"No")</f>
        <v>No</v>
      </c>
      <c r="AS76" s="7" t="str">
        <f>IFERROR(__xludf.DUMMYFUNCTION("IF(REGEXMATCH($AL76, ""Filtering Details""), ""Yes"", ""No"")"),"Yes")</f>
        <v>Yes</v>
      </c>
    </row>
    <row r="77" ht="28.5" customHeight="1">
      <c r="A77" s="5" t="str">
        <f>HYPERLINK("https://ieeexplore-ieee-org.proxy.wm.edu/document/7985645","Semantically Enhanced Software Traceability Using Deep Learning Techniques")</f>
        <v>Semantically Enhanced Software Traceability Using Deep Learning Techniques</v>
      </c>
      <c r="B77" s="6" t="s">
        <v>150</v>
      </c>
      <c r="C77" s="6">
        <v>2017.0</v>
      </c>
      <c r="D77" s="6" t="s">
        <v>46</v>
      </c>
      <c r="E77" s="6" t="s">
        <v>751</v>
      </c>
      <c r="F77" s="6" t="s">
        <v>55</v>
      </c>
      <c r="G77" s="6" t="s">
        <v>752</v>
      </c>
      <c r="H77" s="6" t="s">
        <v>55</v>
      </c>
      <c r="I77" s="6" t="s">
        <v>753</v>
      </c>
      <c r="J77" s="7" t="s">
        <v>754</v>
      </c>
      <c r="K77" s="6" t="s">
        <v>96</v>
      </c>
      <c r="L77" s="6" t="s">
        <v>755</v>
      </c>
      <c r="M77" s="7" t="s">
        <v>756</v>
      </c>
      <c r="N77" s="7" t="s">
        <v>55</v>
      </c>
      <c r="O77" s="7" t="s">
        <v>56</v>
      </c>
      <c r="P77" s="7" t="s">
        <v>56</v>
      </c>
      <c r="Q77" s="7" t="s">
        <v>56</v>
      </c>
      <c r="R77" s="7" t="str">
        <f>IFERROR(__xludf.DUMMYFUNCTION("IF(REGEXMATCH(M77, ""Accuracy""), ""Yes"", ""No"")"),"No")</f>
        <v>No</v>
      </c>
      <c r="S77" s="7" t="str">
        <f>IFERROR(__xludf.DUMMYFUNCTION("IF(REGEXMATCH(M77, ""Precision""), ""Yes"", ""No"")"),"Yes")</f>
        <v>Yes</v>
      </c>
      <c r="T77" s="7" t="str">
        <f>IFERROR(__xludf.DUMMYFUNCTION("IF(REGEXMATCH(M77, ""Recall""), ""Yes"", ""No"")"),"Yes")</f>
        <v>Yes</v>
      </c>
      <c r="U77" s="7" t="str">
        <f>IFERROR(__xludf.DUMMYFUNCTION("IF(REGEXMATCH(M77, ""F1 Measure""), ""Yes"", ""No"")"),"No")</f>
        <v>No</v>
      </c>
      <c r="V77" s="7" t="s">
        <v>79</v>
      </c>
      <c r="W77" s="7" t="s">
        <v>23</v>
      </c>
      <c r="X77" s="7" t="s">
        <v>96</v>
      </c>
      <c r="Y77" s="7" t="s">
        <v>59</v>
      </c>
      <c r="Z77" s="7" t="s">
        <v>97</v>
      </c>
      <c r="AA77" s="27" t="s">
        <v>293</v>
      </c>
      <c r="AB77" s="7" t="s">
        <v>483</v>
      </c>
      <c r="AC77" s="7" t="s">
        <v>55</v>
      </c>
      <c r="AD77" s="7" t="s">
        <v>56</v>
      </c>
      <c r="AE77" s="7" t="s">
        <v>56</v>
      </c>
      <c r="AF77" s="7" t="s">
        <v>56</v>
      </c>
      <c r="AG77" s="7" t="s">
        <v>62</v>
      </c>
      <c r="AH77" s="7" t="s">
        <v>100</v>
      </c>
      <c r="AI77" s="7" t="s">
        <v>64</v>
      </c>
      <c r="AJ77" s="7" t="s">
        <v>101</v>
      </c>
      <c r="AK77" s="7" t="s">
        <v>158</v>
      </c>
      <c r="AL77" s="7" t="s">
        <v>149</v>
      </c>
      <c r="AM77" s="7" t="str">
        <f>IFERROR(__xludf.DUMMYFUNCTION("IF(REGEXMATCH($AL77, ""Reproducible""), ""Yes"", ""No"")"),"No")</f>
        <v>No</v>
      </c>
      <c r="AN77" s="7" t="s">
        <v>62</v>
      </c>
      <c r="AO77" s="7" t="s">
        <v>56</v>
      </c>
      <c r="AP77" s="7" t="s">
        <v>62</v>
      </c>
      <c r="AQ77" s="7" t="str">
        <f>IFERROR(__xludf.DUMMYFUNCTION("IF(REGEXMATCH($AL77, ""No Repo""), ""Yes"", ""No"")"),"Yes")</f>
        <v>Yes</v>
      </c>
      <c r="AR77" s="7" t="str">
        <f>IFERROR(__xludf.DUMMYFUNCTION("IF(REGEXMATCH($AL77, ""Hyperparameters""), ""Yes"", ""No"")"),"No")</f>
        <v>No</v>
      </c>
      <c r="AS77" s="7" t="str">
        <f>IFERROR(__xludf.DUMMYFUNCTION("IF(REGEXMATCH($AL77, ""Filtering Details""), ""Yes"", ""No"")"),"Yes")</f>
        <v>Yes</v>
      </c>
    </row>
    <row r="78" ht="28.5" customHeight="1">
      <c r="A78" s="21" t="str">
        <f>HYPERLINK("http://delivery.acm.org/10.1145/3190000/3180195/p94-lin.pdf","Sentiment Analysis for Software Engineering: How Far Can We Go?")</f>
        <v>Sentiment Analysis for Software Engineering: How Far Can We Go?</v>
      </c>
      <c r="B78" s="13" t="s">
        <v>150</v>
      </c>
      <c r="C78" s="11">
        <v>2018.0</v>
      </c>
      <c r="D78" s="14" t="s">
        <v>85</v>
      </c>
      <c r="E78" s="11" t="s">
        <v>757</v>
      </c>
      <c r="F78" s="11" t="s">
        <v>758</v>
      </c>
      <c r="G78" s="11" t="s">
        <v>55</v>
      </c>
      <c r="H78" s="11" t="s">
        <v>759</v>
      </c>
      <c r="I78" s="11" t="s">
        <v>760</v>
      </c>
      <c r="J78" s="11" t="s">
        <v>55</v>
      </c>
      <c r="K78" s="11" t="s">
        <v>761</v>
      </c>
      <c r="L78" s="11" t="s">
        <v>762</v>
      </c>
      <c r="M78" s="11" t="s">
        <v>78</v>
      </c>
      <c r="N78" s="11" t="s">
        <v>55</v>
      </c>
      <c r="O78" s="7" t="s">
        <v>56</v>
      </c>
      <c r="P78" s="7" t="s">
        <v>56</v>
      </c>
      <c r="Q78" s="11" t="s">
        <v>56</v>
      </c>
      <c r="R78" s="7" t="str">
        <f>IFERROR(__xludf.DUMMYFUNCTION("IF(REGEXMATCH(M78, ""Accuracy""), ""Yes"", ""No"")"),"Yes")</f>
        <v>Yes</v>
      </c>
      <c r="S78" s="7" t="str">
        <f>IFERROR(__xludf.DUMMYFUNCTION("IF(REGEXMATCH(M78, ""Precision""), ""Yes"", ""No"")"),"Yes")</f>
        <v>Yes</v>
      </c>
      <c r="T78" s="7" t="str">
        <f>IFERROR(__xludf.DUMMYFUNCTION("IF(REGEXMATCH(M78, ""Recall""), ""Yes"", ""No"")"),"Yes")</f>
        <v>Yes</v>
      </c>
      <c r="U78" s="7" t="str">
        <f>IFERROR(__xludf.DUMMYFUNCTION("IF(REGEXMATCH(M78, ""F1 Measure""), ""Yes"", ""No"")"),"No")</f>
        <v>No</v>
      </c>
      <c r="V78" s="11" t="s">
        <v>79</v>
      </c>
      <c r="W78" s="11" t="s">
        <v>55</v>
      </c>
      <c r="X78" s="15" t="s">
        <v>55</v>
      </c>
      <c r="Y78" s="11" t="s">
        <v>55</v>
      </c>
      <c r="Z78" s="11" t="s">
        <v>55</v>
      </c>
      <c r="AA78" s="7" t="s">
        <v>493</v>
      </c>
      <c r="AB78" s="11" t="s">
        <v>99</v>
      </c>
      <c r="AC78" s="11" t="s">
        <v>99</v>
      </c>
      <c r="AD78" s="7" t="s">
        <v>56</v>
      </c>
      <c r="AE78" s="7" t="s">
        <v>56</v>
      </c>
      <c r="AF78" s="11" t="s">
        <v>56</v>
      </c>
      <c r="AG78" s="11" t="s">
        <v>56</v>
      </c>
      <c r="AH78" s="11" t="s">
        <v>63</v>
      </c>
      <c r="AI78" s="11" t="s">
        <v>64</v>
      </c>
      <c r="AJ78" s="11" t="s">
        <v>101</v>
      </c>
      <c r="AK78" s="11" t="s">
        <v>148</v>
      </c>
      <c r="AL78" s="11" t="s">
        <v>723</v>
      </c>
      <c r="AM78" s="7" t="str">
        <f>IFERROR(__xludf.DUMMYFUNCTION("IF(REGEXMATCH($AL78, ""Reproducible""), ""Yes"", ""No"")"),"No")</f>
        <v>No</v>
      </c>
      <c r="AN78" s="11" t="s">
        <v>56</v>
      </c>
      <c r="AO78" s="11" t="s">
        <v>62</v>
      </c>
      <c r="AP78" s="11" t="s">
        <v>62</v>
      </c>
      <c r="AQ78" s="7" t="str">
        <f>IFERROR(__xludf.DUMMYFUNCTION("IF(REGEXMATCH($AL78, ""No Repo""), ""Yes"", ""No"")"),"Yes")</f>
        <v>Yes</v>
      </c>
      <c r="AR78" s="7" t="str">
        <f>IFERROR(__xludf.DUMMYFUNCTION("IF(REGEXMATCH($AL78, ""Hyperparameters""), ""Yes"", ""No"")"),"No")</f>
        <v>No</v>
      </c>
      <c r="AS78" s="7" t="str">
        <f>IFERROR(__xludf.DUMMYFUNCTION("IF(REGEXMATCH($AL78, ""Filtering Details""), ""Yes"", ""No"")"),"No")</f>
        <v>No</v>
      </c>
    </row>
    <row r="79" ht="28.5" customHeight="1">
      <c r="A79" s="5" t="str">
        <f>HYPERLINK("https://dl.acm.org/citation.cfm?id=2786849","Suggesting Accurate Method and Class Names")</f>
        <v>Suggesting Accurate Method and Class Names</v>
      </c>
      <c r="B79" s="6" t="s">
        <v>129</v>
      </c>
      <c r="C79" s="6">
        <v>2015.0</v>
      </c>
      <c r="D79" s="6" t="s">
        <v>46</v>
      </c>
      <c r="E79" s="6" t="s">
        <v>763</v>
      </c>
      <c r="F79" s="6" t="s">
        <v>764</v>
      </c>
      <c r="G79" s="6" t="s">
        <v>765</v>
      </c>
      <c r="H79" s="6" t="s">
        <v>766</v>
      </c>
      <c r="I79" s="6" t="s">
        <v>767</v>
      </c>
      <c r="J79" s="6" t="s">
        <v>768</v>
      </c>
      <c r="K79" s="7" t="s">
        <v>769</v>
      </c>
      <c r="L79" s="6" t="s">
        <v>770</v>
      </c>
      <c r="M79" s="7" t="s">
        <v>209</v>
      </c>
      <c r="N79" s="7" t="s">
        <v>55</v>
      </c>
      <c r="O79" s="7" t="s">
        <v>56</v>
      </c>
      <c r="P79" s="7" t="s">
        <v>56</v>
      </c>
      <c r="Q79" s="7" t="s">
        <v>56</v>
      </c>
      <c r="R79" s="7" t="str">
        <f>IFERROR(__xludf.DUMMYFUNCTION("IF(REGEXMATCH(M79, ""Accuracy""), ""Yes"", ""No"")"),"No")</f>
        <v>No</v>
      </c>
      <c r="S79" s="7" t="str">
        <f>IFERROR(__xludf.DUMMYFUNCTION("IF(REGEXMATCH(M79, ""Precision""), ""Yes"", ""No"")"),"Yes")</f>
        <v>Yes</v>
      </c>
      <c r="T79" s="7" t="str">
        <f>IFERROR(__xludf.DUMMYFUNCTION("IF(REGEXMATCH(M79, ""Recall""), ""Yes"", ""No"")"),"Yes")</f>
        <v>Yes</v>
      </c>
      <c r="U79" s="7" t="str">
        <f>IFERROR(__xludf.DUMMYFUNCTION("IF(REGEXMATCH(M79, ""F1 Measure""), ""Yes"", ""No"")"),"Yes")</f>
        <v>Yes</v>
      </c>
      <c r="V79" s="7" t="s">
        <v>231</v>
      </c>
      <c r="W79" s="7" t="s">
        <v>23</v>
      </c>
      <c r="X79" s="7" t="s">
        <v>58</v>
      </c>
      <c r="Y79" s="7" t="s">
        <v>59</v>
      </c>
      <c r="Z79" s="7" t="s">
        <v>771</v>
      </c>
      <c r="AA79" s="7" t="s">
        <v>342</v>
      </c>
      <c r="AB79" s="7" t="s">
        <v>31</v>
      </c>
      <c r="AC79" s="7" t="s">
        <v>55</v>
      </c>
      <c r="AD79" s="7" t="s">
        <v>56</v>
      </c>
      <c r="AE79" s="7" t="s">
        <v>56</v>
      </c>
      <c r="AF79" s="7" t="s">
        <v>62</v>
      </c>
      <c r="AG79" s="7" t="s">
        <v>56</v>
      </c>
      <c r="AH79" s="7" t="s">
        <v>63</v>
      </c>
      <c r="AI79" s="7" t="s">
        <v>64</v>
      </c>
      <c r="AJ79" s="7" t="s">
        <v>772</v>
      </c>
      <c r="AK79" s="7" t="s">
        <v>66</v>
      </c>
      <c r="AL79" s="7" t="s">
        <v>42</v>
      </c>
      <c r="AM79" s="7" t="str">
        <f>IFERROR(__xludf.DUMMYFUNCTION("IF(REGEXMATCH($AL79, ""Reproducible""), ""Yes"", ""No"")"),"No")</f>
        <v>No</v>
      </c>
      <c r="AN79" s="7" t="s">
        <v>56</v>
      </c>
      <c r="AO79" s="7" t="s">
        <v>56</v>
      </c>
      <c r="AP79" s="7" t="s">
        <v>56</v>
      </c>
      <c r="AQ79" s="7" t="str">
        <f>IFERROR(__xludf.DUMMYFUNCTION("IF(REGEXMATCH($AL79, ""No Repo""), ""Yes"", ""No"")"),"Yes")</f>
        <v>Yes</v>
      </c>
      <c r="AR79" s="7" t="str">
        <f>IFERROR(__xludf.DUMMYFUNCTION("IF(REGEXMATCH($AL79, ""Hyperparameters""), ""Yes"", ""No"")"),"No")</f>
        <v>No</v>
      </c>
      <c r="AS79" s="7" t="str">
        <f>IFERROR(__xludf.DUMMYFUNCTION("IF(REGEXMATCH($AL79, ""Filtering Details""), ""Yes"", ""No"")"),"No")</f>
        <v>No</v>
      </c>
    </row>
    <row r="80" ht="28.5" customHeight="1">
      <c r="A80" s="5" t="str">
        <f>HYPERLINK("https://dl.acm.org/citation.cfm?id=2820559","Toward Deep Learning Software Repositories")</f>
        <v>Toward Deep Learning Software Repositories</v>
      </c>
      <c r="B80" s="6" t="s">
        <v>69</v>
      </c>
      <c r="C80" s="6">
        <v>2015.0</v>
      </c>
      <c r="D80" s="6" t="s">
        <v>46</v>
      </c>
      <c r="E80" s="6" t="s">
        <v>773</v>
      </c>
      <c r="F80" s="7" t="s">
        <v>774</v>
      </c>
      <c r="G80" s="6" t="s">
        <v>775</v>
      </c>
      <c r="H80" s="6" t="s">
        <v>776</v>
      </c>
      <c r="I80" s="6" t="s">
        <v>777</v>
      </c>
      <c r="J80" s="7" t="s">
        <v>778</v>
      </c>
      <c r="K80" s="7" t="s">
        <v>779</v>
      </c>
      <c r="L80" s="6" t="s">
        <v>780</v>
      </c>
      <c r="M80" s="7" t="s">
        <v>781</v>
      </c>
      <c r="N80" s="7" t="s">
        <v>95</v>
      </c>
      <c r="O80" s="7" t="s">
        <v>56</v>
      </c>
      <c r="P80" s="7" t="s">
        <v>56</v>
      </c>
      <c r="Q80" s="7" t="s">
        <v>56</v>
      </c>
      <c r="R80" s="7" t="str">
        <f>IFERROR(__xludf.DUMMYFUNCTION("IF(REGEXMATCH(M80, ""Accuracy""), ""Yes"", ""No"")"),"No")</f>
        <v>No</v>
      </c>
      <c r="S80" s="7" t="str">
        <f>IFERROR(__xludf.DUMMYFUNCTION("IF(REGEXMATCH(M80, ""Precision""), ""Yes"", ""No"")"),"No")</f>
        <v>No</v>
      </c>
      <c r="T80" s="7" t="str">
        <f>IFERROR(__xludf.DUMMYFUNCTION("IF(REGEXMATCH(M80, ""Recall""), ""Yes"", ""No"")"),"No")</f>
        <v>No</v>
      </c>
      <c r="U80" s="7" t="str">
        <f>IFERROR(__xludf.DUMMYFUNCTION("IF(REGEXMATCH(M80, ""F1 Measure""), ""Yes"", ""No"")"),"No")</f>
        <v>No</v>
      </c>
      <c r="V80" s="7" t="s">
        <v>231</v>
      </c>
      <c r="W80" s="7" t="s">
        <v>23</v>
      </c>
      <c r="X80" s="7" t="s">
        <v>96</v>
      </c>
      <c r="Y80" s="7" t="s">
        <v>59</v>
      </c>
      <c r="Z80" s="7" t="s">
        <v>97</v>
      </c>
      <c r="AA80" s="7" t="s">
        <v>146</v>
      </c>
      <c r="AB80" s="7" t="s">
        <v>31</v>
      </c>
      <c r="AC80" s="7" t="s">
        <v>55</v>
      </c>
      <c r="AD80" s="7" t="s">
        <v>56</v>
      </c>
      <c r="AE80" s="7" t="s">
        <v>56</v>
      </c>
      <c r="AF80" s="7" t="s">
        <v>62</v>
      </c>
      <c r="AG80" s="7" t="s">
        <v>56</v>
      </c>
      <c r="AH80" s="7" t="s">
        <v>100</v>
      </c>
      <c r="AI80" s="7" t="s">
        <v>64</v>
      </c>
      <c r="AJ80" s="7" t="s">
        <v>101</v>
      </c>
      <c r="AK80" s="7" t="s">
        <v>158</v>
      </c>
      <c r="AL80" s="7" t="s">
        <v>782</v>
      </c>
      <c r="AM80" s="7" t="str">
        <f>IFERROR(__xludf.DUMMYFUNCTION("IF(REGEXMATCH($AL80, ""Reproducible""), ""Yes"", ""No"")"),"No")</f>
        <v>No</v>
      </c>
      <c r="AN80" s="7" t="s">
        <v>56</v>
      </c>
      <c r="AO80" s="7" t="s">
        <v>62</v>
      </c>
      <c r="AP80" s="7" t="s">
        <v>56</v>
      </c>
      <c r="AQ80" s="7" t="str">
        <f>IFERROR(__xludf.DUMMYFUNCTION("IF(REGEXMATCH($AL80, ""No Repo""), ""Yes"", ""No"")"),"Yes")</f>
        <v>Yes</v>
      </c>
      <c r="AR80" s="7" t="str">
        <f>IFERROR(__xludf.DUMMYFUNCTION("IF(REGEXMATCH($AL80, ""Hyperparameters""), ""Yes"", ""No"")"),"No")</f>
        <v>No</v>
      </c>
      <c r="AS80" s="7" t="str">
        <f>IFERROR(__xludf.DUMMYFUNCTION("IF(REGEXMATCH($AL80, ""Filtering Details""), ""Yes"", ""No"")"),"No")</f>
        <v>No</v>
      </c>
    </row>
    <row r="81" ht="28.5" customHeight="1">
      <c r="A81" s="5" t="str">
        <f>HYPERLINK("https://ieeexplore-ieee-org.proxy.wm.edu/document/8094414","Towards Accurate Duplicate Bug Retrieval Using Deep Learning Techniques")</f>
        <v>Towards Accurate Duplicate Bug Retrieval Using Deep Learning Techniques</v>
      </c>
      <c r="B81" s="6" t="s">
        <v>235</v>
      </c>
      <c r="C81" s="6">
        <v>2017.0</v>
      </c>
      <c r="D81" s="6" t="s">
        <v>46</v>
      </c>
      <c r="E81" s="6" t="s">
        <v>397</v>
      </c>
      <c r="F81" s="6" t="s">
        <v>783</v>
      </c>
      <c r="G81" s="6" t="s">
        <v>784</v>
      </c>
      <c r="H81" s="6" t="s">
        <v>55</v>
      </c>
      <c r="I81" s="6" t="s">
        <v>785</v>
      </c>
      <c r="J81" s="6" t="s">
        <v>786</v>
      </c>
      <c r="K81" s="7" t="s">
        <v>787</v>
      </c>
      <c r="L81" s="6" t="s">
        <v>788</v>
      </c>
      <c r="M81" s="7" t="s">
        <v>78</v>
      </c>
      <c r="N81" s="7" t="s">
        <v>55</v>
      </c>
      <c r="O81" s="7" t="s">
        <v>56</v>
      </c>
      <c r="P81" s="7" t="s">
        <v>56</v>
      </c>
      <c r="Q81" s="7" t="s">
        <v>56</v>
      </c>
      <c r="R81" s="7" t="str">
        <f>IFERROR(__xludf.DUMMYFUNCTION("IF(REGEXMATCH(M81, ""Accuracy""), ""Yes"", ""No"")"),"Yes")</f>
        <v>Yes</v>
      </c>
      <c r="S81" s="7" t="str">
        <f>IFERROR(__xludf.DUMMYFUNCTION("IF(REGEXMATCH(M81, ""Precision""), ""Yes"", ""No"")"),"Yes")</f>
        <v>Yes</v>
      </c>
      <c r="T81" s="7" t="str">
        <f>IFERROR(__xludf.DUMMYFUNCTION("IF(REGEXMATCH(M81, ""Recall""), ""Yes"", ""No"")"),"Yes")</f>
        <v>Yes</v>
      </c>
      <c r="U81" s="7" t="str">
        <f>IFERROR(__xludf.DUMMYFUNCTION("IF(REGEXMATCH(M81, ""F1 Measure""), ""Yes"", ""No"")"),"No")</f>
        <v>No</v>
      </c>
      <c r="V81" s="7" t="s">
        <v>79</v>
      </c>
      <c r="W81" s="7" t="s">
        <v>404</v>
      </c>
      <c r="X81" s="23" t="s">
        <v>405</v>
      </c>
      <c r="Y81" s="7" t="s">
        <v>59</v>
      </c>
      <c r="Z81" s="7" t="s">
        <v>145</v>
      </c>
      <c r="AA81" s="7" t="s">
        <v>293</v>
      </c>
      <c r="AB81" s="7" t="s">
        <v>136</v>
      </c>
      <c r="AC81" s="7" t="s">
        <v>136</v>
      </c>
      <c r="AD81" s="7" t="s">
        <v>56</v>
      </c>
      <c r="AE81" s="7" t="s">
        <v>56</v>
      </c>
      <c r="AF81" s="7" t="s">
        <v>56</v>
      </c>
      <c r="AG81" s="7" t="s">
        <v>56</v>
      </c>
      <c r="AH81" s="7" t="s">
        <v>100</v>
      </c>
      <c r="AI81" s="7" t="s">
        <v>212</v>
      </c>
      <c r="AJ81" s="7" t="s">
        <v>715</v>
      </c>
      <c r="AK81" s="7" t="s">
        <v>66</v>
      </c>
      <c r="AL81" s="7" t="s">
        <v>44</v>
      </c>
      <c r="AM81" s="7" t="str">
        <f>IFERROR(__xludf.DUMMYFUNCTION("IF(REGEXMATCH($AL81, ""Reproducible""), ""Yes"", ""No"")"),"No")</f>
        <v>No</v>
      </c>
      <c r="AN81" s="7" t="s">
        <v>56</v>
      </c>
      <c r="AO81" s="7" t="s">
        <v>56</v>
      </c>
      <c r="AP81" s="7" t="s">
        <v>56</v>
      </c>
      <c r="AQ81" s="7" t="str">
        <f>IFERROR(__xludf.DUMMYFUNCTION("IF(REGEXMATCH($AL81, ""No Repo""), ""Yes"", ""No"")"),"No")</f>
        <v>No</v>
      </c>
      <c r="AR81" s="7" t="str">
        <f>IFERROR(__xludf.DUMMYFUNCTION("IF(REGEXMATCH($AL81, ""Hyperparameters""), ""Yes"", ""No"")"),"No")</f>
        <v>No</v>
      </c>
      <c r="AS81" s="7" t="str">
        <f>IFERROR(__xludf.DUMMYFUNCTION("IF(REGEXMATCH($AL81, ""Filtering Details""), ""Yes"", ""No"")"),"Yes")</f>
        <v>Yes</v>
      </c>
    </row>
    <row r="82" ht="28.5" customHeight="1">
      <c r="A82" s="5" t="str">
        <f>HYPERLINK("https://arxiv.org/abs/1706.01284","Towards synthesizing complex programs from input-output")</f>
        <v>Towards synthesizing complex programs from input-output</v>
      </c>
      <c r="B82" s="6" t="s">
        <v>256</v>
      </c>
      <c r="C82" s="6">
        <v>2018.0</v>
      </c>
      <c r="D82" s="6" t="s">
        <v>46</v>
      </c>
      <c r="E82" s="7" t="s">
        <v>789</v>
      </c>
      <c r="F82" s="7" t="s">
        <v>790</v>
      </c>
      <c r="G82" s="6" t="s">
        <v>791</v>
      </c>
      <c r="H82" s="6" t="s">
        <v>55</v>
      </c>
      <c r="I82" s="6" t="s">
        <v>792</v>
      </c>
      <c r="J82" s="7" t="s">
        <v>793</v>
      </c>
      <c r="K82" s="7" t="s">
        <v>794</v>
      </c>
      <c r="L82" s="6" t="s">
        <v>795</v>
      </c>
      <c r="M82" s="6" t="s">
        <v>17</v>
      </c>
      <c r="N82" s="7" t="s">
        <v>55</v>
      </c>
      <c r="O82" s="7" t="s">
        <v>56</v>
      </c>
      <c r="P82" s="7" t="s">
        <v>56</v>
      </c>
      <c r="Q82" s="7" t="s">
        <v>56</v>
      </c>
      <c r="R82" s="7" t="str">
        <f>IFERROR(__xludf.DUMMYFUNCTION("IF(REGEXMATCH(M82, ""Accuracy""), ""Yes"", ""No"")"),"Yes")</f>
        <v>Yes</v>
      </c>
      <c r="S82" s="7" t="str">
        <f>IFERROR(__xludf.DUMMYFUNCTION("IF(REGEXMATCH(M82, ""Precision""), ""Yes"", ""No"")"),"No")</f>
        <v>No</v>
      </c>
      <c r="T82" s="7" t="str">
        <f>IFERROR(__xludf.DUMMYFUNCTION("IF(REGEXMATCH(M82, ""Recall""), ""Yes"", ""No"")"),"No")</f>
        <v>No</v>
      </c>
      <c r="U82" s="7" t="str">
        <f>IFERROR(__xludf.DUMMYFUNCTION("IF(REGEXMATCH(M82, ""F1 Measure""), ""Yes"", ""No"")"),"No")</f>
        <v>No</v>
      </c>
      <c r="V82" s="7" t="s">
        <v>79</v>
      </c>
      <c r="W82" s="7" t="s">
        <v>80</v>
      </c>
      <c r="X82" s="7" t="s">
        <v>55</v>
      </c>
      <c r="Y82" s="7" t="s">
        <v>59</v>
      </c>
      <c r="Z82" s="7" t="s">
        <v>145</v>
      </c>
      <c r="AA82" s="7" t="s">
        <v>180</v>
      </c>
      <c r="AB82" s="7" t="s">
        <v>29</v>
      </c>
      <c r="AC82" s="7" t="s">
        <v>55</v>
      </c>
      <c r="AD82" s="7" t="s">
        <v>62</v>
      </c>
      <c r="AE82" s="7" t="s">
        <v>56</v>
      </c>
      <c r="AF82" s="11" t="s">
        <v>56</v>
      </c>
      <c r="AG82" s="11" t="s">
        <v>56</v>
      </c>
      <c r="AH82" s="7" t="s">
        <v>170</v>
      </c>
      <c r="AI82" s="7" t="s">
        <v>509</v>
      </c>
      <c r="AJ82" s="7" t="s">
        <v>101</v>
      </c>
      <c r="AK82" s="7" t="s">
        <v>158</v>
      </c>
      <c r="AL82" s="7" t="s">
        <v>67</v>
      </c>
      <c r="AM82" s="7" t="str">
        <f>IFERROR(__xludf.DUMMYFUNCTION("IF(REGEXMATCH($AL82, ""Reproducible""), ""Yes"", ""No"")"),"No")</f>
        <v>No</v>
      </c>
      <c r="AN82" s="7" t="s">
        <v>56</v>
      </c>
      <c r="AO82" s="7" t="s">
        <v>56</v>
      </c>
      <c r="AP82" s="7" t="s">
        <v>56</v>
      </c>
      <c r="AQ82" s="7" t="str">
        <f>IFERROR(__xludf.DUMMYFUNCTION("IF(REGEXMATCH($AL82, ""No Repo""), ""Yes"", ""No"")"),"Yes")</f>
        <v>Yes</v>
      </c>
      <c r="AR82" s="7" t="str">
        <f>IFERROR(__xludf.DUMMYFUNCTION("IF(REGEXMATCH($AL82, ""Hyperparameters""), ""Yes"", ""No"")"),"No")</f>
        <v>No</v>
      </c>
      <c r="AS82" s="7" t="str">
        <f>IFERROR(__xludf.DUMMYFUNCTION("IF(REGEXMATCH($AL82, ""Filtering Details""), ""Yes"", ""No"")"),"Yes")</f>
        <v>Yes</v>
      </c>
    </row>
    <row r="83" ht="28.5" customHeight="1">
      <c r="A83" s="21" t="str">
        <f>HYPERLINK("https://papers.nips.cc/paper/7521-tree-to-tree-neural-networks-for-program-translation","Tree-to-tree neural networks for program translation")</f>
        <v>Tree-to-tree neural networks for program translation</v>
      </c>
      <c r="B83" s="11" t="s">
        <v>171</v>
      </c>
      <c r="C83" s="11">
        <v>2018.0</v>
      </c>
      <c r="D83" s="14" t="s">
        <v>85</v>
      </c>
      <c r="E83" s="11" t="s">
        <v>796</v>
      </c>
      <c r="F83" s="11" t="s">
        <v>797</v>
      </c>
      <c r="G83" s="11" t="s">
        <v>798</v>
      </c>
      <c r="H83" s="11" t="s">
        <v>55</v>
      </c>
      <c r="I83" s="11" t="s">
        <v>799</v>
      </c>
      <c r="J83" s="11" t="s">
        <v>55</v>
      </c>
      <c r="K83" s="11" t="s">
        <v>800</v>
      </c>
      <c r="L83" s="11" t="s">
        <v>801</v>
      </c>
      <c r="M83" s="11" t="s">
        <v>17</v>
      </c>
      <c r="N83" s="11" t="s">
        <v>55</v>
      </c>
      <c r="O83" s="7" t="s">
        <v>56</v>
      </c>
      <c r="P83" s="7" t="s">
        <v>56</v>
      </c>
      <c r="Q83" s="11" t="s">
        <v>56</v>
      </c>
      <c r="R83" s="7" t="str">
        <f>IFERROR(__xludf.DUMMYFUNCTION("IF(REGEXMATCH(M83, ""Accuracy""), ""Yes"", ""No"")"),"Yes")</f>
        <v>Yes</v>
      </c>
      <c r="S83" s="7" t="str">
        <f>IFERROR(__xludf.DUMMYFUNCTION("IF(REGEXMATCH(M83, ""Precision""), ""Yes"", ""No"")"),"No")</f>
        <v>No</v>
      </c>
      <c r="T83" s="7" t="str">
        <f>IFERROR(__xludf.DUMMYFUNCTION("IF(REGEXMATCH(M83, ""Recall""), ""Yes"", ""No"")"),"No")</f>
        <v>No</v>
      </c>
      <c r="U83" s="7" t="str">
        <f>IFERROR(__xludf.DUMMYFUNCTION("IF(REGEXMATCH(M83, ""F1 Measure""), ""Yes"", ""No"")"),"No")</f>
        <v>No</v>
      </c>
      <c r="V83" s="11" t="s">
        <v>79</v>
      </c>
      <c r="W83" s="15" t="s">
        <v>23</v>
      </c>
      <c r="X83" s="15" t="s">
        <v>96</v>
      </c>
      <c r="Y83" s="11" t="s">
        <v>55</v>
      </c>
      <c r="Z83" s="11" t="s">
        <v>55</v>
      </c>
      <c r="AA83" s="11" t="s">
        <v>802</v>
      </c>
      <c r="AB83" s="11" t="s">
        <v>31</v>
      </c>
      <c r="AC83" s="11" t="s">
        <v>55</v>
      </c>
      <c r="AD83" s="7" t="s">
        <v>56</v>
      </c>
      <c r="AE83" s="7" t="s">
        <v>56</v>
      </c>
      <c r="AF83" s="11" t="s">
        <v>62</v>
      </c>
      <c r="AG83" s="11" t="s">
        <v>56</v>
      </c>
      <c r="AH83" s="11" t="s">
        <v>803</v>
      </c>
      <c r="AI83" s="11" t="s">
        <v>64</v>
      </c>
      <c r="AJ83" s="7" t="s">
        <v>128</v>
      </c>
      <c r="AK83" s="7" t="s">
        <v>66</v>
      </c>
      <c r="AL83" s="7" t="s">
        <v>214</v>
      </c>
      <c r="AM83" s="7" t="str">
        <f>IFERROR(__xludf.DUMMYFUNCTION("IF(REGEXMATCH($AL83, ""Reproducible""), ""Yes"", ""No"")"),"No")</f>
        <v>No</v>
      </c>
      <c r="AN83" s="7" t="s">
        <v>56</v>
      </c>
      <c r="AO83" s="7" t="s">
        <v>56</v>
      </c>
      <c r="AP83" s="7" t="s">
        <v>62</v>
      </c>
      <c r="AQ83" s="7" t="str">
        <f>IFERROR(__xludf.DUMMYFUNCTION("IF(REGEXMATCH($AL83, ""No Repo""), ""Yes"", ""No"")"),"No")</f>
        <v>No</v>
      </c>
      <c r="AR83" s="7" t="str">
        <f>IFERROR(__xludf.DUMMYFUNCTION("IF(REGEXMATCH($AL83, ""Hyperparameters""), ""Yes"", ""No"")"),"No")</f>
        <v>No</v>
      </c>
      <c r="AS83" s="7" t="str">
        <f>IFERROR(__xludf.DUMMYFUNCTION("IF(REGEXMATCH($AL83, ""Filtering Details""), ""Yes"", ""No"")"),"Yes")</f>
        <v>Yes</v>
      </c>
    </row>
    <row r="84" ht="28.5" customHeight="1">
      <c r="A84" s="21" t="str">
        <f>HYPERLINK("https://dl.acm.org/citation.cfm?id=3240480","VulSeeker: A Semantic Learning Based Vulnerability Seeker for Cross-platform Binary")</f>
        <v>VulSeeker: A Semantic Learning Based Vulnerability Seeker for Cross-platform Binary</v>
      </c>
      <c r="B84" s="14" t="s">
        <v>103</v>
      </c>
      <c r="C84" s="11">
        <v>2018.0</v>
      </c>
      <c r="D84" s="6" t="s">
        <v>104</v>
      </c>
      <c r="E84" s="11" t="s">
        <v>804</v>
      </c>
      <c r="F84" s="11" t="s">
        <v>55</v>
      </c>
      <c r="G84" s="11" t="s">
        <v>805</v>
      </c>
      <c r="H84" s="11" t="s">
        <v>548</v>
      </c>
      <c r="I84" s="11" t="s">
        <v>806</v>
      </c>
      <c r="J84" s="11" t="s">
        <v>807</v>
      </c>
      <c r="K84" s="11" t="s">
        <v>55</v>
      </c>
      <c r="L84" s="11" t="s">
        <v>808</v>
      </c>
      <c r="M84" s="11" t="s">
        <v>809</v>
      </c>
      <c r="N84" s="11" t="s">
        <v>55</v>
      </c>
      <c r="O84" s="7" t="s">
        <v>56</v>
      </c>
      <c r="P84" s="11" t="s">
        <v>62</v>
      </c>
      <c r="Q84" s="11" t="s">
        <v>56</v>
      </c>
      <c r="R84" s="7" t="str">
        <f>IFERROR(__xludf.DUMMYFUNCTION("IF(REGEXMATCH(M84, ""Accuracy""), ""Yes"", ""No"")"),"Yes")</f>
        <v>Yes</v>
      </c>
      <c r="S84" s="7" t="str">
        <f>IFERROR(__xludf.DUMMYFUNCTION("IF(REGEXMATCH(M84, ""Precision""), ""Yes"", ""No"")"),"No")</f>
        <v>No</v>
      </c>
      <c r="T84" s="7" t="str">
        <f>IFERROR(__xludf.DUMMYFUNCTION("IF(REGEXMATCH(M84, ""Recall""), ""Yes"", ""No"")"),"No")</f>
        <v>No</v>
      </c>
      <c r="U84" s="7" t="str">
        <f>IFERROR(__xludf.DUMMYFUNCTION("IF(REGEXMATCH(M84, ""F1 Measure""), ""Yes"", ""No"")"),"No")</f>
        <v>No</v>
      </c>
      <c r="V84" s="11" t="s">
        <v>79</v>
      </c>
      <c r="W84" s="11" t="s">
        <v>55</v>
      </c>
      <c r="X84" s="15" t="s">
        <v>55</v>
      </c>
      <c r="Y84" s="11" t="s">
        <v>59</v>
      </c>
      <c r="Z84" s="11" t="s">
        <v>292</v>
      </c>
      <c r="AA84" s="11" t="s">
        <v>810</v>
      </c>
      <c r="AB84" s="11" t="s">
        <v>31</v>
      </c>
      <c r="AC84" s="11" t="s">
        <v>55</v>
      </c>
      <c r="AD84" s="7" t="s">
        <v>56</v>
      </c>
      <c r="AE84" s="7" t="s">
        <v>56</v>
      </c>
      <c r="AF84" s="11" t="s">
        <v>62</v>
      </c>
      <c r="AG84" s="11" t="s">
        <v>56</v>
      </c>
      <c r="AH84" s="11" t="s">
        <v>811</v>
      </c>
      <c r="AI84" s="11" t="s">
        <v>64</v>
      </c>
      <c r="AJ84" s="11" t="s">
        <v>157</v>
      </c>
      <c r="AK84" s="11" t="s">
        <v>66</v>
      </c>
      <c r="AL84" s="11" t="s">
        <v>812</v>
      </c>
      <c r="AM84" s="7" t="str">
        <f>IFERROR(__xludf.DUMMYFUNCTION("IF(REGEXMATCH($AL84, ""Reproducible""), ""Yes"", ""No"")"),"No")</f>
        <v>No</v>
      </c>
      <c r="AN84" s="11" t="s">
        <v>62</v>
      </c>
      <c r="AO84" s="11" t="s">
        <v>56</v>
      </c>
      <c r="AP84" s="11" t="s">
        <v>56</v>
      </c>
      <c r="AQ84" s="7" t="str">
        <f>IFERROR(__xludf.DUMMYFUNCTION("IF(REGEXMATCH($AL84, ""No Repo""), ""Yes"", ""No"")"),"Yes")</f>
        <v>Yes</v>
      </c>
      <c r="AR84" s="7" t="str">
        <f>IFERROR(__xludf.DUMMYFUNCTION("IF(REGEXMATCH($AL84, ""Hyperparameters""), ""Yes"", ""No"")"),"Yes")</f>
        <v>Yes</v>
      </c>
      <c r="AS84" s="7" t="str">
        <f>IFERROR(__xludf.DUMMYFUNCTION("IF(REGEXMATCH($AL84, ""Filtering Details""), ""Yes"", ""No"")"),"Yes")</f>
        <v>Yes</v>
      </c>
    </row>
    <row r="85" ht="28.5" customHeight="1">
      <c r="A85" s="21" t="str">
        <f>HYPERLINK("https://dl.acm.org/citation.cfm?id=3238199","αDiff: cross-version binary code similarity detection with DNN")</f>
        <v>αDiff: cross-version binary code similarity detection with DNN</v>
      </c>
      <c r="B85" s="14" t="s">
        <v>103</v>
      </c>
      <c r="C85" s="11">
        <v>2018.0</v>
      </c>
      <c r="D85" s="14" t="s">
        <v>85</v>
      </c>
      <c r="E85" s="11" t="s">
        <v>813</v>
      </c>
      <c r="F85" s="11" t="s">
        <v>814</v>
      </c>
      <c r="G85" s="11" t="s">
        <v>55</v>
      </c>
      <c r="H85" s="11" t="s">
        <v>815</v>
      </c>
      <c r="I85" s="11" t="s">
        <v>816</v>
      </c>
      <c r="J85" s="11" t="s">
        <v>817</v>
      </c>
      <c r="K85" s="11" t="s">
        <v>818</v>
      </c>
      <c r="L85" s="11" t="s">
        <v>819</v>
      </c>
      <c r="M85" s="11" t="s">
        <v>19</v>
      </c>
      <c r="N85" s="11" t="s">
        <v>55</v>
      </c>
      <c r="O85" s="7" t="s">
        <v>56</v>
      </c>
      <c r="P85" s="7" t="s">
        <v>56</v>
      </c>
      <c r="Q85" s="11" t="s">
        <v>56</v>
      </c>
      <c r="R85" s="7" t="str">
        <f>IFERROR(__xludf.DUMMYFUNCTION("IF(REGEXMATCH(M85, ""Accuracy""), ""Yes"", ""No"")"),"No")</f>
        <v>No</v>
      </c>
      <c r="S85" s="7" t="str">
        <f>IFERROR(__xludf.DUMMYFUNCTION("IF(REGEXMATCH(M85, ""Precision""), ""Yes"", ""No"")"),"No")</f>
        <v>No</v>
      </c>
      <c r="T85" s="7" t="str">
        <f>IFERROR(__xludf.DUMMYFUNCTION("IF(REGEXMATCH(M85, ""Recall""), ""Yes"", ""No"")"),"Yes")</f>
        <v>Yes</v>
      </c>
      <c r="U85" s="7" t="str">
        <f>IFERROR(__xludf.DUMMYFUNCTION("IF(REGEXMATCH(M85, ""F1 Measure""), ""Yes"", ""No"")"),"No")</f>
        <v>No</v>
      </c>
      <c r="V85" s="11" t="s">
        <v>79</v>
      </c>
      <c r="W85" s="11" t="s">
        <v>23</v>
      </c>
      <c r="X85" s="11" t="s">
        <v>96</v>
      </c>
      <c r="Y85" s="11" t="s">
        <v>59</v>
      </c>
      <c r="Z85" s="11" t="s">
        <v>820</v>
      </c>
      <c r="AA85" s="11" t="s">
        <v>244</v>
      </c>
      <c r="AB85" s="11" t="s">
        <v>31</v>
      </c>
      <c r="AC85" s="11" t="s">
        <v>55</v>
      </c>
      <c r="AD85" s="7" t="s">
        <v>56</v>
      </c>
      <c r="AE85" s="7" t="s">
        <v>56</v>
      </c>
      <c r="AF85" s="11" t="s">
        <v>62</v>
      </c>
      <c r="AG85" s="11" t="s">
        <v>56</v>
      </c>
      <c r="AH85" s="11" t="s">
        <v>811</v>
      </c>
      <c r="AI85" s="11" t="s">
        <v>64</v>
      </c>
      <c r="AJ85" s="11" t="s">
        <v>715</v>
      </c>
      <c r="AK85" s="11" t="s">
        <v>66</v>
      </c>
      <c r="AL85" s="11" t="s">
        <v>821</v>
      </c>
      <c r="AM85" s="7" t="str">
        <f>IFERROR(__xludf.DUMMYFUNCTION("IF(REGEXMATCH($AL85, ""Reproducible""), ""Yes"", ""No"")"),"No")</f>
        <v>No</v>
      </c>
      <c r="AN85" s="11" t="s">
        <v>56</v>
      </c>
      <c r="AO85" s="11" t="s">
        <v>62</v>
      </c>
      <c r="AP85" s="11" t="s">
        <v>56</v>
      </c>
      <c r="AQ85" s="7" t="str">
        <f>IFERROR(__xludf.DUMMYFUNCTION("IF(REGEXMATCH($AL85, ""No Repo""), ""Yes"", ""No"")"),"No")</f>
        <v>No</v>
      </c>
      <c r="AR85" s="7" t="str">
        <f>IFERROR(__xludf.DUMMYFUNCTION("IF(REGEXMATCH($AL85, ""Hyperparameters""), ""Yes"", ""No"")"),"No")</f>
        <v>No</v>
      </c>
      <c r="AS85" s="7" t="str">
        <f>IFERROR(__xludf.DUMMYFUNCTION("IF(REGEXMATCH($AL85, ""Filtering Details""), ""Yes"", ""No"")"),"Yes")</f>
        <v>Yes</v>
      </c>
    </row>
    <row r="86" ht="28.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ht="28.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ht="28.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ht="28.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ht="28.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ht="28.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ht="28.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ht="28.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ht="28.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ht="28.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ht="28.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ht="28.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ht="28.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ht="28.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ht="28.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ht="28.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ht="28.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ht="28.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ht="28.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ht="28.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ht="28.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ht="28.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ht="28.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ht="28.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ht="28.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ht="28.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ht="28.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ht="28.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ht="28.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ht="28.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ht="28.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ht="28.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ht="28.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ht="28.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ht="28.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ht="28.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ht="28.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ht="28.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ht="28.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ht="28.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ht="28.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ht="28.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ht="28.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ht="28.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ht="28.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ht="28.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ht="28.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ht="28.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ht="28.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ht="28.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ht="28.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ht="28.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ht="28.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ht="28.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ht="28.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ht="28.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ht="28.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ht="28.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ht="28.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ht="28.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ht="28.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ht="28.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ht="28.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ht="28.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ht="28.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ht="28.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ht="28.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ht="28.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ht="28.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ht="28.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ht="28.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ht="28.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ht="28.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ht="28.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ht="28.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ht="28.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ht="28.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ht="28.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ht="28.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ht="28.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ht="28.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ht="28.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ht="28.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ht="28.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ht="28.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ht="28.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ht="28.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ht="28.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ht="28.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ht="28.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ht="28.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ht="28.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ht="28.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ht="28.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ht="28.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ht="28.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ht="28.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ht="28.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ht="28.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ht="28.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ht="28.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ht="28.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ht="28.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ht="28.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ht="28.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ht="28.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ht="28.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ht="28.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ht="28.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ht="28.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ht="28.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ht="28.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ht="28.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ht="28.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ht="28.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ht="28.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ht="28.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ht="28.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ht="28.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ht="28.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ht="28.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ht="28.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ht="28.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ht="28.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ht="28.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ht="28.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ht="28.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ht="28.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ht="28.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ht="28.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ht="28.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ht="28.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ht="28.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ht="28.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ht="28.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ht="28.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ht="28.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ht="28.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ht="28.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ht="28.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ht="28.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ht="28.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ht="28.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ht="28.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ht="28.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ht="28.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ht="28.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ht="28.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ht="28.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ht="28.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ht="28.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ht="28.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ht="28.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ht="28.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ht="28.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ht="28.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ht="28.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ht="28.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ht="28.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ht="28.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ht="28.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ht="28.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ht="28.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ht="28.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ht="28.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ht="28.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ht="28.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ht="28.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ht="28.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ht="28.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ht="28.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ht="28.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ht="28.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ht="28.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ht="28.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ht="28.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ht="28.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ht="28.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ht="28.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ht="28.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ht="28.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ht="28.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ht="28.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ht="28.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ht="28.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ht="28.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ht="28.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ht="28.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ht="28.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ht="28.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ht="28.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ht="28.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ht="28.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ht="28.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ht="28.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ht="28.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ht="28.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ht="28.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ht="28.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ht="28.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ht="28.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ht="28.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ht="28.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ht="28.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ht="28.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ht="28.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ht="28.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ht="28.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ht="28.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ht="28.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ht="28.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ht="28.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ht="28.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ht="28.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ht="28.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ht="28.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ht="28.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ht="28.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ht="28.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ht="28.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ht="28.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ht="28.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ht="28.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ht="28.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ht="28.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ht="28.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ht="28.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ht="28.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ht="28.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ht="28.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ht="28.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ht="28.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ht="28.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ht="28.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ht="28.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ht="28.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ht="28.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ht="28.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ht="28.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ht="28.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ht="28.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ht="28.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ht="28.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ht="28.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ht="28.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ht="28.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ht="28.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ht="28.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ht="28.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ht="28.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ht="28.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ht="28.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ht="28.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ht="28.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ht="28.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ht="28.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ht="28.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ht="28.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ht="28.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ht="28.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ht="28.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ht="28.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ht="28.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ht="28.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ht="28.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ht="28.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ht="28.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ht="28.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ht="28.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ht="28.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ht="28.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ht="28.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ht="28.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ht="28.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ht="28.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ht="28.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ht="28.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ht="28.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ht="28.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ht="28.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ht="28.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ht="28.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ht="28.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ht="28.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ht="28.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ht="28.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ht="28.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ht="28.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ht="28.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ht="28.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ht="28.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ht="28.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ht="28.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ht="28.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ht="28.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ht="28.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ht="28.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ht="28.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ht="28.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ht="28.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ht="28.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ht="28.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ht="28.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ht="28.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ht="28.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ht="28.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ht="28.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ht="28.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ht="28.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ht="28.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ht="28.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ht="28.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ht="28.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ht="28.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ht="28.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ht="28.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ht="28.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ht="28.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ht="28.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ht="28.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ht="28.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ht="28.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ht="28.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ht="28.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ht="28.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ht="28.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ht="28.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ht="28.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ht="28.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ht="28.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ht="28.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ht="28.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ht="28.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ht="28.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ht="28.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ht="28.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ht="28.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ht="28.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ht="28.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ht="28.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ht="28.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ht="28.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ht="28.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ht="28.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ht="28.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ht="28.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ht="28.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ht="28.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ht="28.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ht="28.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ht="28.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ht="28.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ht="28.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ht="28.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ht="28.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ht="28.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ht="28.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ht="28.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ht="28.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ht="28.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ht="28.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ht="28.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ht="28.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ht="28.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ht="28.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ht="28.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ht="28.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ht="28.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ht="28.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ht="28.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ht="28.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ht="28.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ht="28.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ht="28.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ht="28.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ht="28.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ht="28.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ht="28.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ht="28.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ht="28.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ht="28.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ht="28.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ht="28.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ht="28.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ht="28.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ht="28.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ht="28.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ht="28.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ht="28.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ht="28.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ht="28.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ht="28.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ht="28.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ht="28.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ht="28.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ht="28.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ht="28.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ht="28.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ht="28.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ht="28.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ht="28.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ht="28.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ht="28.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ht="28.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ht="28.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ht="28.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ht="28.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ht="28.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ht="28.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ht="28.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ht="28.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ht="28.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ht="28.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ht="28.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ht="28.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ht="28.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ht="28.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ht="28.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ht="28.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ht="28.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ht="28.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ht="28.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ht="28.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ht="28.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ht="28.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ht="28.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ht="28.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ht="28.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ht="28.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ht="28.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ht="28.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ht="28.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ht="28.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ht="28.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ht="28.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ht="28.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ht="28.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ht="28.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ht="28.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ht="28.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ht="28.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ht="28.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ht="28.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ht="28.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ht="28.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ht="28.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ht="28.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ht="28.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ht="28.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ht="28.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ht="28.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ht="28.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ht="28.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ht="28.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ht="28.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ht="28.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ht="28.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ht="28.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ht="28.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ht="28.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ht="28.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ht="28.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ht="28.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ht="28.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ht="28.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ht="28.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ht="28.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ht="28.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ht="28.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ht="28.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ht="28.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ht="28.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ht="28.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ht="28.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ht="28.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ht="28.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ht="28.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ht="28.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ht="28.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ht="28.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ht="28.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ht="28.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ht="28.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ht="28.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ht="28.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ht="28.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ht="28.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ht="28.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ht="28.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ht="28.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ht="28.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ht="28.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ht="28.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ht="28.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ht="28.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ht="28.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ht="28.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ht="28.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ht="28.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ht="28.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ht="28.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ht="28.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ht="28.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ht="28.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ht="28.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ht="28.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ht="28.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ht="28.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ht="28.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ht="28.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ht="28.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ht="28.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ht="28.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ht="28.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ht="28.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ht="28.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ht="28.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ht="28.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ht="28.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ht="28.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ht="28.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ht="28.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ht="28.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ht="28.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ht="28.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ht="28.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ht="28.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ht="28.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ht="28.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ht="28.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ht="28.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ht="28.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ht="28.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ht="28.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ht="28.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ht="28.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ht="28.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ht="28.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ht="28.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ht="28.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ht="28.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ht="28.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ht="28.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ht="28.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ht="28.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ht="28.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ht="28.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ht="28.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ht="28.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ht="28.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ht="28.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ht="28.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ht="28.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ht="28.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ht="28.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ht="28.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ht="28.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ht="28.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ht="28.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ht="28.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ht="28.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ht="28.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ht="28.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ht="28.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ht="28.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ht="28.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ht="28.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ht="28.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ht="28.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ht="28.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ht="28.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ht="28.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ht="28.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ht="28.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ht="28.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ht="28.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ht="28.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ht="28.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ht="28.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ht="28.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ht="28.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ht="28.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ht="28.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ht="28.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ht="28.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ht="28.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ht="28.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ht="28.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ht="28.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ht="28.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ht="28.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ht="28.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ht="28.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ht="28.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ht="28.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ht="28.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ht="28.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ht="28.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ht="28.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ht="28.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ht="28.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ht="28.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ht="28.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ht="28.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ht="28.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ht="28.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ht="28.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ht="28.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ht="28.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ht="28.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ht="28.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ht="28.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ht="28.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ht="28.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ht="28.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ht="28.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ht="28.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ht="28.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ht="28.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ht="28.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ht="28.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ht="28.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ht="28.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ht="28.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ht="28.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ht="28.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ht="28.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ht="28.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ht="28.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row>
    <row r="715" ht="28.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row>
    <row r="716" ht="28.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row>
    <row r="717" ht="28.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row>
    <row r="718" ht="28.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row>
    <row r="719" ht="28.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row>
    <row r="720" ht="28.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row>
    <row r="721" ht="28.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row>
    <row r="722" ht="28.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row>
    <row r="723" ht="28.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row>
    <row r="724" ht="28.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row>
    <row r="725" ht="28.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row>
    <row r="726" ht="28.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row>
    <row r="727" ht="28.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row>
    <row r="728" ht="28.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row>
    <row r="729" ht="28.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row>
    <row r="730" ht="28.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row>
    <row r="731" ht="28.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row>
    <row r="732" ht="28.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row>
    <row r="733" ht="28.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row>
    <row r="734" ht="28.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row>
    <row r="735" ht="28.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row>
    <row r="736" ht="28.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row>
    <row r="737" ht="28.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row>
    <row r="738" ht="28.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row>
    <row r="739" ht="28.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row>
    <row r="740" ht="28.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row>
    <row r="741" ht="28.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row>
    <row r="742" ht="28.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row>
    <row r="743" ht="28.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row>
    <row r="744" ht="28.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row>
    <row r="745" ht="28.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row>
    <row r="746" ht="28.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row>
    <row r="747" ht="28.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row>
    <row r="748" ht="28.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row>
    <row r="749" ht="28.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row>
    <row r="750" ht="28.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row>
    <row r="751" ht="28.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row>
    <row r="752" ht="28.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row>
    <row r="753" ht="28.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row>
    <row r="754" ht="28.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row>
    <row r="755" ht="28.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row>
    <row r="756" ht="28.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row>
    <row r="757" ht="28.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row>
    <row r="758" ht="28.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row>
    <row r="759" ht="28.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row>
    <row r="760" ht="28.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row>
    <row r="761" ht="28.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row>
    <row r="762" ht="28.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row>
    <row r="763" ht="28.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row>
    <row r="764" ht="28.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row>
    <row r="765" ht="28.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row>
    <row r="766" ht="28.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row>
    <row r="767" ht="28.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row>
    <row r="768" ht="28.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row>
    <row r="769" ht="28.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row>
    <row r="770" ht="28.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row>
    <row r="771" ht="28.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row>
    <row r="772" ht="28.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row>
    <row r="773" ht="28.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row>
    <row r="774" ht="28.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row>
    <row r="775" ht="28.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row>
    <row r="776" ht="28.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row>
    <row r="777" ht="28.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row>
    <row r="778" ht="28.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row>
    <row r="779" ht="28.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row>
    <row r="780" ht="28.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row>
    <row r="781" ht="28.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row>
    <row r="782" ht="28.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row>
    <row r="783" ht="28.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row>
    <row r="784" ht="28.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row>
    <row r="785" ht="28.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row>
    <row r="786" ht="28.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row>
    <row r="787" ht="28.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row>
    <row r="788" ht="28.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row>
    <row r="789" ht="28.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row>
    <row r="790" ht="28.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row>
    <row r="791" ht="28.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row>
    <row r="792" ht="28.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row>
    <row r="793" ht="28.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row>
    <row r="794" ht="28.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row>
    <row r="795" ht="28.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row>
    <row r="796" ht="28.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row>
    <row r="797" ht="28.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row>
    <row r="798" ht="28.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row>
    <row r="799" ht="28.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row>
    <row r="800" ht="28.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row>
    <row r="801" ht="28.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row>
    <row r="802" ht="28.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row>
    <row r="803" ht="28.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row>
    <row r="804" ht="28.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row>
    <row r="805" ht="28.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row>
    <row r="806" ht="28.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row>
    <row r="807" ht="28.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row>
    <row r="808" ht="28.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row>
    <row r="809" ht="28.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row>
    <row r="810" ht="28.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row>
    <row r="811" ht="28.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row>
    <row r="812" ht="28.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row>
    <row r="813" ht="28.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row>
    <row r="814" ht="28.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row>
    <row r="815" ht="28.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row>
    <row r="816" ht="28.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row>
    <row r="817" ht="28.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row>
    <row r="818" ht="28.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row>
    <row r="819" ht="28.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row>
    <row r="820" ht="28.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row>
    <row r="821" ht="28.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row>
    <row r="822" ht="28.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row>
    <row r="823" ht="28.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row>
    <row r="824" ht="28.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row>
    <row r="825" ht="28.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row>
    <row r="826" ht="28.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row>
    <row r="827" ht="28.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row>
    <row r="828" ht="28.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row>
    <row r="829" ht="28.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row>
    <row r="830" ht="28.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row>
    <row r="831" ht="28.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row>
    <row r="832" ht="28.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row>
    <row r="833" ht="28.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row>
    <row r="834" ht="28.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row>
    <row r="835" ht="28.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row>
    <row r="836" ht="28.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row>
    <row r="837" ht="28.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row>
    <row r="838" ht="28.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row>
    <row r="839" ht="28.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row>
    <row r="840" ht="28.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row>
    <row r="841" ht="28.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row>
    <row r="842" ht="28.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row>
    <row r="843" ht="28.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row>
    <row r="844" ht="28.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row>
    <row r="845" ht="28.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row>
    <row r="846" ht="28.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row>
    <row r="847" ht="28.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row>
    <row r="848" ht="28.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row>
    <row r="849" ht="28.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row>
    <row r="850" ht="28.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row>
    <row r="851" ht="28.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row>
    <row r="852" ht="28.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row>
    <row r="853" ht="28.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row>
    <row r="854" ht="28.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row>
    <row r="855" ht="28.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row>
    <row r="856" ht="28.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row>
    <row r="857" ht="28.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row>
    <row r="858" ht="28.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row>
    <row r="859" ht="28.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row>
    <row r="860" ht="28.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row>
    <row r="861" ht="28.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row>
    <row r="862" ht="28.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row>
    <row r="863" ht="28.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row>
    <row r="864" ht="28.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row>
    <row r="865" ht="28.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row>
    <row r="866" ht="28.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row>
    <row r="867" ht="28.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row>
    <row r="868" ht="28.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row>
    <row r="869" ht="28.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row>
    <row r="870" ht="28.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row>
    <row r="871" ht="28.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row>
    <row r="872" ht="28.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row>
    <row r="873" ht="28.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row>
    <row r="874" ht="28.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row>
    <row r="875" ht="28.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row>
    <row r="876" ht="28.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row>
    <row r="877" ht="28.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row>
    <row r="878" ht="28.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row>
    <row r="879" ht="28.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row>
    <row r="880" ht="28.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row>
    <row r="881" ht="28.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row>
    <row r="882" ht="28.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row>
    <row r="883" ht="28.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row>
    <row r="884" ht="28.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row>
    <row r="885" ht="28.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row>
    <row r="886" ht="28.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row>
    <row r="887" ht="28.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row>
    <row r="888" ht="28.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row>
    <row r="889" ht="28.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row>
    <row r="890" ht="28.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row>
    <row r="891" ht="28.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row>
    <row r="892" ht="28.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row>
    <row r="893" ht="28.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row>
    <row r="894" ht="28.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row>
    <row r="895" ht="28.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row>
    <row r="896" ht="28.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row>
    <row r="897" ht="28.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row>
    <row r="898" ht="28.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row>
    <row r="899" ht="28.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row>
    <row r="900" ht="28.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row>
    <row r="901" ht="28.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row>
    <row r="902" ht="28.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row>
    <row r="903" ht="28.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row>
    <row r="904" ht="28.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row>
    <row r="905" ht="28.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row>
    <row r="906" ht="28.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row>
    <row r="907" ht="28.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row>
    <row r="908" ht="28.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row>
    <row r="909" ht="28.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row>
    <row r="910" ht="28.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row>
    <row r="911" ht="28.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row>
    <row r="912" ht="28.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row>
    <row r="913" ht="28.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row>
    <row r="914" ht="28.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row>
    <row r="915" ht="28.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row>
    <row r="916" ht="28.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row>
    <row r="917" ht="28.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row>
    <row r="918" ht="28.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row>
    <row r="919" ht="28.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row>
    <row r="920" ht="28.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row>
    <row r="921" ht="28.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row>
    <row r="922" ht="28.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row>
    <row r="923" ht="28.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row>
    <row r="924" ht="28.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row>
    <row r="925" ht="28.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row>
    <row r="926" ht="28.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row>
    <row r="927" ht="28.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row>
    <row r="928" ht="28.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row>
    <row r="929" ht="28.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row>
    <row r="930" ht="28.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row>
    <row r="931" ht="28.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row>
    <row r="932" ht="28.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row>
    <row r="933" ht="28.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row>
    <row r="934" ht="28.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row>
    <row r="935" ht="28.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row>
    <row r="936" ht="28.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row>
    <row r="937" ht="28.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row>
    <row r="938" ht="28.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row>
    <row r="939" ht="28.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row>
    <row r="940" ht="28.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row>
    <row r="941" ht="28.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row>
    <row r="942" ht="28.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row>
    <row r="943" ht="28.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row>
    <row r="944" ht="28.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row>
    <row r="945" ht="28.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row>
    <row r="946" ht="28.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row>
    <row r="947" ht="28.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row>
    <row r="948" ht="28.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row>
    <row r="949" ht="28.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row>
    <row r="950" ht="28.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row>
    <row r="951" ht="28.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row>
    <row r="952" ht="28.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row>
    <row r="953" ht="28.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row>
    <row r="954" ht="28.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row>
    <row r="955" ht="28.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row>
    <row r="956" ht="28.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row>
    <row r="957" ht="28.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row>
    <row r="958" ht="28.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row>
    <row r="959" ht="28.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row>
    <row r="960" ht="28.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row>
    <row r="961" ht="28.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row>
    <row r="962" ht="28.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row>
    <row r="963" ht="28.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row>
    <row r="964" ht="28.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row>
    <row r="965" ht="28.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row>
    <row r="966" ht="28.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row>
    <row r="967" ht="28.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row>
    <row r="968" ht="28.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row>
    <row r="969" ht="28.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row>
    <row r="970" ht="28.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row>
    <row r="971" ht="28.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row>
    <row r="972" ht="28.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row>
    <row r="973" ht="28.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row>
    <row r="974" ht="28.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row>
    <row r="975" ht="28.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row>
    <row r="976" ht="28.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row>
    <row r="977" ht="28.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row>
    <row r="978" ht="28.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row>
    <row r="979" ht="28.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row>
    <row r="980" ht="28.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row>
    <row r="981" ht="28.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row>
    <row r="982" ht="28.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row>
    <row r="983" ht="28.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row>
    <row r="984" ht="28.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7"/>
      <c r="AD984" s="7"/>
      <c r="AE984" s="7"/>
      <c r="AF984" s="14"/>
      <c r="AG984" s="14"/>
      <c r="AH984" s="14"/>
      <c r="AI984" s="14"/>
      <c r="AJ984" s="14"/>
      <c r="AK984" s="14"/>
      <c r="AL984" s="14"/>
      <c r="AM984" s="14"/>
      <c r="AN984" s="14"/>
      <c r="AO984" s="14"/>
      <c r="AP984" s="14"/>
      <c r="AQ984" s="14"/>
      <c r="AR984" s="14"/>
      <c r="AS984" s="14"/>
    </row>
  </sheetData>
  <autoFilter ref="$A$1:$AS$85">
    <sortState ref="A1:AS85">
      <sortCondition ref="A1:A85"/>
      <sortCondition descending="1" ref="C1:C85"/>
    </sortState>
  </autoFil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71"/>
    <col customWidth="1" min="20" max="20" width="17.14"/>
    <col customWidth="1" min="28" max="28" width="18.71"/>
    <col customWidth="1" min="30" max="30" width="17.14"/>
    <col customWidth="1" min="34" max="34" width="17.57"/>
  </cols>
  <sheetData>
    <row r="1">
      <c r="A1" s="29" t="s">
        <v>0</v>
      </c>
      <c r="B1" s="29" t="s">
        <v>1</v>
      </c>
      <c r="C1" s="29" t="s">
        <v>2</v>
      </c>
      <c r="D1" s="29" t="s">
        <v>3</v>
      </c>
      <c r="E1" s="29" t="s">
        <v>13</v>
      </c>
      <c r="F1" s="29" t="s">
        <v>14</v>
      </c>
      <c r="G1" s="29" t="s">
        <v>15</v>
      </c>
      <c r="H1" s="29" t="s">
        <v>16</v>
      </c>
      <c r="I1" s="29" t="s">
        <v>17</v>
      </c>
      <c r="J1" s="29" t="s">
        <v>18</v>
      </c>
      <c r="K1" s="29" t="s">
        <v>19</v>
      </c>
      <c r="L1" s="29" t="s">
        <v>20</v>
      </c>
      <c r="M1" s="29" t="s">
        <v>21</v>
      </c>
      <c r="N1" s="29" t="s">
        <v>22</v>
      </c>
      <c r="O1" s="29" t="s">
        <v>23</v>
      </c>
      <c r="P1" s="29" t="s">
        <v>24</v>
      </c>
      <c r="Q1" s="29" t="s">
        <v>25</v>
      </c>
      <c r="R1" s="29" t="s">
        <v>26</v>
      </c>
      <c r="S1" s="29" t="s">
        <v>28</v>
      </c>
      <c r="T1" s="29" t="s">
        <v>99</v>
      </c>
      <c r="U1" s="29" t="s">
        <v>29</v>
      </c>
      <c r="V1" s="29" t="s">
        <v>30</v>
      </c>
      <c r="W1" s="29" t="s">
        <v>31</v>
      </c>
      <c r="X1" s="29" t="s">
        <v>32</v>
      </c>
      <c r="Y1" s="29" t="s">
        <v>33</v>
      </c>
      <c r="Z1" s="29" t="s">
        <v>34</v>
      </c>
      <c r="AA1" s="29" t="s">
        <v>35</v>
      </c>
      <c r="AB1" s="29" t="s">
        <v>36</v>
      </c>
      <c r="AC1" s="29" t="s">
        <v>38</v>
      </c>
      <c r="AD1" s="29" t="s">
        <v>39</v>
      </c>
      <c r="AE1" s="29" t="s">
        <v>40</v>
      </c>
      <c r="AF1" s="29" t="s">
        <v>41</v>
      </c>
      <c r="AG1" s="29" t="s">
        <v>42</v>
      </c>
      <c r="AH1" s="29" t="s">
        <v>43</v>
      </c>
      <c r="AI1" s="29" t="s">
        <v>44</v>
      </c>
    </row>
    <row r="2">
      <c r="A2" s="30" t="s">
        <v>822</v>
      </c>
      <c r="B2" s="30" t="s">
        <v>103</v>
      </c>
      <c r="C2" s="31">
        <v>2015.0</v>
      </c>
      <c r="D2" s="30" t="s">
        <v>104</v>
      </c>
      <c r="E2" s="30" t="s">
        <v>823</v>
      </c>
      <c r="F2" s="30" t="s">
        <v>824</v>
      </c>
      <c r="G2" s="30" t="s">
        <v>825</v>
      </c>
      <c r="H2" s="30" t="s">
        <v>826</v>
      </c>
      <c r="I2" s="30" t="s">
        <v>827</v>
      </c>
      <c r="J2" s="30" t="s">
        <v>828</v>
      </c>
      <c r="K2" s="30" t="s">
        <v>829</v>
      </c>
      <c r="L2" s="30" t="s">
        <v>830</v>
      </c>
      <c r="M2" s="30" t="s">
        <v>57</v>
      </c>
      <c r="N2" s="30" t="s">
        <v>831</v>
      </c>
      <c r="O2" s="30" t="s">
        <v>832</v>
      </c>
      <c r="P2" s="30" t="s">
        <v>833</v>
      </c>
      <c r="Q2" s="30" t="s">
        <v>834</v>
      </c>
      <c r="R2" s="30" t="s">
        <v>253</v>
      </c>
      <c r="S2" s="30" t="s">
        <v>136</v>
      </c>
      <c r="T2" s="30" t="s">
        <v>835</v>
      </c>
      <c r="U2" s="30" t="s">
        <v>836</v>
      </c>
      <c r="V2" s="30" t="s">
        <v>837</v>
      </c>
      <c r="W2" s="30" t="s">
        <v>838</v>
      </c>
      <c r="X2" s="30" t="s">
        <v>839</v>
      </c>
      <c r="Y2" s="30" t="s">
        <v>100</v>
      </c>
      <c r="Z2" s="30" t="s">
        <v>147</v>
      </c>
      <c r="AA2" s="30" t="s">
        <v>213</v>
      </c>
      <c r="AB2" s="30" t="s">
        <v>66</v>
      </c>
      <c r="AC2" s="30" t="s">
        <v>840</v>
      </c>
      <c r="AD2" s="30" t="s">
        <v>841</v>
      </c>
      <c r="AE2" s="30" t="s">
        <v>842</v>
      </c>
      <c r="AF2" s="30" t="s">
        <v>843</v>
      </c>
      <c r="AG2" s="30" t="s">
        <v>844</v>
      </c>
      <c r="AH2" s="30" t="s">
        <v>845</v>
      </c>
      <c r="AI2" s="30" t="s">
        <v>846</v>
      </c>
    </row>
    <row r="3">
      <c r="A3" s="30" t="s">
        <v>847</v>
      </c>
      <c r="B3" s="30" t="s">
        <v>129</v>
      </c>
      <c r="C3" s="31">
        <v>2015.0</v>
      </c>
      <c r="D3" s="30" t="s">
        <v>46</v>
      </c>
      <c r="E3" s="30" t="s">
        <v>823</v>
      </c>
      <c r="F3" s="30" t="s">
        <v>848</v>
      </c>
      <c r="G3" s="30" t="s">
        <v>825</v>
      </c>
      <c r="H3" s="30" t="s">
        <v>826</v>
      </c>
      <c r="I3" s="30" t="s">
        <v>827</v>
      </c>
      <c r="J3" s="30" t="s">
        <v>828</v>
      </c>
      <c r="K3" s="30" t="s">
        <v>19</v>
      </c>
      <c r="L3" s="30" t="s">
        <v>849</v>
      </c>
      <c r="M3" s="30" t="s">
        <v>231</v>
      </c>
      <c r="N3" s="30" t="s">
        <v>23</v>
      </c>
      <c r="O3" s="30" t="s">
        <v>58</v>
      </c>
      <c r="P3" s="30" t="s">
        <v>59</v>
      </c>
      <c r="Q3" s="30" t="s">
        <v>771</v>
      </c>
      <c r="R3" s="30" t="s">
        <v>342</v>
      </c>
      <c r="S3" s="30" t="s">
        <v>850</v>
      </c>
      <c r="T3" s="30" t="s">
        <v>835</v>
      </c>
      <c r="U3" s="30" t="s">
        <v>836</v>
      </c>
      <c r="V3" s="30" t="s">
        <v>837</v>
      </c>
      <c r="W3" s="30" t="s">
        <v>838</v>
      </c>
      <c r="X3" s="30" t="s">
        <v>839</v>
      </c>
      <c r="Y3" s="30" t="s">
        <v>63</v>
      </c>
      <c r="Z3" s="30" t="s">
        <v>64</v>
      </c>
      <c r="AA3" s="30" t="s">
        <v>772</v>
      </c>
      <c r="AB3" s="30" t="s">
        <v>66</v>
      </c>
      <c r="AC3" s="30" t="s">
        <v>840</v>
      </c>
      <c r="AD3" s="30" t="s">
        <v>841</v>
      </c>
      <c r="AE3" s="30" t="s">
        <v>842</v>
      </c>
      <c r="AF3" s="30" t="s">
        <v>843</v>
      </c>
      <c r="AG3" s="30" t="s">
        <v>851</v>
      </c>
      <c r="AH3" s="30" t="s">
        <v>852</v>
      </c>
      <c r="AI3" s="30" t="s">
        <v>853</v>
      </c>
    </row>
    <row r="4">
      <c r="A4" s="30" t="s">
        <v>854</v>
      </c>
      <c r="B4" s="30" t="s">
        <v>256</v>
      </c>
      <c r="C4" s="31">
        <v>2015.0</v>
      </c>
      <c r="D4" s="30" t="s">
        <v>46</v>
      </c>
      <c r="E4" s="30" t="s">
        <v>823</v>
      </c>
      <c r="F4" s="30" t="s">
        <v>848</v>
      </c>
      <c r="G4" s="30" t="s">
        <v>825</v>
      </c>
      <c r="H4" s="30" t="s">
        <v>826</v>
      </c>
      <c r="I4" s="30" t="s">
        <v>855</v>
      </c>
      <c r="J4" s="30" t="s">
        <v>856</v>
      </c>
      <c r="K4" s="30" t="s">
        <v>829</v>
      </c>
      <c r="L4" s="30" t="s">
        <v>830</v>
      </c>
      <c r="M4" s="30" t="s">
        <v>57</v>
      </c>
      <c r="N4" s="30" t="s">
        <v>831</v>
      </c>
      <c r="O4" s="30" t="s">
        <v>832</v>
      </c>
      <c r="P4" s="30" t="s">
        <v>533</v>
      </c>
      <c r="Q4" s="30" t="s">
        <v>60</v>
      </c>
      <c r="R4" s="30" t="s">
        <v>180</v>
      </c>
      <c r="S4" s="30" t="s">
        <v>357</v>
      </c>
      <c r="T4" s="30" t="s">
        <v>835</v>
      </c>
      <c r="U4" s="30" t="s">
        <v>836</v>
      </c>
      <c r="V4" s="30" t="s">
        <v>837</v>
      </c>
      <c r="W4" s="30" t="s">
        <v>857</v>
      </c>
      <c r="X4" s="30" t="s">
        <v>839</v>
      </c>
      <c r="Y4" s="30" t="s">
        <v>358</v>
      </c>
      <c r="Z4" s="30" t="s">
        <v>64</v>
      </c>
      <c r="AA4" s="30" t="s">
        <v>101</v>
      </c>
      <c r="AB4" s="30" t="s">
        <v>83</v>
      </c>
      <c r="AC4" s="30" t="s">
        <v>840</v>
      </c>
      <c r="AD4" s="30" t="s">
        <v>841</v>
      </c>
      <c r="AE4" s="30" t="s">
        <v>842</v>
      </c>
      <c r="AF4" s="30" t="s">
        <v>843</v>
      </c>
      <c r="AG4" s="30" t="s">
        <v>844</v>
      </c>
      <c r="AH4" s="30" t="s">
        <v>852</v>
      </c>
      <c r="AI4" s="30" t="s">
        <v>846</v>
      </c>
    </row>
    <row r="5">
      <c r="A5" s="30" t="s">
        <v>858</v>
      </c>
      <c r="B5" s="30" t="s">
        <v>45</v>
      </c>
      <c r="C5" s="31">
        <v>2015.0</v>
      </c>
      <c r="D5" s="30" t="s">
        <v>46</v>
      </c>
      <c r="E5" s="30" t="s">
        <v>823</v>
      </c>
      <c r="F5" s="30" t="s">
        <v>848</v>
      </c>
      <c r="G5" s="30" t="s">
        <v>825</v>
      </c>
      <c r="H5" s="30" t="s">
        <v>826</v>
      </c>
      <c r="I5" s="30" t="s">
        <v>855</v>
      </c>
      <c r="J5" s="30" t="s">
        <v>856</v>
      </c>
      <c r="K5" s="30" t="s">
        <v>829</v>
      </c>
      <c r="L5" s="30" t="s">
        <v>830</v>
      </c>
      <c r="M5" s="30" t="s">
        <v>79</v>
      </c>
      <c r="N5" s="30" t="s">
        <v>23</v>
      </c>
      <c r="O5" s="30" t="s">
        <v>210</v>
      </c>
      <c r="P5" s="30" t="s">
        <v>59</v>
      </c>
      <c r="Q5" s="30" t="s">
        <v>145</v>
      </c>
      <c r="R5" s="30" t="s">
        <v>342</v>
      </c>
      <c r="S5" s="30" t="s">
        <v>850</v>
      </c>
      <c r="T5" s="30" t="s">
        <v>835</v>
      </c>
      <c r="U5" s="30" t="s">
        <v>836</v>
      </c>
      <c r="V5" s="30" t="s">
        <v>837</v>
      </c>
      <c r="W5" s="30" t="s">
        <v>838</v>
      </c>
      <c r="X5" s="30" t="s">
        <v>839</v>
      </c>
      <c r="Y5" s="30" t="s">
        <v>358</v>
      </c>
      <c r="Z5" s="30" t="s">
        <v>64</v>
      </c>
      <c r="AA5" s="30" t="s">
        <v>128</v>
      </c>
      <c r="AB5" s="30" t="s">
        <v>102</v>
      </c>
      <c r="AC5" s="30" t="s">
        <v>840</v>
      </c>
      <c r="AD5" s="30" t="s">
        <v>841</v>
      </c>
      <c r="AE5" s="30" t="s">
        <v>842</v>
      </c>
      <c r="AF5" s="30" t="s">
        <v>843</v>
      </c>
      <c r="AG5" s="30" t="s">
        <v>851</v>
      </c>
      <c r="AH5" s="30" t="s">
        <v>852</v>
      </c>
      <c r="AI5" s="30" t="s">
        <v>846</v>
      </c>
    </row>
    <row r="6">
      <c r="A6" s="30" t="s">
        <v>859</v>
      </c>
      <c r="B6" s="30" t="s">
        <v>150</v>
      </c>
      <c r="C6" s="31">
        <v>2015.0</v>
      </c>
      <c r="D6" s="30" t="s">
        <v>343</v>
      </c>
      <c r="E6" s="30" t="s">
        <v>860</v>
      </c>
      <c r="F6" s="30" t="s">
        <v>848</v>
      </c>
      <c r="G6" s="30" t="s">
        <v>825</v>
      </c>
      <c r="H6" s="30" t="s">
        <v>826</v>
      </c>
      <c r="I6" s="30" t="s">
        <v>827</v>
      </c>
      <c r="J6" s="30" t="s">
        <v>856</v>
      </c>
      <c r="K6" s="30" t="s">
        <v>829</v>
      </c>
      <c r="L6" s="30" t="s">
        <v>830</v>
      </c>
      <c r="M6" s="30" t="s">
        <v>55</v>
      </c>
      <c r="N6" s="30" t="s">
        <v>831</v>
      </c>
      <c r="O6" s="30" t="s">
        <v>832</v>
      </c>
      <c r="P6" s="30" t="s">
        <v>833</v>
      </c>
      <c r="Q6" s="30" t="s">
        <v>834</v>
      </c>
      <c r="R6" s="30" t="s">
        <v>146</v>
      </c>
      <c r="S6" s="30" t="s">
        <v>850</v>
      </c>
      <c r="T6" s="30" t="s">
        <v>835</v>
      </c>
      <c r="U6" s="30" t="s">
        <v>836</v>
      </c>
      <c r="V6" s="30" t="s">
        <v>837</v>
      </c>
      <c r="W6" s="30" t="s">
        <v>838</v>
      </c>
      <c r="X6" s="30" t="s">
        <v>483</v>
      </c>
      <c r="Y6" s="30" t="s">
        <v>63</v>
      </c>
      <c r="Z6" s="30" t="s">
        <v>64</v>
      </c>
      <c r="AA6" s="30" t="s">
        <v>101</v>
      </c>
      <c r="AB6" s="30" t="s">
        <v>158</v>
      </c>
      <c r="AC6" s="30" t="s">
        <v>840</v>
      </c>
      <c r="AD6" s="30" t="s">
        <v>841</v>
      </c>
      <c r="AE6" s="30" t="s">
        <v>842</v>
      </c>
      <c r="AF6" s="30" t="s">
        <v>861</v>
      </c>
      <c r="AG6" s="30" t="s">
        <v>851</v>
      </c>
      <c r="AH6" s="30" t="s">
        <v>845</v>
      </c>
      <c r="AI6" s="30" t="s">
        <v>846</v>
      </c>
    </row>
    <row r="7">
      <c r="A7" s="30" t="s">
        <v>862</v>
      </c>
      <c r="B7" s="30" t="s">
        <v>235</v>
      </c>
      <c r="C7" s="31">
        <v>2015.0</v>
      </c>
      <c r="D7" s="30" t="s">
        <v>104</v>
      </c>
      <c r="E7" s="30" t="s">
        <v>823</v>
      </c>
      <c r="F7" s="30" t="s">
        <v>824</v>
      </c>
      <c r="G7" s="30" t="s">
        <v>825</v>
      </c>
      <c r="H7" s="30" t="s">
        <v>826</v>
      </c>
      <c r="I7" s="30" t="s">
        <v>827</v>
      </c>
      <c r="J7" s="30" t="s">
        <v>856</v>
      </c>
      <c r="K7" s="30" t="s">
        <v>829</v>
      </c>
      <c r="L7" s="30" t="s">
        <v>830</v>
      </c>
      <c r="M7" s="30" t="s">
        <v>57</v>
      </c>
      <c r="N7" s="30" t="s">
        <v>831</v>
      </c>
      <c r="O7" s="30" t="s">
        <v>832</v>
      </c>
      <c r="P7" s="30" t="s">
        <v>59</v>
      </c>
      <c r="Q7" s="30" t="s">
        <v>834</v>
      </c>
      <c r="R7" s="30" t="s">
        <v>423</v>
      </c>
      <c r="S7" s="30" t="s">
        <v>850</v>
      </c>
      <c r="T7" s="30" t="s">
        <v>835</v>
      </c>
      <c r="U7" s="30" t="s">
        <v>836</v>
      </c>
      <c r="V7" s="30" t="s">
        <v>837</v>
      </c>
      <c r="W7" s="30" t="s">
        <v>838</v>
      </c>
      <c r="X7" s="30" t="s">
        <v>483</v>
      </c>
      <c r="Y7" s="30" t="s">
        <v>63</v>
      </c>
      <c r="Z7" s="30" t="s">
        <v>64</v>
      </c>
      <c r="AA7" s="30" t="s">
        <v>157</v>
      </c>
      <c r="AB7" s="30" t="s">
        <v>158</v>
      </c>
      <c r="AC7" s="30" t="s">
        <v>840</v>
      </c>
      <c r="AD7" s="30" t="s">
        <v>841</v>
      </c>
      <c r="AE7" s="30" t="s">
        <v>842</v>
      </c>
      <c r="AF7" s="30" t="s">
        <v>843</v>
      </c>
      <c r="AG7" s="30" t="s">
        <v>851</v>
      </c>
      <c r="AH7" s="30" t="s">
        <v>845</v>
      </c>
      <c r="AI7" s="30" t="s">
        <v>853</v>
      </c>
    </row>
    <row r="8">
      <c r="A8" s="30" t="s">
        <v>863</v>
      </c>
      <c r="B8" s="30" t="s">
        <v>69</v>
      </c>
      <c r="C8" s="31">
        <v>2015.0</v>
      </c>
      <c r="D8" s="30" t="s">
        <v>46</v>
      </c>
      <c r="E8" s="30" t="s">
        <v>860</v>
      </c>
      <c r="F8" s="30" t="s">
        <v>848</v>
      </c>
      <c r="G8" s="30" t="s">
        <v>825</v>
      </c>
      <c r="H8" s="30" t="s">
        <v>826</v>
      </c>
      <c r="I8" s="30" t="s">
        <v>827</v>
      </c>
      <c r="J8" s="30" t="s">
        <v>856</v>
      </c>
      <c r="K8" s="30" t="s">
        <v>829</v>
      </c>
      <c r="L8" s="30" t="s">
        <v>830</v>
      </c>
      <c r="M8" s="30" t="s">
        <v>231</v>
      </c>
      <c r="N8" s="30" t="s">
        <v>23</v>
      </c>
      <c r="O8" s="30" t="s">
        <v>96</v>
      </c>
      <c r="P8" s="30" t="s">
        <v>59</v>
      </c>
      <c r="Q8" s="30" t="s">
        <v>97</v>
      </c>
      <c r="R8" s="30" t="s">
        <v>146</v>
      </c>
      <c r="S8" s="30" t="s">
        <v>850</v>
      </c>
      <c r="T8" s="30" t="s">
        <v>835</v>
      </c>
      <c r="U8" s="30" t="s">
        <v>836</v>
      </c>
      <c r="V8" s="30" t="s">
        <v>837</v>
      </c>
      <c r="W8" s="30" t="s">
        <v>838</v>
      </c>
      <c r="X8" s="30" t="s">
        <v>839</v>
      </c>
      <c r="Y8" s="30" t="s">
        <v>100</v>
      </c>
      <c r="Z8" s="30" t="s">
        <v>64</v>
      </c>
      <c r="AA8" s="30" t="s">
        <v>101</v>
      </c>
      <c r="AB8" s="30" t="s">
        <v>158</v>
      </c>
      <c r="AC8" s="30" t="s">
        <v>840</v>
      </c>
      <c r="AD8" s="30" t="s">
        <v>841</v>
      </c>
      <c r="AE8" s="30" t="s">
        <v>864</v>
      </c>
      <c r="AF8" s="30" t="s">
        <v>843</v>
      </c>
      <c r="AG8" s="30" t="s">
        <v>851</v>
      </c>
      <c r="AH8" s="30" t="s">
        <v>852</v>
      </c>
      <c r="AI8" s="30" t="s">
        <v>853</v>
      </c>
    </row>
    <row r="9">
      <c r="A9" s="30" t="s">
        <v>865</v>
      </c>
      <c r="B9" s="30" t="s">
        <v>103</v>
      </c>
      <c r="C9" s="31">
        <v>2016.0</v>
      </c>
      <c r="D9" s="30" t="s">
        <v>46</v>
      </c>
      <c r="E9" s="30" t="s">
        <v>860</v>
      </c>
      <c r="F9" s="30" t="s">
        <v>848</v>
      </c>
      <c r="G9" s="30" t="s">
        <v>825</v>
      </c>
      <c r="H9" s="30" t="s">
        <v>826</v>
      </c>
      <c r="I9" s="30" t="s">
        <v>827</v>
      </c>
      <c r="J9" s="30" t="s">
        <v>828</v>
      </c>
      <c r="K9" s="30" t="s">
        <v>829</v>
      </c>
      <c r="L9" s="30" t="s">
        <v>830</v>
      </c>
      <c r="M9" s="30" t="s">
        <v>231</v>
      </c>
      <c r="N9" s="30" t="s">
        <v>23</v>
      </c>
      <c r="O9" s="30" t="s">
        <v>210</v>
      </c>
      <c r="P9" s="30" t="s">
        <v>59</v>
      </c>
      <c r="Q9" s="30" t="s">
        <v>834</v>
      </c>
      <c r="R9" s="30" t="s">
        <v>244</v>
      </c>
      <c r="S9" s="30" t="s">
        <v>850</v>
      </c>
      <c r="T9" s="30" t="s">
        <v>835</v>
      </c>
      <c r="U9" s="30" t="s">
        <v>836</v>
      </c>
      <c r="V9" s="30" t="s">
        <v>837</v>
      </c>
      <c r="W9" s="30" t="s">
        <v>838</v>
      </c>
      <c r="X9" s="30" t="s">
        <v>839</v>
      </c>
      <c r="Y9" s="30" t="s">
        <v>181</v>
      </c>
      <c r="Z9" s="30" t="s">
        <v>64</v>
      </c>
      <c r="AA9" s="30" t="s">
        <v>117</v>
      </c>
      <c r="AB9" s="30" t="s">
        <v>102</v>
      </c>
      <c r="AC9" s="30" t="s">
        <v>840</v>
      </c>
      <c r="AD9" s="30" t="s">
        <v>841</v>
      </c>
      <c r="AE9" s="30" t="s">
        <v>842</v>
      </c>
      <c r="AF9" s="30" t="s">
        <v>843</v>
      </c>
      <c r="AG9" s="30" t="s">
        <v>851</v>
      </c>
      <c r="AH9" s="30" t="s">
        <v>852</v>
      </c>
      <c r="AI9" s="30" t="s">
        <v>853</v>
      </c>
    </row>
    <row r="10">
      <c r="A10" s="30" t="s">
        <v>866</v>
      </c>
      <c r="B10" s="30" t="s">
        <v>103</v>
      </c>
      <c r="C10" s="31">
        <v>2016.0</v>
      </c>
      <c r="D10" s="30" t="s">
        <v>46</v>
      </c>
      <c r="E10" s="30" t="s">
        <v>823</v>
      </c>
      <c r="F10" s="30" t="s">
        <v>848</v>
      </c>
      <c r="G10" s="30" t="s">
        <v>825</v>
      </c>
      <c r="H10" s="30" t="s">
        <v>826</v>
      </c>
      <c r="I10" s="30" t="s">
        <v>855</v>
      </c>
      <c r="J10" s="30" t="s">
        <v>856</v>
      </c>
      <c r="K10" s="30" t="s">
        <v>829</v>
      </c>
      <c r="L10" s="30" t="s">
        <v>830</v>
      </c>
      <c r="M10" s="30" t="s">
        <v>79</v>
      </c>
      <c r="N10" s="30" t="s">
        <v>23</v>
      </c>
      <c r="O10" s="30" t="s">
        <v>96</v>
      </c>
      <c r="P10" s="30" t="s">
        <v>59</v>
      </c>
      <c r="Q10" s="30" t="s">
        <v>265</v>
      </c>
      <c r="R10" s="30" t="s">
        <v>493</v>
      </c>
      <c r="S10" s="30" t="s">
        <v>850</v>
      </c>
      <c r="T10" s="30" t="s">
        <v>835</v>
      </c>
      <c r="U10" s="30" t="s">
        <v>836</v>
      </c>
      <c r="V10" s="30" t="s">
        <v>837</v>
      </c>
      <c r="W10" s="30" t="s">
        <v>857</v>
      </c>
      <c r="X10" s="30" t="s">
        <v>483</v>
      </c>
      <c r="Y10" s="30" t="s">
        <v>100</v>
      </c>
      <c r="Z10" s="30" t="s">
        <v>64</v>
      </c>
      <c r="AA10" s="30" t="s">
        <v>65</v>
      </c>
      <c r="AB10" s="30" t="s">
        <v>118</v>
      </c>
      <c r="AC10" s="30" t="s">
        <v>840</v>
      </c>
      <c r="AD10" s="30" t="s">
        <v>841</v>
      </c>
      <c r="AE10" s="30" t="s">
        <v>842</v>
      </c>
      <c r="AF10" s="30" t="s">
        <v>861</v>
      </c>
      <c r="AG10" s="30" t="s">
        <v>844</v>
      </c>
      <c r="AH10" s="30" t="s">
        <v>852</v>
      </c>
      <c r="AI10" s="30" t="s">
        <v>846</v>
      </c>
    </row>
    <row r="11">
      <c r="A11" s="30" t="s">
        <v>867</v>
      </c>
      <c r="B11" s="30" t="s">
        <v>103</v>
      </c>
      <c r="C11" s="31">
        <v>2016.0</v>
      </c>
      <c r="D11" s="30" t="s">
        <v>46</v>
      </c>
      <c r="E11" s="30" t="s">
        <v>823</v>
      </c>
      <c r="F11" s="30" t="s">
        <v>848</v>
      </c>
      <c r="G11" s="30" t="s">
        <v>825</v>
      </c>
      <c r="H11" s="30" t="s">
        <v>826</v>
      </c>
      <c r="I11" s="30" t="s">
        <v>855</v>
      </c>
      <c r="J11" s="30" t="s">
        <v>828</v>
      </c>
      <c r="K11" s="30" t="s">
        <v>19</v>
      </c>
      <c r="L11" s="30" t="s">
        <v>849</v>
      </c>
      <c r="M11" s="30" t="s">
        <v>79</v>
      </c>
      <c r="N11" s="30" t="s">
        <v>831</v>
      </c>
      <c r="O11" s="30" t="s">
        <v>832</v>
      </c>
      <c r="P11" s="30" t="s">
        <v>59</v>
      </c>
      <c r="Q11" s="30" t="s">
        <v>292</v>
      </c>
      <c r="R11" s="30" t="s">
        <v>493</v>
      </c>
      <c r="S11" s="30" t="s">
        <v>850</v>
      </c>
      <c r="T11" s="30" t="s">
        <v>835</v>
      </c>
      <c r="U11" s="30" t="s">
        <v>836</v>
      </c>
      <c r="V11" s="30" t="s">
        <v>837</v>
      </c>
      <c r="W11" s="30" t="s">
        <v>857</v>
      </c>
      <c r="X11" s="30" t="s">
        <v>483</v>
      </c>
      <c r="Y11" s="30" t="s">
        <v>100</v>
      </c>
      <c r="Z11" s="30" t="s">
        <v>64</v>
      </c>
      <c r="AA11" s="30" t="s">
        <v>65</v>
      </c>
      <c r="AB11" s="30" t="s">
        <v>66</v>
      </c>
      <c r="AC11" s="30" t="s">
        <v>840</v>
      </c>
      <c r="AD11" s="30" t="s">
        <v>841</v>
      </c>
      <c r="AE11" s="30" t="s">
        <v>842</v>
      </c>
      <c r="AF11" s="30" t="s">
        <v>861</v>
      </c>
      <c r="AG11" s="30" t="s">
        <v>851</v>
      </c>
      <c r="AH11" s="30" t="s">
        <v>845</v>
      </c>
      <c r="AI11" s="30" t="s">
        <v>846</v>
      </c>
    </row>
    <row r="12">
      <c r="A12" s="30" t="s">
        <v>868</v>
      </c>
      <c r="B12" s="30" t="s">
        <v>129</v>
      </c>
      <c r="C12" s="31">
        <v>2016.0</v>
      </c>
      <c r="D12" s="30" t="s">
        <v>46</v>
      </c>
      <c r="E12" s="30" t="s">
        <v>823</v>
      </c>
      <c r="F12" s="30" t="s">
        <v>848</v>
      </c>
      <c r="G12" s="30" t="s">
        <v>825</v>
      </c>
      <c r="H12" s="30" t="s">
        <v>869</v>
      </c>
      <c r="I12" s="30" t="s">
        <v>827</v>
      </c>
      <c r="J12" s="30" t="s">
        <v>856</v>
      </c>
      <c r="K12" s="30" t="s">
        <v>829</v>
      </c>
      <c r="L12" s="30" t="s">
        <v>830</v>
      </c>
      <c r="M12" s="30" t="s">
        <v>243</v>
      </c>
      <c r="N12" s="30" t="s">
        <v>23</v>
      </c>
      <c r="O12" s="30" t="s">
        <v>96</v>
      </c>
      <c r="P12" s="30" t="s">
        <v>59</v>
      </c>
      <c r="Q12" s="30" t="s">
        <v>97</v>
      </c>
      <c r="R12" s="30" t="s">
        <v>146</v>
      </c>
      <c r="S12" s="30" t="s">
        <v>850</v>
      </c>
      <c r="T12" s="30" t="s">
        <v>835</v>
      </c>
      <c r="U12" s="30" t="s">
        <v>836</v>
      </c>
      <c r="V12" s="30" t="s">
        <v>837</v>
      </c>
      <c r="W12" s="30" t="s">
        <v>838</v>
      </c>
      <c r="X12" s="30" t="s">
        <v>483</v>
      </c>
      <c r="Y12" s="30" t="s">
        <v>63</v>
      </c>
      <c r="Z12" s="30" t="s">
        <v>64</v>
      </c>
      <c r="AA12" s="30" t="s">
        <v>128</v>
      </c>
      <c r="AB12" s="30" t="s">
        <v>148</v>
      </c>
      <c r="AC12" s="30" t="s">
        <v>840</v>
      </c>
      <c r="AD12" s="30" t="s">
        <v>841</v>
      </c>
      <c r="AE12" s="30" t="s">
        <v>864</v>
      </c>
      <c r="AF12" s="30" t="s">
        <v>843</v>
      </c>
      <c r="AG12" s="30" t="s">
        <v>844</v>
      </c>
      <c r="AH12" s="30" t="s">
        <v>852</v>
      </c>
      <c r="AI12" s="30" t="s">
        <v>853</v>
      </c>
    </row>
    <row r="13">
      <c r="A13" s="30" t="s">
        <v>870</v>
      </c>
      <c r="B13" s="30" t="s">
        <v>45</v>
      </c>
      <c r="C13" s="31">
        <v>2016.0</v>
      </c>
      <c r="D13" s="30" t="s">
        <v>46</v>
      </c>
      <c r="E13" s="30" t="s">
        <v>823</v>
      </c>
      <c r="F13" s="30" t="s">
        <v>848</v>
      </c>
      <c r="G13" s="30" t="s">
        <v>825</v>
      </c>
      <c r="H13" s="30" t="s">
        <v>826</v>
      </c>
      <c r="I13" s="30" t="s">
        <v>827</v>
      </c>
      <c r="J13" s="30" t="s">
        <v>856</v>
      </c>
      <c r="K13" s="30" t="s">
        <v>829</v>
      </c>
      <c r="L13" s="30" t="s">
        <v>849</v>
      </c>
      <c r="M13" s="30" t="s">
        <v>57</v>
      </c>
      <c r="N13" s="30" t="s">
        <v>23</v>
      </c>
      <c r="O13" s="30" t="s">
        <v>58</v>
      </c>
      <c r="P13" s="30" t="s">
        <v>59</v>
      </c>
      <c r="Q13" s="30" t="s">
        <v>60</v>
      </c>
      <c r="R13" s="30" t="s">
        <v>61</v>
      </c>
      <c r="S13" s="30" t="s">
        <v>850</v>
      </c>
      <c r="T13" s="30" t="s">
        <v>835</v>
      </c>
      <c r="U13" s="30" t="s">
        <v>836</v>
      </c>
      <c r="V13" s="30" t="s">
        <v>837</v>
      </c>
      <c r="W13" s="30" t="s">
        <v>838</v>
      </c>
      <c r="X13" s="30" t="s">
        <v>839</v>
      </c>
      <c r="Y13" s="30" t="s">
        <v>63</v>
      </c>
      <c r="Z13" s="30" t="s">
        <v>64</v>
      </c>
      <c r="AA13" s="30" t="s">
        <v>65</v>
      </c>
      <c r="AB13" s="30" t="s">
        <v>66</v>
      </c>
      <c r="AC13" s="30" t="s">
        <v>840</v>
      </c>
      <c r="AD13" s="30" t="s">
        <v>841</v>
      </c>
      <c r="AE13" s="30" t="s">
        <v>842</v>
      </c>
      <c r="AF13" s="30" t="s">
        <v>843</v>
      </c>
      <c r="AG13" s="30" t="s">
        <v>851</v>
      </c>
      <c r="AH13" s="30" t="s">
        <v>852</v>
      </c>
      <c r="AI13" s="30" t="s">
        <v>846</v>
      </c>
    </row>
    <row r="14">
      <c r="A14" s="30" t="s">
        <v>871</v>
      </c>
      <c r="B14" s="30" t="s">
        <v>150</v>
      </c>
      <c r="C14" s="31">
        <v>2016.0</v>
      </c>
      <c r="D14" s="30" t="s">
        <v>46</v>
      </c>
      <c r="E14" s="30" t="s">
        <v>823</v>
      </c>
      <c r="F14" s="30" t="s">
        <v>848</v>
      </c>
      <c r="G14" s="30" t="s">
        <v>825</v>
      </c>
      <c r="H14" s="30" t="s">
        <v>826</v>
      </c>
      <c r="I14" s="30" t="s">
        <v>827</v>
      </c>
      <c r="J14" s="30" t="s">
        <v>828</v>
      </c>
      <c r="K14" s="30" t="s">
        <v>19</v>
      </c>
      <c r="L14" s="30" t="s">
        <v>849</v>
      </c>
      <c r="M14" s="30" t="s">
        <v>79</v>
      </c>
      <c r="N14" s="30" t="s">
        <v>23</v>
      </c>
      <c r="O14" s="30" t="s">
        <v>210</v>
      </c>
      <c r="P14" s="30" t="s">
        <v>59</v>
      </c>
      <c r="Q14" s="30" t="s">
        <v>60</v>
      </c>
      <c r="R14" s="30" t="s">
        <v>211</v>
      </c>
      <c r="S14" s="30" t="s">
        <v>850</v>
      </c>
      <c r="T14" s="30" t="s">
        <v>835</v>
      </c>
      <c r="U14" s="30" t="s">
        <v>836</v>
      </c>
      <c r="V14" s="30" t="s">
        <v>837</v>
      </c>
      <c r="W14" s="30" t="s">
        <v>838</v>
      </c>
      <c r="X14" s="30" t="s">
        <v>839</v>
      </c>
      <c r="Y14" s="30" t="s">
        <v>63</v>
      </c>
      <c r="Z14" s="30" t="s">
        <v>212</v>
      </c>
      <c r="AA14" s="30" t="s">
        <v>213</v>
      </c>
      <c r="AB14" s="30" t="s">
        <v>158</v>
      </c>
      <c r="AC14" s="30" t="s">
        <v>840</v>
      </c>
      <c r="AD14" s="30" t="s">
        <v>841</v>
      </c>
      <c r="AE14" s="30" t="s">
        <v>842</v>
      </c>
      <c r="AF14" s="30" t="s">
        <v>861</v>
      </c>
      <c r="AG14" s="30" t="s">
        <v>844</v>
      </c>
      <c r="AH14" s="30" t="s">
        <v>852</v>
      </c>
      <c r="AI14" s="30" t="s">
        <v>846</v>
      </c>
    </row>
    <row r="15">
      <c r="A15" s="30" t="s">
        <v>872</v>
      </c>
      <c r="B15" s="30" t="s">
        <v>171</v>
      </c>
      <c r="C15" s="31">
        <v>2016.0</v>
      </c>
      <c r="D15" s="30" t="s">
        <v>46</v>
      </c>
      <c r="E15" s="30" t="s">
        <v>823</v>
      </c>
      <c r="F15" s="30" t="s">
        <v>848</v>
      </c>
      <c r="G15" s="30" t="s">
        <v>825</v>
      </c>
      <c r="H15" s="30" t="s">
        <v>826</v>
      </c>
      <c r="I15" s="30" t="s">
        <v>855</v>
      </c>
      <c r="J15" s="30" t="s">
        <v>856</v>
      </c>
      <c r="K15" s="30" t="s">
        <v>829</v>
      </c>
      <c r="L15" s="30" t="s">
        <v>830</v>
      </c>
      <c r="M15" s="30" t="s">
        <v>79</v>
      </c>
      <c r="N15" s="30" t="s">
        <v>831</v>
      </c>
      <c r="O15" s="30" t="s">
        <v>832</v>
      </c>
      <c r="P15" s="30" t="s">
        <v>59</v>
      </c>
      <c r="Q15" s="30" t="s">
        <v>834</v>
      </c>
      <c r="R15" s="30" t="s">
        <v>180</v>
      </c>
      <c r="S15" s="30" t="s">
        <v>850</v>
      </c>
      <c r="T15" s="30" t="s">
        <v>835</v>
      </c>
      <c r="U15" s="30" t="s">
        <v>873</v>
      </c>
      <c r="V15" s="30" t="s">
        <v>837</v>
      </c>
      <c r="W15" s="30" t="s">
        <v>857</v>
      </c>
      <c r="X15" s="30" t="s">
        <v>839</v>
      </c>
      <c r="Y15" s="30" t="s">
        <v>100</v>
      </c>
      <c r="Z15" s="30" t="s">
        <v>64</v>
      </c>
      <c r="AA15" s="30" t="s">
        <v>101</v>
      </c>
      <c r="AB15" s="30" t="s">
        <v>158</v>
      </c>
      <c r="AC15" s="30" t="s">
        <v>840</v>
      </c>
      <c r="AD15" s="30" t="s">
        <v>841</v>
      </c>
      <c r="AE15" s="30" t="s">
        <v>842</v>
      </c>
      <c r="AF15" s="30" t="s">
        <v>843</v>
      </c>
      <c r="AG15" s="30" t="s">
        <v>851</v>
      </c>
      <c r="AH15" s="30" t="s">
        <v>852</v>
      </c>
      <c r="AI15" s="30" t="s">
        <v>846</v>
      </c>
    </row>
    <row r="16">
      <c r="A16" s="30" t="s">
        <v>874</v>
      </c>
      <c r="B16" s="30" t="s">
        <v>129</v>
      </c>
      <c r="C16" s="31">
        <v>2017.0</v>
      </c>
      <c r="D16" s="30" t="s">
        <v>104</v>
      </c>
      <c r="E16" s="30" t="s">
        <v>823</v>
      </c>
      <c r="F16" s="30" t="s">
        <v>848</v>
      </c>
      <c r="G16" s="30" t="s">
        <v>825</v>
      </c>
      <c r="H16" s="30" t="s">
        <v>826</v>
      </c>
      <c r="I16" s="30" t="s">
        <v>855</v>
      </c>
      <c r="J16" s="30" t="s">
        <v>856</v>
      </c>
      <c r="K16" s="30" t="s">
        <v>829</v>
      </c>
      <c r="L16" s="30" t="s">
        <v>830</v>
      </c>
      <c r="M16" s="30" t="s">
        <v>79</v>
      </c>
      <c r="N16" s="30" t="s">
        <v>831</v>
      </c>
      <c r="O16" s="30" t="s">
        <v>832</v>
      </c>
      <c r="P16" s="30" t="s">
        <v>59</v>
      </c>
      <c r="Q16" s="30" t="s">
        <v>834</v>
      </c>
      <c r="R16" s="30" t="s">
        <v>135</v>
      </c>
      <c r="S16" s="30" t="s">
        <v>136</v>
      </c>
      <c r="T16" s="30" t="s">
        <v>835</v>
      </c>
      <c r="U16" s="30" t="s">
        <v>836</v>
      </c>
      <c r="V16" s="30" t="s">
        <v>837</v>
      </c>
      <c r="W16" s="30" t="s">
        <v>857</v>
      </c>
      <c r="X16" s="30" t="s">
        <v>839</v>
      </c>
      <c r="Y16" s="30" t="s">
        <v>100</v>
      </c>
      <c r="Z16" s="30" t="s">
        <v>64</v>
      </c>
      <c r="AA16" s="30" t="s">
        <v>65</v>
      </c>
      <c r="AB16" s="30" t="s">
        <v>66</v>
      </c>
      <c r="AC16" s="30" t="s">
        <v>840</v>
      </c>
      <c r="AD16" s="30" t="s">
        <v>875</v>
      </c>
      <c r="AE16" s="30" t="s">
        <v>842</v>
      </c>
      <c r="AF16" s="30" t="s">
        <v>843</v>
      </c>
      <c r="AG16" s="30" t="s">
        <v>851</v>
      </c>
      <c r="AH16" s="30" t="s">
        <v>845</v>
      </c>
      <c r="AI16" s="30" t="s">
        <v>846</v>
      </c>
    </row>
    <row r="17">
      <c r="A17" s="30" t="s">
        <v>876</v>
      </c>
      <c r="B17" s="30" t="s">
        <v>150</v>
      </c>
      <c r="C17" s="31">
        <v>2017.0</v>
      </c>
      <c r="D17" s="30" t="s">
        <v>85</v>
      </c>
      <c r="E17" s="30" t="s">
        <v>860</v>
      </c>
      <c r="F17" s="30" t="s">
        <v>848</v>
      </c>
      <c r="G17" s="30" t="s">
        <v>825</v>
      </c>
      <c r="H17" s="30" t="s">
        <v>826</v>
      </c>
      <c r="I17" s="30" t="s">
        <v>827</v>
      </c>
      <c r="J17" s="30" t="s">
        <v>856</v>
      </c>
      <c r="K17" s="30" t="s">
        <v>829</v>
      </c>
      <c r="L17" s="30" t="s">
        <v>830</v>
      </c>
      <c r="M17" s="30" t="s">
        <v>79</v>
      </c>
      <c r="N17" s="30" t="s">
        <v>831</v>
      </c>
      <c r="O17" s="30" t="s">
        <v>832</v>
      </c>
      <c r="P17" s="30" t="s">
        <v>59</v>
      </c>
      <c r="Q17" s="30" t="s">
        <v>834</v>
      </c>
      <c r="R17" s="30" t="s">
        <v>188</v>
      </c>
      <c r="S17" s="30" t="s">
        <v>850</v>
      </c>
      <c r="T17" s="30" t="s">
        <v>99</v>
      </c>
      <c r="U17" s="30" t="s">
        <v>836</v>
      </c>
      <c r="V17" s="30" t="s">
        <v>30</v>
      </c>
      <c r="W17" s="30" t="s">
        <v>857</v>
      </c>
      <c r="X17" s="30" t="s">
        <v>839</v>
      </c>
      <c r="Y17" s="30" t="s">
        <v>100</v>
      </c>
      <c r="Z17" s="30" t="s">
        <v>64</v>
      </c>
      <c r="AA17" s="30" t="s">
        <v>101</v>
      </c>
      <c r="AB17" s="30" t="s">
        <v>66</v>
      </c>
      <c r="AC17" s="30" t="s">
        <v>840</v>
      </c>
      <c r="AD17" s="30" t="s">
        <v>841</v>
      </c>
      <c r="AE17" s="30" t="s">
        <v>842</v>
      </c>
      <c r="AF17" s="30" t="s">
        <v>861</v>
      </c>
      <c r="AG17" s="30" t="s">
        <v>844</v>
      </c>
      <c r="AH17" s="30" t="s">
        <v>845</v>
      </c>
      <c r="AI17" s="30" t="s">
        <v>846</v>
      </c>
    </row>
    <row r="18">
      <c r="A18" s="30" t="s">
        <v>877</v>
      </c>
      <c r="B18" s="30" t="s">
        <v>103</v>
      </c>
      <c r="C18" s="31">
        <v>2017.0</v>
      </c>
      <c r="D18" s="30" t="s">
        <v>85</v>
      </c>
      <c r="E18" s="30" t="s">
        <v>860</v>
      </c>
      <c r="F18" s="30" t="s">
        <v>848</v>
      </c>
      <c r="G18" s="30" t="s">
        <v>825</v>
      </c>
      <c r="H18" s="30" t="s">
        <v>869</v>
      </c>
      <c r="I18" s="30" t="s">
        <v>827</v>
      </c>
      <c r="J18" s="30" t="s">
        <v>856</v>
      </c>
      <c r="K18" s="30" t="s">
        <v>829</v>
      </c>
      <c r="L18" s="30" t="s">
        <v>830</v>
      </c>
      <c r="M18" s="30" t="s">
        <v>79</v>
      </c>
      <c r="N18" s="30" t="s">
        <v>831</v>
      </c>
      <c r="O18" s="30" t="s">
        <v>832</v>
      </c>
      <c r="P18" s="30" t="s">
        <v>59</v>
      </c>
      <c r="Q18" s="30" t="s">
        <v>145</v>
      </c>
      <c r="R18" s="30" t="s">
        <v>98</v>
      </c>
      <c r="S18" s="30" t="s">
        <v>850</v>
      </c>
      <c r="T18" s="30" t="s">
        <v>99</v>
      </c>
      <c r="U18" s="30" t="s">
        <v>836</v>
      </c>
      <c r="V18" s="30" t="s">
        <v>837</v>
      </c>
      <c r="W18" s="30" t="s">
        <v>857</v>
      </c>
      <c r="X18" s="30" t="s">
        <v>483</v>
      </c>
      <c r="Y18" s="30" t="s">
        <v>100</v>
      </c>
      <c r="Z18" s="30" t="s">
        <v>64</v>
      </c>
      <c r="AA18" s="30" t="s">
        <v>128</v>
      </c>
      <c r="AB18" s="30" t="s">
        <v>66</v>
      </c>
      <c r="AC18" s="30" t="s">
        <v>840</v>
      </c>
      <c r="AD18" s="30" t="s">
        <v>841</v>
      </c>
      <c r="AE18" s="30" t="s">
        <v>842</v>
      </c>
      <c r="AF18" s="30" t="s">
        <v>843</v>
      </c>
      <c r="AG18" s="30" t="s">
        <v>851</v>
      </c>
      <c r="AH18" s="30" t="s">
        <v>845</v>
      </c>
      <c r="AI18" s="30" t="s">
        <v>853</v>
      </c>
    </row>
    <row r="19">
      <c r="A19" s="30" t="s">
        <v>878</v>
      </c>
      <c r="B19" s="30" t="s">
        <v>129</v>
      </c>
      <c r="C19" s="31">
        <v>2017.0</v>
      </c>
      <c r="D19" s="30" t="s">
        <v>85</v>
      </c>
      <c r="E19" s="30" t="s">
        <v>823</v>
      </c>
      <c r="F19" s="30" t="s">
        <v>848</v>
      </c>
      <c r="G19" s="30" t="s">
        <v>825</v>
      </c>
      <c r="H19" s="30" t="s">
        <v>826</v>
      </c>
      <c r="I19" s="30" t="s">
        <v>855</v>
      </c>
      <c r="J19" s="30" t="s">
        <v>856</v>
      </c>
      <c r="K19" s="30" t="s">
        <v>829</v>
      </c>
      <c r="L19" s="30" t="s">
        <v>830</v>
      </c>
      <c r="M19" s="30" t="s">
        <v>231</v>
      </c>
      <c r="N19" s="30" t="s">
        <v>831</v>
      </c>
      <c r="O19" s="30" t="s">
        <v>832</v>
      </c>
      <c r="P19" s="30" t="s">
        <v>59</v>
      </c>
      <c r="Q19" s="30" t="s">
        <v>145</v>
      </c>
      <c r="R19" s="30" t="s">
        <v>135</v>
      </c>
      <c r="S19" s="30" t="s">
        <v>233</v>
      </c>
      <c r="T19" s="30" t="s">
        <v>835</v>
      </c>
      <c r="U19" s="30" t="s">
        <v>836</v>
      </c>
      <c r="V19" s="30" t="s">
        <v>837</v>
      </c>
      <c r="W19" s="30" t="s">
        <v>838</v>
      </c>
      <c r="X19" s="30" t="s">
        <v>839</v>
      </c>
      <c r="Y19" s="30" t="s">
        <v>181</v>
      </c>
      <c r="Z19" s="30" t="s">
        <v>64</v>
      </c>
      <c r="AA19" s="30" t="s">
        <v>101</v>
      </c>
      <c r="AB19" s="30" t="s">
        <v>66</v>
      </c>
      <c r="AC19" s="30" t="s">
        <v>840</v>
      </c>
      <c r="AD19" s="30" t="s">
        <v>841</v>
      </c>
      <c r="AE19" s="30" t="s">
        <v>864</v>
      </c>
      <c r="AF19" s="30" t="s">
        <v>843</v>
      </c>
      <c r="AG19" s="30" t="s">
        <v>851</v>
      </c>
      <c r="AH19" s="30" t="s">
        <v>845</v>
      </c>
      <c r="AI19" s="30" t="s">
        <v>846</v>
      </c>
    </row>
    <row r="20">
      <c r="A20" s="30" t="s">
        <v>879</v>
      </c>
      <c r="B20" s="30" t="s">
        <v>129</v>
      </c>
      <c r="C20" s="31">
        <v>2017.0</v>
      </c>
      <c r="D20" s="30" t="s">
        <v>85</v>
      </c>
      <c r="E20" s="30" t="s">
        <v>823</v>
      </c>
      <c r="F20" s="30" t="s">
        <v>824</v>
      </c>
      <c r="G20" s="30" t="s">
        <v>825</v>
      </c>
      <c r="H20" s="30" t="s">
        <v>826</v>
      </c>
      <c r="I20" s="30" t="s">
        <v>855</v>
      </c>
      <c r="J20" s="30" t="s">
        <v>856</v>
      </c>
      <c r="K20" s="30" t="s">
        <v>829</v>
      </c>
      <c r="L20" s="30" t="s">
        <v>830</v>
      </c>
      <c r="M20" s="30" t="s">
        <v>79</v>
      </c>
      <c r="N20" s="30" t="s">
        <v>23</v>
      </c>
      <c r="O20" s="30" t="s">
        <v>96</v>
      </c>
      <c r="P20" s="30" t="s">
        <v>59</v>
      </c>
      <c r="Q20" s="30" t="s">
        <v>145</v>
      </c>
      <c r="R20" s="30" t="s">
        <v>146</v>
      </c>
      <c r="S20" s="30" t="s">
        <v>850</v>
      </c>
      <c r="T20" s="30" t="s">
        <v>835</v>
      </c>
      <c r="U20" s="30" t="s">
        <v>836</v>
      </c>
      <c r="V20" s="30" t="s">
        <v>837</v>
      </c>
      <c r="W20" s="30" t="s">
        <v>838</v>
      </c>
      <c r="X20" s="30" t="s">
        <v>839</v>
      </c>
      <c r="Y20" s="30" t="s">
        <v>63</v>
      </c>
      <c r="Z20" s="30" t="s">
        <v>147</v>
      </c>
      <c r="AA20" s="30" t="s">
        <v>101</v>
      </c>
      <c r="AB20" s="30" t="s">
        <v>148</v>
      </c>
      <c r="AC20" s="30" t="s">
        <v>840</v>
      </c>
      <c r="AD20" s="30" t="s">
        <v>875</v>
      </c>
      <c r="AE20" s="30" t="s">
        <v>842</v>
      </c>
      <c r="AF20" s="30" t="s">
        <v>861</v>
      </c>
      <c r="AG20" s="30" t="s">
        <v>851</v>
      </c>
      <c r="AH20" s="30" t="s">
        <v>852</v>
      </c>
      <c r="AI20" s="30" t="s">
        <v>846</v>
      </c>
    </row>
    <row r="21">
      <c r="A21" s="30" t="s">
        <v>880</v>
      </c>
      <c r="B21" s="30" t="s">
        <v>235</v>
      </c>
      <c r="C21" s="31">
        <v>2017.0</v>
      </c>
      <c r="D21" s="30" t="s">
        <v>85</v>
      </c>
      <c r="E21" s="30" t="s">
        <v>823</v>
      </c>
      <c r="F21" s="30" t="s">
        <v>848</v>
      </c>
      <c r="G21" s="30" t="s">
        <v>825</v>
      </c>
      <c r="H21" s="30" t="s">
        <v>826</v>
      </c>
      <c r="I21" s="30" t="s">
        <v>855</v>
      </c>
      <c r="J21" s="30" t="s">
        <v>828</v>
      </c>
      <c r="K21" s="30" t="s">
        <v>19</v>
      </c>
      <c r="L21" s="30" t="s">
        <v>830</v>
      </c>
      <c r="M21" s="30" t="s">
        <v>243</v>
      </c>
      <c r="N21" s="30" t="s">
        <v>23</v>
      </c>
      <c r="O21" s="30" t="s">
        <v>96</v>
      </c>
      <c r="P21" s="30" t="s">
        <v>833</v>
      </c>
      <c r="Q21" s="30" t="s">
        <v>834</v>
      </c>
      <c r="R21" s="30" t="s">
        <v>244</v>
      </c>
      <c r="S21" s="30" t="s">
        <v>850</v>
      </c>
      <c r="T21" s="30" t="s">
        <v>835</v>
      </c>
      <c r="U21" s="30" t="s">
        <v>836</v>
      </c>
      <c r="V21" s="30" t="s">
        <v>837</v>
      </c>
      <c r="W21" s="30" t="s">
        <v>838</v>
      </c>
      <c r="X21" s="30" t="s">
        <v>839</v>
      </c>
      <c r="Y21" s="30" t="s">
        <v>63</v>
      </c>
      <c r="Z21" s="30" t="s">
        <v>64</v>
      </c>
      <c r="AA21" s="30" t="s">
        <v>157</v>
      </c>
      <c r="AB21" s="30" t="s">
        <v>66</v>
      </c>
      <c r="AC21" s="30" t="s">
        <v>840</v>
      </c>
      <c r="AD21" s="30" t="s">
        <v>841</v>
      </c>
      <c r="AE21" s="30" t="s">
        <v>842</v>
      </c>
      <c r="AF21" s="30" t="s">
        <v>861</v>
      </c>
      <c r="AG21" s="30" t="s">
        <v>844</v>
      </c>
      <c r="AH21" s="30" t="s">
        <v>852</v>
      </c>
      <c r="AI21" s="30" t="s">
        <v>853</v>
      </c>
    </row>
    <row r="22">
      <c r="A22" s="30" t="s">
        <v>881</v>
      </c>
      <c r="B22" s="30" t="s">
        <v>235</v>
      </c>
      <c r="C22" s="31">
        <v>2017.0</v>
      </c>
      <c r="D22" s="30" t="s">
        <v>85</v>
      </c>
      <c r="E22" s="30" t="s">
        <v>860</v>
      </c>
      <c r="F22" s="30" t="s">
        <v>848</v>
      </c>
      <c r="G22" s="30" t="s">
        <v>825</v>
      </c>
      <c r="H22" s="30" t="s">
        <v>826</v>
      </c>
      <c r="I22" s="30" t="s">
        <v>827</v>
      </c>
      <c r="J22" s="30" t="s">
        <v>856</v>
      </c>
      <c r="K22" s="30" t="s">
        <v>829</v>
      </c>
      <c r="L22" s="30" t="s">
        <v>830</v>
      </c>
      <c r="M22" s="30" t="s">
        <v>57</v>
      </c>
      <c r="N22" s="30" t="s">
        <v>831</v>
      </c>
      <c r="O22" s="30" t="s">
        <v>832</v>
      </c>
      <c r="P22" s="30" t="s">
        <v>59</v>
      </c>
      <c r="Q22" s="30" t="s">
        <v>300</v>
      </c>
      <c r="R22" s="30" t="s">
        <v>301</v>
      </c>
      <c r="S22" s="30" t="s">
        <v>303</v>
      </c>
      <c r="T22" s="30" t="s">
        <v>835</v>
      </c>
      <c r="U22" s="30" t="s">
        <v>836</v>
      </c>
      <c r="V22" s="30" t="s">
        <v>837</v>
      </c>
      <c r="W22" s="30" t="s">
        <v>838</v>
      </c>
      <c r="X22" s="30" t="s">
        <v>839</v>
      </c>
      <c r="Y22" s="30" t="s">
        <v>304</v>
      </c>
      <c r="Z22" s="30" t="s">
        <v>64</v>
      </c>
      <c r="AA22" s="30" t="s">
        <v>101</v>
      </c>
      <c r="AB22" s="30" t="s">
        <v>83</v>
      </c>
      <c r="AC22" s="30" t="s">
        <v>840</v>
      </c>
      <c r="AD22" s="30" t="s">
        <v>841</v>
      </c>
      <c r="AE22" s="30" t="s">
        <v>864</v>
      </c>
      <c r="AF22" s="30" t="s">
        <v>843</v>
      </c>
      <c r="AG22" s="30" t="s">
        <v>851</v>
      </c>
      <c r="AH22" s="30" t="s">
        <v>845</v>
      </c>
      <c r="AI22" s="30" t="s">
        <v>846</v>
      </c>
    </row>
    <row r="23">
      <c r="A23" s="30" t="s">
        <v>882</v>
      </c>
      <c r="B23" s="30" t="s">
        <v>45</v>
      </c>
      <c r="C23" s="31">
        <v>2017.0</v>
      </c>
      <c r="D23" s="30" t="s">
        <v>46</v>
      </c>
      <c r="E23" s="30" t="s">
        <v>823</v>
      </c>
      <c r="F23" s="30" t="s">
        <v>848</v>
      </c>
      <c r="G23" s="30" t="s">
        <v>825</v>
      </c>
      <c r="H23" s="30" t="s">
        <v>826</v>
      </c>
      <c r="I23" s="30" t="s">
        <v>855</v>
      </c>
      <c r="J23" s="30" t="s">
        <v>856</v>
      </c>
      <c r="K23" s="30" t="s">
        <v>829</v>
      </c>
      <c r="L23" s="30" t="s">
        <v>830</v>
      </c>
      <c r="M23" s="30" t="s">
        <v>79</v>
      </c>
      <c r="N23" s="30" t="s">
        <v>831</v>
      </c>
      <c r="O23" s="30" t="s">
        <v>832</v>
      </c>
      <c r="P23" s="30" t="s">
        <v>833</v>
      </c>
      <c r="Q23" s="30" t="s">
        <v>834</v>
      </c>
      <c r="R23" s="30" t="s">
        <v>180</v>
      </c>
      <c r="S23" s="30" t="s">
        <v>374</v>
      </c>
      <c r="T23" s="30" t="s">
        <v>835</v>
      </c>
      <c r="U23" s="30" t="s">
        <v>836</v>
      </c>
      <c r="V23" s="30" t="s">
        <v>837</v>
      </c>
      <c r="W23" s="30" t="s">
        <v>857</v>
      </c>
      <c r="X23" s="30" t="s">
        <v>839</v>
      </c>
      <c r="Y23" s="30" t="s">
        <v>100</v>
      </c>
      <c r="Z23" s="30" t="s">
        <v>64</v>
      </c>
      <c r="AA23" s="30" t="s">
        <v>101</v>
      </c>
      <c r="AB23" s="30" t="s">
        <v>83</v>
      </c>
      <c r="AC23" s="30" t="s">
        <v>840</v>
      </c>
      <c r="AD23" s="30" t="s">
        <v>875</v>
      </c>
      <c r="AE23" s="30" t="s">
        <v>842</v>
      </c>
      <c r="AF23" s="30" t="s">
        <v>843</v>
      </c>
      <c r="AG23" s="30" t="s">
        <v>851</v>
      </c>
      <c r="AH23" s="30" t="s">
        <v>845</v>
      </c>
      <c r="AI23" s="30" t="s">
        <v>846</v>
      </c>
    </row>
    <row r="24">
      <c r="A24" s="30" t="s">
        <v>883</v>
      </c>
      <c r="B24" s="30" t="s">
        <v>45</v>
      </c>
      <c r="C24" s="31">
        <v>2017.0</v>
      </c>
      <c r="D24" s="30" t="s">
        <v>46</v>
      </c>
      <c r="E24" s="30" t="s">
        <v>823</v>
      </c>
      <c r="F24" s="30" t="s">
        <v>848</v>
      </c>
      <c r="G24" s="30" t="s">
        <v>825</v>
      </c>
      <c r="H24" s="30" t="s">
        <v>826</v>
      </c>
      <c r="I24" s="30" t="s">
        <v>855</v>
      </c>
      <c r="J24" s="30" t="s">
        <v>856</v>
      </c>
      <c r="K24" s="30" t="s">
        <v>829</v>
      </c>
      <c r="L24" s="30" t="s">
        <v>830</v>
      </c>
      <c r="M24" s="30" t="s">
        <v>79</v>
      </c>
      <c r="N24" s="30" t="s">
        <v>831</v>
      </c>
      <c r="O24" s="30" t="s">
        <v>832</v>
      </c>
      <c r="P24" s="30" t="s">
        <v>59</v>
      </c>
      <c r="Q24" s="30" t="s">
        <v>60</v>
      </c>
      <c r="R24" s="30" t="s">
        <v>81</v>
      </c>
      <c r="S24" s="30" t="s">
        <v>850</v>
      </c>
      <c r="T24" s="30" t="s">
        <v>835</v>
      </c>
      <c r="U24" s="30" t="s">
        <v>836</v>
      </c>
      <c r="V24" s="30" t="s">
        <v>30</v>
      </c>
      <c r="W24" s="30" t="s">
        <v>857</v>
      </c>
      <c r="X24" s="30" t="s">
        <v>839</v>
      </c>
      <c r="Y24" s="30" t="s">
        <v>100</v>
      </c>
      <c r="Z24" s="30" t="s">
        <v>64</v>
      </c>
      <c r="AA24" s="30" t="s">
        <v>128</v>
      </c>
      <c r="AB24" s="30" t="s">
        <v>158</v>
      </c>
      <c r="AC24" s="30" t="s">
        <v>840</v>
      </c>
      <c r="AD24" s="30" t="s">
        <v>841</v>
      </c>
      <c r="AE24" s="30" t="s">
        <v>842</v>
      </c>
      <c r="AF24" s="30" t="s">
        <v>843</v>
      </c>
      <c r="AG24" s="30" t="s">
        <v>844</v>
      </c>
      <c r="AH24" s="30" t="s">
        <v>845</v>
      </c>
      <c r="AI24" s="30" t="s">
        <v>853</v>
      </c>
    </row>
    <row r="25">
      <c r="A25" s="30" t="s">
        <v>884</v>
      </c>
      <c r="B25" s="30" t="s">
        <v>103</v>
      </c>
      <c r="C25" s="31">
        <v>2017.0</v>
      </c>
      <c r="D25" s="30" t="s">
        <v>46</v>
      </c>
      <c r="E25" s="30" t="s">
        <v>860</v>
      </c>
      <c r="F25" s="30" t="s">
        <v>848</v>
      </c>
      <c r="G25" s="30" t="s">
        <v>825</v>
      </c>
      <c r="H25" s="30" t="s">
        <v>826</v>
      </c>
      <c r="I25" s="30" t="s">
        <v>827</v>
      </c>
      <c r="J25" s="30" t="s">
        <v>856</v>
      </c>
      <c r="K25" s="30" t="s">
        <v>829</v>
      </c>
      <c r="L25" s="30" t="s">
        <v>830</v>
      </c>
      <c r="M25" s="30" t="s">
        <v>79</v>
      </c>
      <c r="N25" s="30" t="s">
        <v>23</v>
      </c>
      <c r="O25" s="30" t="s">
        <v>96</v>
      </c>
      <c r="P25" s="30" t="s">
        <v>482</v>
      </c>
      <c r="Q25" s="30" t="s">
        <v>482</v>
      </c>
      <c r="R25" s="30" t="s">
        <v>188</v>
      </c>
      <c r="S25" s="30" t="s">
        <v>850</v>
      </c>
      <c r="T25" s="30" t="s">
        <v>835</v>
      </c>
      <c r="U25" s="30" t="s">
        <v>836</v>
      </c>
      <c r="V25" s="30" t="s">
        <v>837</v>
      </c>
      <c r="W25" s="30" t="s">
        <v>857</v>
      </c>
      <c r="X25" s="30" t="s">
        <v>483</v>
      </c>
      <c r="Y25" s="30" t="s">
        <v>484</v>
      </c>
      <c r="Z25" s="30" t="s">
        <v>64</v>
      </c>
      <c r="AA25" s="30" t="s">
        <v>101</v>
      </c>
      <c r="AB25" s="30" t="s">
        <v>66</v>
      </c>
      <c r="AC25" s="30" t="s">
        <v>840</v>
      </c>
      <c r="AD25" s="30" t="s">
        <v>841</v>
      </c>
      <c r="AE25" s="30" t="s">
        <v>842</v>
      </c>
      <c r="AF25" s="30" t="s">
        <v>861</v>
      </c>
      <c r="AG25" s="30" t="s">
        <v>851</v>
      </c>
      <c r="AH25" s="30" t="s">
        <v>852</v>
      </c>
      <c r="AI25" s="30" t="s">
        <v>853</v>
      </c>
    </row>
    <row r="26">
      <c r="A26" s="30" t="s">
        <v>885</v>
      </c>
      <c r="B26" s="30" t="s">
        <v>45</v>
      </c>
      <c r="C26" s="31">
        <v>2017.0</v>
      </c>
      <c r="D26" s="30" t="s">
        <v>46</v>
      </c>
      <c r="E26" s="30" t="s">
        <v>823</v>
      </c>
      <c r="F26" s="30" t="s">
        <v>848</v>
      </c>
      <c r="G26" s="30" t="s">
        <v>825</v>
      </c>
      <c r="H26" s="30" t="s">
        <v>826</v>
      </c>
      <c r="I26" s="30" t="s">
        <v>855</v>
      </c>
      <c r="J26" s="30" t="s">
        <v>856</v>
      </c>
      <c r="K26" s="30" t="s">
        <v>829</v>
      </c>
      <c r="L26" s="30" t="s">
        <v>830</v>
      </c>
      <c r="M26" s="30" t="s">
        <v>79</v>
      </c>
      <c r="N26" s="30" t="s">
        <v>831</v>
      </c>
      <c r="O26" s="30" t="s">
        <v>832</v>
      </c>
      <c r="P26" s="30" t="s">
        <v>59</v>
      </c>
      <c r="Q26" s="30" t="s">
        <v>97</v>
      </c>
      <c r="R26" s="30" t="s">
        <v>342</v>
      </c>
      <c r="S26" s="30" t="s">
        <v>850</v>
      </c>
      <c r="T26" s="30" t="s">
        <v>835</v>
      </c>
      <c r="U26" s="30" t="s">
        <v>836</v>
      </c>
      <c r="V26" s="30" t="s">
        <v>837</v>
      </c>
      <c r="W26" s="30" t="s">
        <v>838</v>
      </c>
      <c r="X26" s="30" t="s">
        <v>839</v>
      </c>
      <c r="Y26" s="30" t="s">
        <v>63</v>
      </c>
      <c r="Z26" s="30" t="s">
        <v>64</v>
      </c>
      <c r="AA26" s="30" t="s">
        <v>128</v>
      </c>
      <c r="AB26" s="30" t="s">
        <v>66</v>
      </c>
      <c r="AC26" s="30" t="s">
        <v>840</v>
      </c>
      <c r="AD26" s="30" t="s">
        <v>841</v>
      </c>
      <c r="AE26" s="30" t="s">
        <v>842</v>
      </c>
      <c r="AF26" s="30" t="s">
        <v>843</v>
      </c>
      <c r="AG26" s="30" t="s">
        <v>851</v>
      </c>
      <c r="AH26" s="30" t="s">
        <v>845</v>
      </c>
      <c r="AI26" s="30" t="s">
        <v>853</v>
      </c>
    </row>
    <row r="27">
      <c r="A27" s="30" t="s">
        <v>886</v>
      </c>
      <c r="B27" s="30" t="s">
        <v>235</v>
      </c>
      <c r="C27" s="31">
        <v>2017.0</v>
      </c>
      <c r="D27" s="30" t="s">
        <v>85</v>
      </c>
      <c r="E27" s="30" t="s">
        <v>823</v>
      </c>
      <c r="F27" s="30" t="s">
        <v>848</v>
      </c>
      <c r="G27" s="30" t="s">
        <v>825</v>
      </c>
      <c r="H27" s="30" t="s">
        <v>826</v>
      </c>
      <c r="I27" s="30" t="s">
        <v>855</v>
      </c>
      <c r="J27" s="30" t="s">
        <v>828</v>
      </c>
      <c r="K27" s="30" t="s">
        <v>19</v>
      </c>
      <c r="L27" s="30" t="s">
        <v>849</v>
      </c>
      <c r="M27" s="30" t="s">
        <v>79</v>
      </c>
      <c r="N27" s="30" t="s">
        <v>23</v>
      </c>
      <c r="O27" s="30" t="s">
        <v>96</v>
      </c>
      <c r="P27" s="30" t="s">
        <v>59</v>
      </c>
      <c r="Q27" s="30" t="s">
        <v>545</v>
      </c>
      <c r="R27" s="30" t="s">
        <v>169</v>
      </c>
      <c r="S27" s="30" t="s">
        <v>850</v>
      </c>
      <c r="T27" s="30" t="s">
        <v>835</v>
      </c>
      <c r="U27" s="30" t="s">
        <v>836</v>
      </c>
      <c r="V27" s="30" t="s">
        <v>837</v>
      </c>
      <c r="W27" s="30" t="s">
        <v>857</v>
      </c>
      <c r="X27" s="30" t="s">
        <v>483</v>
      </c>
      <c r="Y27" s="30" t="s">
        <v>100</v>
      </c>
      <c r="Z27" s="30" t="s">
        <v>64</v>
      </c>
      <c r="AA27" s="30" t="s">
        <v>65</v>
      </c>
      <c r="AB27" s="30" t="s">
        <v>102</v>
      </c>
      <c r="AC27" s="30" t="s">
        <v>840</v>
      </c>
      <c r="AD27" s="30" t="s">
        <v>841</v>
      </c>
      <c r="AE27" s="30" t="s">
        <v>864</v>
      </c>
      <c r="AF27" s="30" t="s">
        <v>843</v>
      </c>
      <c r="AG27" s="30" t="s">
        <v>851</v>
      </c>
      <c r="AH27" s="30" t="s">
        <v>845</v>
      </c>
      <c r="AI27" s="30" t="s">
        <v>846</v>
      </c>
    </row>
    <row r="28">
      <c r="A28" s="30" t="s">
        <v>887</v>
      </c>
      <c r="B28" s="30" t="s">
        <v>256</v>
      </c>
      <c r="C28" s="31">
        <v>2017.0</v>
      </c>
      <c r="D28" s="30" t="s">
        <v>85</v>
      </c>
      <c r="E28" s="30" t="s">
        <v>823</v>
      </c>
      <c r="F28" s="30" t="s">
        <v>848</v>
      </c>
      <c r="G28" s="30" t="s">
        <v>825</v>
      </c>
      <c r="H28" s="30" t="s">
        <v>826</v>
      </c>
      <c r="I28" s="30" t="s">
        <v>855</v>
      </c>
      <c r="J28" s="30" t="s">
        <v>856</v>
      </c>
      <c r="K28" s="30" t="s">
        <v>829</v>
      </c>
      <c r="L28" s="30" t="s">
        <v>830</v>
      </c>
      <c r="M28" s="30" t="s">
        <v>231</v>
      </c>
      <c r="N28" s="30" t="s">
        <v>831</v>
      </c>
      <c r="O28" s="30" t="s">
        <v>832</v>
      </c>
      <c r="P28" s="30" t="s">
        <v>59</v>
      </c>
      <c r="Q28" s="30" t="s">
        <v>834</v>
      </c>
      <c r="R28" s="30" t="s">
        <v>585</v>
      </c>
      <c r="S28" s="30" t="s">
        <v>357</v>
      </c>
      <c r="T28" s="30" t="s">
        <v>835</v>
      </c>
      <c r="U28" s="30" t="s">
        <v>836</v>
      </c>
      <c r="V28" s="30" t="s">
        <v>837</v>
      </c>
      <c r="W28" s="30" t="s">
        <v>857</v>
      </c>
      <c r="X28" s="30" t="s">
        <v>839</v>
      </c>
      <c r="Y28" s="30" t="s">
        <v>358</v>
      </c>
      <c r="Z28" s="30" t="s">
        <v>64</v>
      </c>
      <c r="AA28" s="30" t="s">
        <v>101</v>
      </c>
      <c r="AB28" s="30" t="s">
        <v>158</v>
      </c>
      <c r="AC28" s="30" t="s">
        <v>840</v>
      </c>
      <c r="AD28" s="30" t="s">
        <v>841</v>
      </c>
      <c r="AE28" s="30" t="s">
        <v>864</v>
      </c>
      <c r="AF28" s="30" t="s">
        <v>843</v>
      </c>
      <c r="AG28" s="30" t="s">
        <v>851</v>
      </c>
      <c r="AH28" s="30" t="s">
        <v>845</v>
      </c>
      <c r="AI28" s="30" t="s">
        <v>846</v>
      </c>
    </row>
    <row r="29">
      <c r="A29" s="30" t="s">
        <v>888</v>
      </c>
      <c r="B29" s="30" t="s">
        <v>171</v>
      </c>
      <c r="C29" s="31">
        <v>2017.0</v>
      </c>
      <c r="D29" s="30" t="s">
        <v>46</v>
      </c>
      <c r="E29" s="30" t="s">
        <v>823</v>
      </c>
      <c r="F29" s="30" t="s">
        <v>848</v>
      </c>
      <c r="G29" s="30" t="s">
        <v>825</v>
      </c>
      <c r="H29" s="30" t="s">
        <v>826</v>
      </c>
      <c r="I29" s="30" t="s">
        <v>855</v>
      </c>
      <c r="J29" s="30" t="s">
        <v>856</v>
      </c>
      <c r="K29" s="30" t="s">
        <v>829</v>
      </c>
      <c r="L29" s="30" t="s">
        <v>830</v>
      </c>
      <c r="M29" s="30" t="s">
        <v>79</v>
      </c>
      <c r="N29" s="30" t="s">
        <v>23</v>
      </c>
      <c r="O29" s="30" t="s">
        <v>96</v>
      </c>
      <c r="P29" s="30" t="s">
        <v>59</v>
      </c>
      <c r="Q29" s="30" t="s">
        <v>145</v>
      </c>
      <c r="R29" s="30" t="s">
        <v>180</v>
      </c>
      <c r="S29" s="30" t="s">
        <v>569</v>
      </c>
      <c r="T29" s="30" t="s">
        <v>835</v>
      </c>
      <c r="U29" s="30" t="s">
        <v>836</v>
      </c>
      <c r="V29" s="30" t="s">
        <v>837</v>
      </c>
      <c r="W29" s="30" t="s">
        <v>857</v>
      </c>
      <c r="X29" s="30" t="s">
        <v>839</v>
      </c>
      <c r="Y29" s="30" t="s">
        <v>358</v>
      </c>
      <c r="Z29" s="30" t="s">
        <v>64</v>
      </c>
      <c r="AA29" s="30" t="s">
        <v>128</v>
      </c>
      <c r="AB29" s="30" t="s">
        <v>118</v>
      </c>
      <c r="AC29" s="30" t="s">
        <v>840</v>
      </c>
      <c r="AD29" s="30" t="s">
        <v>841</v>
      </c>
      <c r="AE29" s="30" t="s">
        <v>864</v>
      </c>
      <c r="AF29" s="30" t="s">
        <v>843</v>
      </c>
      <c r="AG29" s="30" t="s">
        <v>851</v>
      </c>
      <c r="AH29" s="30" t="s">
        <v>852</v>
      </c>
      <c r="AI29" s="30" t="s">
        <v>853</v>
      </c>
    </row>
    <row r="30">
      <c r="A30" s="30" t="s">
        <v>889</v>
      </c>
      <c r="B30" s="30" t="s">
        <v>256</v>
      </c>
      <c r="C30" s="31">
        <v>2017.0</v>
      </c>
      <c r="D30" s="30" t="s">
        <v>46</v>
      </c>
      <c r="E30" s="30" t="s">
        <v>860</v>
      </c>
      <c r="F30" s="30" t="s">
        <v>848</v>
      </c>
      <c r="G30" s="30" t="s">
        <v>825</v>
      </c>
      <c r="H30" s="30" t="s">
        <v>826</v>
      </c>
      <c r="I30" s="30" t="s">
        <v>827</v>
      </c>
      <c r="J30" s="30" t="s">
        <v>856</v>
      </c>
      <c r="K30" s="30" t="s">
        <v>829</v>
      </c>
      <c r="L30" s="30" t="s">
        <v>830</v>
      </c>
      <c r="M30" s="30" t="s">
        <v>79</v>
      </c>
      <c r="N30" s="30" t="s">
        <v>831</v>
      </c>
      <c r="O30" s="30" t="s">
        <v>832</v>
      </c>
      <c r="P30" s="30" t="s">
        <v>59</v>
      </c>
      <c r="Q30" s="30" t="s">
        <v>145</v>
      </c>
      <c r="R30" s="30" t="s">
        <v>180</v>
      </c>
      <c r="S30" s="30" t="s">
        <v>850</v>
      </c>
      <c r="T30" s="30" t="s">
        <v>835</v>
      </c>
      <c r="U30" s="30" t="s">
        <v>873</v>
      </c>
      <c r="V30" s="30" t="s">
        <v>837</v>
      </c>
      <c r="W30" s="30" t="s">
        <v>857</v>
      </c>
      <c r="X30" s="30" t="s">
        <v>839</v>
      </c>
      <c r="Y30" s="30" t="s">
        <v>181</v>
      </c>
      <c r="Z30" s="30" t="s">
        <v>64</v>
      </c>
      <c r="AA30" s="30" t="s">
        <v>128</v>
      </c>
      <c r="AB30" s="30" t="s">
        <v>118</v>
      </c>
      <c r="AC30" s="30" t="s">
        <v>840</v>
      </c>
      <c r="AD30" s="30" t="s">
        <v>841</v>
      </c>
      <c r="AE30" s="30" t="s">
        <v>842</v>
      </c>
      <c r="AF30" s="30" t="s">
        <v>843</v>
      </c>
      <c r="AG30" s="30" t="s">
        <v>851</v>
      </c>
      <c r="AH30" s="30" t="s">
        <v>852</v>
      </c>
      <c r="AI30" s="30" t="s">
        <v>846</v>
      </c>
    </row>
    <row r="31">
      <c r="A31" s="30" t="s">
        <v>890</v>
      </c>
      <c r="B31" s="30" t="s">
        <v>45</v>
      </c>
      <c r="C31" s="31">
        <v>2017.0</v>
      </c>
      <c r="D31" s="30" t="s">
        <v>46</v>
      </c>
      <c r="E31" s="30" t="s">
        <v>823</v>
      </c>
      <c r="F31" s="30" t="s">
        <v>848</v>
      </c>
      <c r="G31" s="30" t="s">
        <v>825</v>
      </c>
      <c r="H31" s="30" t="s">
        <v>826</v>
      </c>
      <c r="I31" s="30" t="s">
        <v>855</v>
      </c>
      <c r="J31" s="30" t="s">
        <v>856</v>
      </c>
      <c r="K31" s="30" t="s">
        <v>829</v>
      </c>
      <c r="L31" s="30" t="s">
        <v>830</v>
      </c>
      <c r="M31" s="30" t="s">
        <v>243</v>
      </c>
      <c r="N31" s="30" t="s">
        <v>404</v>
      </c>
      <c r="O31" s="30" t="s">
        <v>405</v>
      </c>
      <c r="P31" s="30" t="s">
        <v>59</v>
      </c>
      <c r="Q31" s="30" t="s">
        <v>60</v>
      </c>
      <c r="R31" s="30" t="s">
        <v>180</v>
      </c>
      <c r="S31" s="30" t="s">
        <v>850</v>
      </c>
      <c r="T31" s="30" t="s">
        <v>835</v>
      </c>
      <c r="U31" s="30" t="s">
        <v>873</v>
      </c>
      <c r="V31" s="30" t="s">
        <v>837</v>
      </c>
      <c r="W31" s="30" t="s">
        <v>857</v>
      </c>
      <c r="X31" s="30" t="s">
        <v>839</v>
      </c>
      <c r="Y31" s="30" t="s">
        <v>100</v>
      </c>
      <c r="Z31" s="30" t="s">
        <v>64</v>
      </c>
      <c r="AA31" s="30" t="s">
        <v>101</v>
      </c>
      <c r="AB31" s="30" t="s">
        <v>158</v>
      </c>
      <c r="AC31" s="30" t="s">
        <v>840</v>
      </c>
      <c r="AD31" s="30" t="s">
        <v>841</v>
      </c>
      <c r="AE31" s="30" t="s">
        <v>842</v>
      </c>
      <c r="AF31" s="30" t="s">
        <v>843</v>
      </c>
      <c r="AG31" s="30" t="s">
        <v>851</v>
      </c>
      <c r="AH31" s="30" t="s">
        <v>852</v>
      </c>
      <c r="AI31" s="30" t="s">
        <v>846</v>
      </c>
    </row>
    <row r="32">
      <c r="A32" s="30" t="s">
        <v>891</v>
      </c>
      <c r="B32" s="30" t="s">
        <v>150</v>
      </c>
      <c r="C32" s="31">
        <v>2017.0</v>
      </c>
      <c r="D32" s="30" t="s">
        <v>46</v>
      </c>
      <c r="E32" s="30" t="s">
        <v>823</v>
      </c>
      <c r="F32" s="30" t="s">
        <v>848</v>
      </c>
      <c r="G32" s="30" t="s">
        <v>825</v>
      </c>
      <c r="H32" s="30" t="s">
        <v>826</v>
      </c>
      <c r="I32" s="30" t="s">
        <v>827</v>
      </c>
      <c r="J32" s="30" t="s">
        <v>828</v>
      </c>
      <c r="K32" s="30" t="s">
        <v>19</v>
      </c>
      <c r="L32" s="30" t="s">
        <v>830</v>
      </c>
      <c r="M32" s="30" t="s">
        <v>79</v>
      </c>
      <c r="N32" s="30" t="s">
        <v>23</v>
      </c>
      <c r="O32" s="30" t="s">
        <v>96</v>
      </c>
      <c r="P32" s="30" t="s">
        <v>59</v>
      </c>
      <c r="Q32" s="30" t="s">
        <v>97</v>
      </c>
      <c r="R32" s="30" t="s">
        <v>293</v>
      </c>
      <c r="S32" s="30" t="s">
        <v>850</v>
      </c>
      <c r="T32" s="30" t="s">
        <v>835</v>
      </c>
      <c r="U32" s="30" t="s">
        <v>836</v>
      </c>
      <c r="V32" s="30" t="s">
        <v>837</v>
      </c>
      <c r="W32" s="30" t="s">
        <v>857</v>
      </c>
      <c r="X32" s="30" t="s">
        <v>483</v>
      </c>
      <c r="Y32" s="30" t="s">
        <v>100</v>
      </c>
      <c r="Z32" s="30" t="s">
        <v>64</v>
      </c>
      <c r="AA32" s="30" t="s">
        <v>101</v>
      </c>
      <c r="AB32" s="30" t="s">
        <v>158</v>
      </c>
      <c r="AC32" s="30" t="s">
        <v>840</v>
      </c>
      <c r="AD32" s="30" t="s">
        <v>875</v>
      </c>
      <c r="AE32" s="30" t="s">
        <v>842</v>
      </c>
      <c r="AF32" s="30" t="s">
        <v>861</v>
      </c>
      <c r="AG32" s="30" t="s">
        <v>851</v>
      </c>
      <c r="AH32" s="30" t="s">
        <v>852</v>
      </c>
      <c r="AI32" s="30" t="s">
        <v>846</v>
      </c>
    </row>
    <row r="33">
      <c r="A33" s="30" t="s">
        <v>892</v>
      </c>
      <c r="B33" s="30" t="s">
        <v>235</v>
      </c>
      <c r="C33" s="31">
        <v>2017.0</v>
      </c>
      <c r="D33" s="30" t="s">
        <v>46</v>
      </c>
      <c r="E33" s="30" t="s">
        <v>823</v>
      </c>
      <c r="F33" s="30" t="s">
        <v>848</v>
      </c>
      <c r="G33" s="30" t="s">
        <v>825</v>
      </c>
      <c r="H33" s="30" t="s">
        <v>826</v>
      </c>
      <c r="I33" s="30" t="s">
        <v>855</v>
      </c>
      <c r="J33" s="30" t="s">
        <v>828</v>
      </c>
      <c r="K33" s="30" t="s">
        <v>19</v>
      </c>
      <c r="L33" s="30" t="s">
        <v>830</v>
      </c>
      <c r="M33" s="30" t="s">
        <v>79</v>
      </c>
      <c r="N33" s="30" t="s">
        <v>404</v>
      </c>
      <c r="O33" s="30" t="s">
        <v>405</v>
      </c>
      <c r="P33" s="30" t="s">
        <v>59</v>
      </c>
      <c r="Q33" s="30" t="s">
        <v>145</v>
      </c>
      <c r="R33" s="30" t="s">
        <v>293</v>
      </c>
      <c r="S33" s="30" t="s">
        <v>136</v>
      </c>
      <c r="T33" s="30" t="s">
        <v>835</v>
      </c>
      <c r="U33" s="30" t="s">
        <v>836</v>
      </c>
      <c r="V33" s="30" t="s">
        <v>837</v>
      </c>
      <c r="W33" s="30" t="s">
        <v>857</v>
      </c>
      <c r="X33" s="30" t="s">
        <v>839</v>
      </c>
      <c r="Y33" s="30" t="s">
        <v>100</v>
      </c>
      <c r="Z33" s="30" t="s">
        <v>212</v>
      </c>
      <c r="AA33" s="30" t="s">
        <v>715</v>
      </c>
      <c r="AB33" s="30" t="s">
        <v>66</v>
      </c>
      <c r="AC33" s="30" t="s">
        <v>840</v>
      </c>
      <c r="AD33" s="30" t="s">
        <v>841</v>
      </c>
      <c r="AE33" s="30" t="s">
        <v>842</v>
      </c>
      <c r="AF33" s="30" t="s">
        <v>843</v>
      </c>
      <c r="AG33" s="30" t="s">
        <v>844</v>
      </c>
      <c r="AH33" s="30" t="s">
        <v>852</v>
      </c>
      <c r="AI33" s="30" t="s">
        <v>846</v>
      </c>
    </row>
    <row r="34">
      <c r="A34" s="30" t="s">
        <v>893</v>
      </c>
      <c r="B34" s="30" t="s">
        <v>235</v>
      </c>
      <c r="C34" s="31">
        <v>2017.0</v>
      </c>
      <c r="D34" s="30" t="s">
        <v>46</v>
      </c>
      <c r="E34" s="30" t="s">
        <v>860</v>
      </c>
      <c r="F34" s="30" t="s">
        <v>848</v>
      </c>
      <c r="G34" s="30" t="s">
        <v>825</v>
      </c>
      <c r="H34" s="30" t="s">
        <v>826</v>
      </c>
      <c r="I34" s="30" t="s">
        <v>827</v>
      </c>
      <c r="J34" s="30" t="s">
        <v>856</v>
      </c>
      <c r="K34" s="30" t="s">
        <v>829</v>
      </c>
      <c r="L34" s="30" t="s">
        <v>830</v>
      </c>
      <c r="M34" s="30" t="s">
        <v>57</v>
      </c>
      <c r="N34" s="30" t="s">
        <v>80</v>
      </c>
      <c r="O34" s="30" t="s">
        <v>832</v>
      </c>
      <c r="P34" s="30" t="s">
        <v>833</v>
      </c>
      <c r="Q34" s="30" t="s">
        <v>834</v>
      </c>
      <c r="R34" s="30" t="s">
        <v>98</v>
      </c>
      <c r="S34" s="30" t="s">
        <v>850</v>
      </c>
      <c r="T34" s="30" t="s">
        <v>99</v>
      </c>
      <c r="U34" s="30" t="s">
        <v>836</v>
      </c>
      <c r="V34" s="30" t="s">
        <v>837</v>
      </c>
      <c r="W34" s="30" t="s">
        <v>857</v>
      </c>
      <c r="X34" s="30" t="s">
        <v>839</v>
      </c>
      <c r="Y34" s="30" t="s">
        <v>714</v>
      </c>
      <c r="Z34" s="30" t="s">
        <v>64</v>
      </c>
      <c r="AA34" s="30" t="s">
        <v>101</v>
      </c>
      <c r="AB34" s="30" t="s">
        <v>66</v>
      </c>
      <c r="AC34" s="30" t="s">
        <v>840</v>
      </c>
      <c r="AD34" s="30" t="s">
        <v>841</v>
      </c>
      <c r="AE34" s="30" t="s">
        <v>864</v>
      </c>
      <c r="AF34" s="30" t="s">
        <v>861</v>
      </c>
      <c r="AG34" s="30" t="s">
        <v>851</v>
      </c>
      <c r="AH34" s="30" t="s">
        <v>852</v>
      </c>
      <c r="AI34" s="30" t="s">
        <v>853</v>
      </c>
    </row>
    <row r="35">
      <c r="A35" s="30" t="s">
        <v>894</v>
      </c>
      <c r="B35" s="30" t="s">
        <v>84</v>
      </c>
      <c r="C35" s="31">
        <v>2017.0</v>
      </c>
      <c r="D35" s="30" t="s">
        <v>85</v>
      </c>
      <c r="E35" s="30" t="s">
        <v>860</v>
      </c>
      <c r="F35" s="30" t="s">
        <v>848</v>
      </c>
      <c r="G35" s="30" t="s">
        <v>825</v>
      </c>
      <c r="H35" s="30" t="s">
        <v>826</v>
      </c>
      <c r="I35" s="30" t="s">
        <v>827</v>
      </c>
      <c r="J35" s="30" t="s">
        <v>828</v>
      </c>
      <c r="K35" s="30" t="s">
        <v>19</v>
      </c>
      <c r="L35" s="30" t="s">
        <v>849</v>
      </c>
      <c r="M35" s="30" t="s">
        <v>79</v>
      </c>
      <c r="N35" s="30" t="s">
        <v>831</v>
      </c>
      <c r="O35" s="30" t="s">
        <v>832</v>
      </c>
      <c r="P35" s="30" t="s">
        <v>59</v>
      </c>
      <c r="Q35" s="30" t="s">
        <v>834</v>
      </c>
      <c r="R35" s="30" t="s">
        <v>98</v>
      </c>
      <c r="S35" s="30" t="s">
        <v>850</v>
      </c>
      <c r="T35" s="30" t="s">
        <v>99</v>
      </c>
      <c r="U35" s="30" t="s">
        <v>836</v>
      </c>
      <c r="V35" s="30" t="s">
        <v>837</v>
      </c>
      <c r="W35" s="30" t="s">
        <v>857</v>
      </c>
      <c r="X35" s="30" t="s">
        <v>839</v>
      </c>
      <c r="Y35" s="30" t="s">
        <v>730</v>
      </c>
      <c r="Z35" s="30" t="s">
        <v>64</v>
      </c>
      <c r="AA35" s="30" t="s">
        <v>157</v>
      </c>
      <c r="AB35" s="30" t="s">
        <v>158</v>
      </c>
      <c r="AC35" s="30" t="s">
        <v>840</v>
      </c>
      <c r="AD35" s="30" t="s">
        <v>841</v>
      </c>
      <c r="AE35" s="30" t="s">
        <v>842</v>
      </c>
      <c r="AF35" s="30" t="s">
        <v>861</v>
      </c>
      <c r="AG35" s="30" t="s">
        <v>844</v>
      </c>
      <c r="AH35" s="30" t="s">
        <v>845</v>
      </c>
      <c r="AI35" s="30" t="s">
        <v>846</v>
      </c>
    </row>
    <row r="36">
      <c r="A36" s="30" t="s">
        <v>895</v>
      </c>
      <c r="B36" s="30" t="s">
        <v>736</v>
      </c>
      <c r="C36" s="31">
        <v>2017.0</v>
      </c>
      <c r="D36" s="30" t="s">
        <v>85</v>
      </c>
      <c r="E36" s="30" t="s">
        <v>860</v>
      </c>
      <c r="F36" s="30" t="s">
        <v>848</v>
      </c>
      <c r="G36" s="30" t="s">
        <v>896</v>
      </c>
      <c r="H36" s="30" t="s">
        <v>826</v>
      </c>
      <c r="I36" s="30" t="s">
        <v>827</v>
      </c>
      <c r="J36" s="30" t="s">
        <v>828</v>
      </c>
      <c r="K36" s="30" t="s">
        <v>19</v>
      </c>
      <c r="L36" s="30" t="s">
        <v>849</v>
      </c>
      <c r="M36" s="30" t="s">
        <v>79</v>
      </c>
      <c r="N36" s="30" t="s">
        <v>831</v>
      </c>
      <c r="O36" s="30" t="s">
        <v>832</v>
      </c>
      <c r="P36" s="30" t="s">
        <v>59</v>
      </c>
      <c r="Q36" s="30" t="s">
        <v>834</v>
      </c>
      <c r="R36" s="30" t="s">
        <v>98</v>
      </c>
      <c r="S36" s="30" t="s">
        <v>850</v>
      </c>
      <c r="T36" s="30" t="s">
        <v>99</v>
      </c>
      <c r="U36" s="30" t="s">
        <v>836</v>
      </c>
      <c r="V36" s="30" t="s">
        <v>837</v>
      </c>
      <c r="W36" s="30" t="s">
        <v>857</v>
      </c>
      <c r="X36" s="30" t="s">
        <v>839</v>
      </c>
      <c r="Y36" s="30" t="s">
        <v>730</v>
      </c>
      <c r="Z36" s="30" t="s">
        <v>64</v>
      </c>
      <c r="AA36" s="30" t="s">
        <v>157</v>
      </c>
      <c r="AB36" s="30" t="s">
        <v>66</v>
      </c>
      <c r="AC36" s="30" t="s">
        <v>840</v>
      </c>
      <c r="AD36" s="30" t="s">
        <v>841</v>
      </c>
      <c r="AE36" s="30" t="s">
        <v>864</v>
      </c>
      <c r="AF36" s="30" t="s">
        <v>861</v>
      </c>
      <c r="AG36" s="30" t="s">
        <v>851</v>
      </c>
      <c r="AH36" s="30" t="s">
        <v>845</v>
      </c>
      <c r="AI36" s="30" t="s">
        <v>846</v>
      </c>
    </row>
    <row r="37">
      <c r="A37" s="30" t="s">
        <v>897</v>
      </c>
      <c r="B37" s="30" t="s">
        <v>150</v>
      </c>
      <c r="C37" s="31">
        <v>2017.0</v>
      </c>
      <c r="D37" s="30" t="s">
        <v>104</v>
      </c>
      <c r="E37" s="30" t="s">
        <v>823</v>
      </c>
      <c r="F37" s="30" t="s">
        <v>848</v>
      </c>
      <c r="G37" s="30" t="s">
        <v>825</v>
      </c>
      <c r="H37" s="30" t="s">
        <v>826</v>
      </c>
      <c r="I37" s="30" t="s">
        <v>855</v>
      </c>
      <c r="J37" s="30" t="s">
        <v>856</v>
      </c>
      <c r="K37" s="30" t="s">
        <v>829</v>
      </c>
      <c r="L37" s="30" t="s">
        <v>830</v>
      </c>
      <c r="M37" s="30" t="s">
        <v>79</v>
      </c>
      <c r="N37" s="30" t="s">
        <v>831</v>
      </c>
      <c r="O37" s="30" t="s">
        <v>832</v>
      </c>
      <c r="P37" s="30" t="s">
        <v>833</v>
      </c>
      <c r="Q37" s="30" t="s">
        <v>834</v>
      </c>
      <c r="R37" s="30" t="s">
        <v>156</v>
      </c>
      <c r="S37" s="30" t="s">
        <v>850</v>
      </c>
      <c r="T37" s="30" t="s">
        <v>835</v>
      </c>
      <c r="U37" s="30" t="s">
        <v>836</v>
      </c>
      <c r="V37" s="30" t="s">
        <v>837</v>
      </c>
      <c r="W37" s="30" t="s">
        <v>838</v>
      </c>
      <c r="X37" s="30" t="s">
        <v>839</v>
      </c>
      <c r="Y37" s="30" t="s">
        <v>63</v>
      </c>
      <c r="Z37" s="30" t="s">
        <v>64</v>
      </c>
      <c r="AA37" s="30" t="s">
        <v>157</v>
      </c>
      <c r="AB37" s="30" t="s">
        <v>158</v>
      </c>
      <c r="AC37" s="30" t="s">
        <v>840</v>
      </c>
      <c r="AD37" s="30" t="s">
        <v>841</v>
      </c>
      <c r="AE37" s="30" t="s">
        <v>842</v>
      </c>
      <c r="AF37" s="30" t="s">
        <v>861</v>
      </c>
      <c r="AG37" s="30" t="s">
        <v>851</v>
      </c>
      <c r="AH37" s="30" t="s">
        <v>845</v>
      </c>
      <c r="AI37" s="30" t="s">
        <v>853</v>
      </c>
    </row>
    <row r="38">
      <c r="A38" s="30" t="s">
        <v>898</v>
      </c>
      <c r="B38" s="30" t="s">
        <v>103</v>
      </c>
      <c r="C38" s="31">
        <v>2018.0</v>
      </c>
      <c r="D38" s="30" t="s">
        <v>104</v>
      </c>
      <c r="E38" s="30" t="s">
        <v>860</v>
      </c>
      <c r="F38" s="30" t="s">
        <v>824</v>
      </c>
      <c r="G38" s="30" t="s">
        <v>825</v>
      </c>
      <c r="H38" s="30" t="s">
        <v>869</v>
      </c>
      <c r="I38" s="30" t="s">
        <v>827</v>
      </c>
      <c r="J38" s="30" t="s">
        <v>856</v>
      </c>
      <c r="K38" s="30" t="s">
        <v>829</v>
      </c>
      <c r="L38" s="30" t="s">
        <v>830</v>
      </c>
      <c r="M38" s="30" t="s">
        <v>79</v>
      </c>
      <c r="N38" s="30" t="s">
        <v>23</v>
      </c>
      <c r="O38" s="30" t="s">
        <v>96</v>
      </c>
      <c r="P38" s="30" t="s">
        <v>114</v>
      </c>
      <c r="Q38" s="30" t="s">
        <v>60</v>
      </c>
      <c r="R38" s="30" t="s">
        <v>115</v>
      </c>
      <c r="S38" s="30" t="s">
        <v>850</v>
      </c>
      <c r="T38" s="30" t="s">
        <v>835</v>
      </c>
      <c r="U38" s="30" t="s">
        <v>836</v>
      </c>
      <c r="V38" s="30" t="s">
        <v>837</v>
      </c>
      <c r="W38" s="30" t="s">
        <v>838</v>
      </c>
      <c r="X38" s="30" t="s">
        <v>483</v>
      </c>
      <c r="Y38" s="30" t="s">
        <v>63</v>
      </c>
      <c r="Z38" s="30" t="s">
        <v>64</v>
      </c>
      <c r="AA38" s="30" t="s">
        <v>117</v>
      </c>
      <c r="AB38" s="30" t="s">
        <v>118</v>
      </c>
      <c r="AC38" s="30" t="s">
        <v>840</v>
      </c>
      <c r="AD38" s="30" t="s">
        <v>841</v>
      </c>
      <c r="AE38" s="30" t="s">
        <v>842</v>
      </c>
      <c r="AF38" s="30" t="s">
        <v>843</v>
      </c>
      <c r="AG38" s="30" t="s">
        <v>851</v>
      </c>
      <c r="AH38" s="30" t="s">
        <v>852</v>
      </c>
      <c r="AI38" s="30" t="s">
        <v>853</v>
      </c>
    </row>
    <row r="39">
      <c r="A39" s="30" t="s">
        <v>899</v>
      </c>
      <c r="B39" s="30" t="s">
        <v>103</v>
      </c>
      <c r="C39" s="31">
        <v>2018.0</v>
      </c>
      <c r="D39" s="30" t="s">
        <v>104</v>
      </c>
      <c r="E39" s="30" t="s">
        <v>823</v>
      </c>
      <c r="F39" s="30" t="s">
        <v>848</v>
      </c>
      <c r="G39" s="30" t="s">
        <v>825</v>
      </c>
      <c r="H39" s="30" t="s">
        <v>826</v>
      </c>
      <c r="I39" s="30" t="s">
        <v>827</v>
      </c>
      <c r="J39" s="30" t="s">
        <v>828</v>
      </c>
      <c r="K39" s="30" t="s">
        <v>829</v>
      </c>
      <c r="L39" s="30" t="s">
        <v>830</v>
      </c>
      <c r="M39" s="30" t="s">
        <v>79</v>
      </c>
      <c r="N39" s="30" t="s">
        <v>23</v>
      </c>
      <c r="O39" s="30" t="s">
        <v>96</v>
      </c>
      <c r="P39" s="30" t="s">
        <v>59</v>
      </c>
      <c r="Q39" s="30" t="s">
        <v>97</v>
      </c>
      <c r="R39" s="30" t="s">
        <v>127</v>
      </c>
      <c r="S39" s="30" t="s">
        <v>850</v>
      </c>
      <c r="T39" s="30" t="s">
        <v>835</v>
      </c>
      <c r="U39" s="30" t="s">
        <v>836</v>
      </c>
      <c r="V39" s="30" t="s">
        <v>837</v>
      </c>
      <c r="W39" s="30" t="s">
        <v>838</v>
      </c>
      <c r="X39" s="30" t="s">
        <v>839</v>
      </c>
      <c r="Y39" s="30" t="s">
        <v>63</v>
      </c>
      <c r="Z39" s="30" t="s">
        <v>64</v>
      </c>
      <c r="AA39" s="30" t="s">
        <v>128</v>
      </c>
      <c r="AB39" s="30" t="s">
        <v>102</v>
      </c>
      <c r="AC39" s="30" t="s">
        <v>900</v>
      </c>
      <c r="AD39" s="30" t="s">
        <v>841</v>
      </c>
      <c r="AE39" s="30" t="s">
        <v>842</v>
      </c>
      <c r="AF39" s="30" t="s">
        <v>843</v>
      </c>
      <c r="AG39" s="30" t="s">
        <v>844</v>
      </c>
      <c r="AH39" s="30" t="s">
        <v>852</v>
      </c>
      <c r="AI39" s="30" t="s">
        <v>853</v>
      </c>
    </row>
    <row r="40">
      <c r="A40" s="30" t="s">
        <v>901</v>
      </c>
      <c r="B40" s="30" t="s">
        <v>103</v>
      </c>
      <c r="C40" s="31">
        <v>2018.0</v>
      </c>
      <c r="D40" s="30" t="s">
        <v>46</v>
      </c>
      <c r="E40" s="30" t="s">
        <v>823</v>
      </c>
      <c r="F40" s="30" t="s">
        <v>848</v>
      </c>
      <c r="G40" s="30" t="s">
        <v>825</v>
      </c>
      <c r="H40" s="30" t="s">
        <v>826</v>
      </c>
      <c r="I40" s="30" t="s">
        <v>827</v>
      </c>
      <c r="J40" s="30" t="s">
        <v>828</v>
      </c>
      <c r="K40" s="30" t="s">
        <v>19</v>
      </c>
      <c r="L40" s="30" t="s">
        <v>849</v>
      </c>
      <c r="M40" s="30" t="s">
        <v>79</v>
      </c>
      <c r="N40" s="30" t="s">
        <v>23</v>
      </c>
      <c r="O40" s="30" t="s">
        <v>96</v>
      </c>
      <c r="P40" s="30" t="s">
        <v>59</v>
      </c>
      <c r="Q40" s="30" t="s">
        <v>314</v>
      </c>
      <c r="R40" s="30" t="s">
        <v>315</v>
      </c>
      <c r="S40" s="30" t="s">
        <v>850</v>
      </c>
      <c r="T40" s="30" t="s">
        <v>835</v>
      </c>
      <c r="U40" s="30" t="s">
        <v>836</v>
      </c>
      <c r="V40" s="30" t="s">
        <v>837</v>
      </c>
      <c r="W40" s="30" t="s">
        <v>838</v>
      </c>
      <c r="X40" s="30" t="s">
        <v>839</v>
      </c>
      <c r="Y40" s="30" t="s">
        <v>100</v>
      </c>
      <c r="Z40" s="30" t="s">
        <v>64</v>
      </c>
      <c r="AA40" s="30" t="s">
        <v>65</v>
      </c>
      <c r="AB40" s="30" t="s">
        <v>66</v>
      </c>
      <c r="AC40" s="30" t="s">
        <v>900</v>
      </c>
      <c r="AD40" s="30" t="s">
        <v>841</v>
      </c>
      <c r="AE40" s="30" t="s">
        <v>842</v>
      </c>
      <c r="AF40" s="30" t="s">
        <v>843</v>
      </c>
      <c r="AG40" s="30" t="s">
        <v>844</v>
      </c>
      <c r="AH40" s="30" t="s">
        <v>852</v>
      </c>
      <c r="AI40" s="30" t="s">
        <v>853</v>
      </c>
    </row>
    <row r="41">
      <c r="A41" s="30" t="s">
        <v>902</v>
      </c>
      <c r="B41" s="30" t="s">
        <v>171</v>
      </c>
      <c r="C41" s="31">
        <v>2018.0</v>
      </c>
      <c r="D41" s="30" t="s">
        <v>85</v>
      </c>
      <c r="E41" s="30" t="s">
        <v>823</v>
      </c>
      <c r="F41" s="30" t="s">
        <v>848</v>
      </c>
      <c r="G41" s="30" t="s">
        <v>825</v>
      </c>
      <c r="H41" s="30" t="s">
        <v>826</v>
      </c>
      <c r="I41" s="30" t="s">
        <v>855</v>
      </c>
      <c r="J41" s="30" t="s">
        <v>856</v>
      </c>
      <c r="K41" s="30" t="s">
        <v>829</v>
      </c>
      <c r="L41" s="30" t="s">
        <v>830</v>
      </c>
      <c r="M41" s="30" t="s">
        <v>231</v>
      </c>
      <c r="N41" s="30" t="s">
        <v>80</v>
      </c>
      <c r="O41" s="30" t="s">
        <v>832</v>
      </c>
      <c r="P41" s="30" t="s">
        <v>59</v>
      </c>
      <c r="Q41" s="30" t="s">
        <v>145</v>
      </c>
      <c r="R41" s="30" t="s">
        <v>135</v>
      </c>
      <c r="S41" s="30" t="s">
        <v>634</v>
      </c>
      <c r="T41" s="30" t="s">
        <v>835</v>
      </c>
      <c r="U41" s="30" t="s">
        <v>836</v>
      </c>
      <c r="V41" s="30" t="s">
        <v>837</v>
      </c>
      <c r="W41" s="30" t="s">
        <v>838</v>
      </c>
      <c r="X41" s="30" t="s">
        <v>839</v>
      </c>
      <c r="Y41" s="30" t="s">
        <v>634</v>
      </c>
      <c r="Z41" s="30" t="s">
        <v>64</v>
      </c>
      <c r="AA41" s="30" t="s">
        <v>101</v>
      </c>
      <c r="AB41" s="30" t="s">
        <v>148</v>
      </c>
      <c r="AC41" s="30" t="s">
        <v>840</v>
      </c>
      <c r="AD41" s="30" t="s">
        <v>841</v>
      </c>
      <c r="AE41" s="30" t="s">
        <v>842</v>
      </c>
      <c r="AF41" s="30" t="s">
        <v>843</v>
      </c>
      <c r="AG41" s="30" t="s">
        <v>851</v>
      </c>
      <c r="AH41" s="30" t="s">
        <v>852</v>
      </c>
      <c r="AI41" s="30" t="s">
        <v>853</v>
      </c>
    </row>
    <row r="42">
      <c r="A42" s="30" t="s">
        <v>903</v>
      </c>
      <c r="B42" s="30" t="s">
        <v>171</v>
      </c>
      <c r="C42" s="31">
        <v>2018.0</v>
      </c>
      <c r="D42" s="30" t="s">
        <v>46</v>
      </c>
      <c r="E42" s="30" t="s">
        <v>823</v>
      </c>
      <c r="F42" s="30" t="s">
        <v>848</v>
      </c>
      <c r="G42" s="30" t="s">
        <v>825</v>
      </c>
      <c r="H42" s="30" t="s">
        <v>826</v>
      </c>
      <c r="I42" s="30" t="s">
        <v>855</v>
      </c>
      <c r="J42" s="30" t="s">
        <v>856</v>
      </c>
      <c r="K42" s="30" t="s">
        <v>829</v>
      </c>
      <c r="L42" s="30" t="s">
        <v>830</v>
      </c>
      <c r="M42" s="30" t="s">
        <v>79</v>
      </c>
      <c r="N42" s="30" t="s">
        <v>23</v>
      </c>
      <c r="O42" s="30" t="s">
        <v>96</v>
      </c>
      <c r="P42" s="30" t="s">
        <v>59</v>
      </c>
      <c r="Q42" s="30" t="s">
        <v>145</v>
      </c>
      <c r="R42" s="30" t="s">
        <v>180</v>
      </c>
      <c r="S42" s="30" t="s">
        <v>850</v>
      </c>
      <c r="T42" s="30" t="s">
        <v>835</v>
      </c>
      <c r="U42" s="30" t="s">
        <v>873</v>
      </c>
      <c r="V42" s="30" t="s">
        <v>837</v>
      </c>
      <c r="W42" s="30" t="s">
        <v>857</v>
      </c>
      <c r="X42" s="30" t="s">
        <v>839</v>
      </c>
      <c r="Y42" s="30" t="s">
        <v>465</v>
      </c>
      <c r="Z42" s="30" t="s">
        <v>64</v>
      </c>
      <c r="AA42" s="30" t="s">
        <v>510</v>
      </c>
      <c r="AB42" s="30" t="s">
        <v>66</v>
      </c>
      <c r="AC42" s="30" t="s">
        <v>900</v>
      </c>
      <c r="AD42" s="30" t="s">
        <v>841</v>
      </c>
      <c r="AE42" s="30" t="s">
        <v>842</v>
      </c>
      <c r="AF42" s="30" t="s">
        <v>843</v>
      </c>
      <c r="AG42" s="30" t="s">
        <v>844</v>
      </c>
      <c r="AH42" s="30" t="s">
        <v>852</v>
      </c>
      <c r="AI42" s="30" t="s">
        <v>853</v>
      </c>
    </row>
    <row r="43">
      <c r="A43" s="30" t="s">
        <v>904</v>
      </c>
      <c r="B43" s="30" t="s">
        <v>103</v>
      </c>
      <c r="C43" s="31">
        <v>2018.0</v>
      </c>
      <c r="D43" s="30" t="s">
        <v>46</v>
      </c>
      <c r="E43" s="30" t="s">
        <v>860</v>
      </c>
      <c r="F43" s="30" t="s">
        <v>848</v>
      </c>
      <c r="G43" s="30" t="s">
        <v>825</v>
      </c>
      <c r="H43" s="30" t="s">
        <v>869</v>
      </c>
      <c r="I43" s="30" t="s">
        <v>827</v>
      </c>
      <c r="J43" s="30" t="s">
        <v>856</v>
      </c>
      <c r="K43" s="30" t="s">
        <v>829</v>
      </c>
      <c r="L43" s="30" t="s">
        <v>830</v>
      </c>
      <c r="M43" s="30" t="s">
        <v>243</v>
      </c>
      <c r="N43" s="30" t="s">
        <v>80</v>
      </c>
      <c r="O43" s="30" t="s">
        <v>832</v>
      </c>
      <c r="P43" s="30" t="s">
        <v>59</v>
      </c>
      <c r="Q43" s="30" t="s">
        <v>265</v>
      </c>
      <c r="R43" s="30" t="s">
        <v>61</v>
      </c>
      <c r="S43" s="30" t="s">
        <v>850</v>
      </c>
      <c r="T43" s="30" t="s">
        <v>835</v>
      </c>
      <c r="U43" s="30" t="s">
        <v>836</v>
      </c>
      <c r="V43" s="30" t="s">
        <v>837</v>
      </c>
      <c r="W43" s="30" t="s">
        <v>838</v>
      </c>
      <c r="X43" s="30" t="s">
        <v>839</v>
      </c>
      <c r="Y43" s="30" t="s">
        <v>63</v>
      </c>
      <c r="Z43" s="30" t="s">
        <v>64</v>
      </c>
      <c r="AA43" s="30" t="s">
        <v>128</v>
      </c>
      <c r="AB43" s="30" t="s">
        <v>66</v>
      </c>
      <c r="AC43" s="30" t="s">
        <v>840</v>
      </c>
      <c r="AD43" s="30" t="s">
        <v>841</v>
      </c>
      <c r="AE43" s="30" t="s">
        <v>842</v>
      </c>
      <c r="AF43" s="30" t="s">
        <v>843</v>
      </c>
      <c r="AG43" s="30" t="s">
        <v>851</v>
      </c>
      <c r="AH43" s="30" t="s">
        <v>852</v>
      </c>
      <c r="AI43" s="30" t="s">
        <v>846</v>
      </c>
    </row>
    <row r="44">
      <c r="A44" s="30" t="s">
        <v>905</v>
      </c>
      <c r="B44" s="30" t="s">
        <v>45</v>
      </c>
      <c r="C44" s="31">
        <v>2018.0</v>
      </c>
      <c r="D44" s="30" t="s">
        <v>46</v>
      </c>
      <c r="E44" s="30" t="s">
        <v>823</v>
      </c>
      <c r="F44" s="30" t="s">
        <v>848</v>
      </c>
      <c r="G44" s="30" t="s">
        <v>825</v>
      </c>
      <c r="H44" s="30" t="s">
        <v>826</v>
      </c>
      <c r="I44" s="30" t="s">
        <v>855</v>
      </c>
      <c r="J44" s="30" t="s">
        <v>856</v>
      </c>
      <c r="K44" s="30" t="s">
        <v>829</v>
      </c>
      <c r="L44" s="30" t="s">
        <v>830</v>
      </c>
      <c r="M44" s="30" t="s">
        <v>79</v>
      </c>
      <c r="N44" s="30" t="s">
        <v>831</v>
      </c>
      <c r="O44" s="30" t="s">
        <v>832</v>
      </c>
      <c r="P44" s="30" t="s">
        <v>59</v>
      </c>
      <c r="Q44" s="30" t="s">
        <v>314</v>
      </c>
      <c r="R44" s="30" t="s">
        <v>180</v>
      </c>
      <c r="S44" s="30" t="s">
        <v>850</v>
      </c>
      <c r="T44" s="30" t="s">
        <v>835</v>
      </c>
      <c r="U44" s="30" t="s">
        <v>836</v>
      </c>
      <c r="V44" s="30" t="s">
        <v>30</v>
      </c>
      <c r="W44" s="30" t="s">
        <v>857</v>
      </c>
      <c r="X44" s="30" t="s">
        <v>839</v>
      </c>
      <c r="Y44" s="30" t="s">
        <v>100</v>
      </c>
      <c r="Z44" s="30" t="s">
        <v>64</v>
      </c>
      <c r="AA44" s="30" t="s">
        <v>128</v>
      </c>
      <c r="AB44" s="30" t="s">
        <v>102</v>
      </c>
      <c r="AC44" s="30" t="s">
        <v>840</v>
      </c>
      <c r="AD44" s="30" t="s">
        <v>841</v>
      </c>
      <c r="AE44" s="30" t="s">
        <v>842</v>
      </c>
      <c r="AF44" s="30" t="s">
        <v>843</v>
      </c>
      <c r="AG44" s="30" t="s">
        <v>844</v>
      </c>
      <c r="AH44" s="30" t="s">
        <v>845</v>
      </c>
      <c r="AI44" s="30" t="s">
        <v>846</v>
      </c>
    </row>
    <row r="45">
      <c r="A45" s="30" t="s">
        <v>906</v>
      </c>
      <c r="B45" s="30" t="s">
        <v>256</v>
      </c>
      <c r="C45" s="31">
        <v>2018.0</v>
      </c>
      <c r="D45" s="30" t="s">
        <v>85</v>
      </c>
      <c r="E45" s="30" t="s">
        <v>860</v>
      </c>
      <c r="F45" s="30" t="s">
        <v>848</v>
      </c>
      <c r="G45" s="30" t="s">
        <v>825</v>
      </c>
      <c r="H45" s="30" t="s">
        <v>826</v>
      </c>
      <c r="I45" s="30" t="s">
        <v>855</v>
      </c>
      <c r="J45" s="30" t="s">
        <v>856</v>
      </c>
      <c r="K45" s="30" t="s">
        <v>829</v>
      </c>
      <c r="L45" s="30" t="s">
        <v>830</v>
      </c>
      <c r="M45" s="30" t="s">
        <v>79</v>
      </c>
      <c r="N45" s="30" t="s">
        <v>831</v>
      </c>
      <c r="O45" s="30" t="s">
        <v>832</v>
      </c>
      <c r="P45" s="30" t="s">
        <v>59</v>
      </c>
      <c r="Q45" s="30" t="s">
        <v>145</v>
      </c>
      <c r="R45" s="30" t="s">
        <v>180</v>
      </c>
      <c r="S45" s="30" t="s">
        <v>850</v>
      </c>
      <c r="T45" s="30" t="s">
        <v>835</v>
      </c>
      <c r="U45" s="30" t="s">
        <v>836</v>
      </c>
      <c r="V45" s="30" t="s">
        <v>837</v>
      </c>
      <c r="W45" s="30" t="s">
        <v>838</v>
      </c>
      <c r="X45" s="30" t="s">
        <v>839</v>
      </c>
      <c r="Y45" s="30" t="s">
        <v>63</v>
      </c>
      <c r="Z45" s="30" t="s">
        <v>64</v>
      </c>
      <c r="AA45" s="30" t="s">
        <v>128</v>
      </c>
      <c r="AB45" s="30" t="s">
        <v>118</v>
      </c>
      <c r="AC45" s="30" t="s">
        <v>840</v>
      </c>
      <c r="AD45" s="30" t="s">
        <v>841</v>
      </c>
      <c r="AE45" s="30" t="s">
        <v>842</v>
      </c>
      <c r="AF45" s="30" t="s">
        <v>843</v>
      </c>
      <c r="AG45" s="30" t="s">
        <v>851</v>
      </c>
      <c r="AH45" s="30" t="s">
        <v>845</v>
      </c>
      <c r="AI45" s="30" t="s">
        <v>846</v>
      </c>
    </row>
    <row r="46">
      <c r="A46" s="30" t="s">
        <v>907</v>
      </c>
      <c r="B46" s="30" t="s">
        <v>129</v>
      </c>
      <c r="C46" s="31">
        <v>2018.0</v>
      </c>
      <c r="D46" s="30" t="s">
        <v>85</v>
      </c>
      <c r="E46" s="30" t="s">
        <v>860</v>
      </c>
      <c r="F46" s="30" t="s">
        <v>848</v>
      </c>
      <c r="G46" s="30" t="s">
        <v>896</v>
      </c>
      <c r="H46" s="30" t="s">
        <v>826</v>
      </c>
      <c r="I46" s="30" t="s">
        <v>827</v>
      </c>
      <c r="J46" s="30" t="s">
        <v>856</v>
      </c>
      <c r="K46" s="30" t="s">
        <v>829</v>
      </c>
      <c r="L46" s="30" t="s">
        <v>849</v>
      </c>
      <c r="M46" s="30" t="s">
        <v>79</v>
      </c>
      <c r="N46" s="30" t="s">
        <v>831</v>
      </c>
      <c r="O46" s="30" t="s">
        <v>832</v>
      </c>
      <c r="P46" s="30" t="s">
        <v>59</v>
      </c>
      <c r="Q46" s="30" t="s">
        <v>145</v>
      </c>
      <c r="R46" s="30" t="s">
        <v>169</v>
      </c>
      <c r="S46" s="30" t="s">
        <v>850</v>
      </c>
      <c r="T46" s="30" t="s">
        <v>835</v>
      </c>
      <c r="U46" s="30" t="s">
        <v>836</v>
      </c>
      <c r="V46" s="30" t="s">
        <v>837</v>
      </c>
      <c r="W46" s="30" t="s">
        <v>838</v>
      </c>
      <c r="X46" s="30" t="s">
        <v>839</v>
      </c>
      <c r="Y46" s="30" t="s">
        <v>677</v>
      </c>
      <c r="Z46" s="30" t="s">
        <v>64</v>
      </c>
      <c r="AA46" s="30" t="s">
        <v>678</v>
      </c>
      <c r="AB46" s="30" t="s">
        <v>66</v>
      </c>
      <c r="AC46" s="30" t="s">
        <v>840</v>
      </c>
      <c r="AD46" s="30" t="s">
        <v>841</v>
      </c>
      <c r="AE46" s="30" t="s">
        <v>842</v>
      </c>
      <c r="AF46" s="30" t="s">
        <v>843</v>
      </c>
      <c r="AG46" s="30" t="s">
        <v>851</v>
      </c>
      <c r="AH46" s="30" t="s">
        <v>845</v>
      </c>
      <c r="AI46" s="30" t="s">
        <v>853</v>
      </c>
    </row>
    <row r="47">
      <c r="A47" s="30" t="s">
        <v>908</v>
      </c>
      <c r="B47" s="30" t="s">
        <v>150</v>
      </c>
      <c r="C47" s="31">
        <v>2018.0</v>
      </c>
      <c r="D47" s="30" t="s">
        <v>85</v>
      </c>
      <c r="E47" s="30" t="s">
        <v>823</v>
      </c>
      <c r="F47" s="30" t="s">
        <v>848</v>
      </c>
      <c r="G47" s="30" t="s">
        <v>825</v>
      </c>
      <c r="H47" s="30" t="s">
        <v>826</v>
      </c>
      <c r="I47" s="30" t="s">
        <v>855</v>
      </c>
      <c r="J47" s="30" t="s">
        <v>856</v>
      </c>
      <c r="K47" s="30" t="s">
        <v>829</v>
      </c>
      <c r="L47" s="30" t="s">
        <v>830</v>
      </c>
      <c r="M47" s="30" t="s">
        <v>79</v>
      </c>
      <c r="N47" s="30" t="s">
        <v>23</v>
      </c>
      <c r="O47" s="30" t="s">
        <v>96</v>
      </c>
      <c r="P47" s="30" t="s">
        <v>59</v>
      </c>
      <c r="Q47" s="30" t="s">
        <v>834</v>
      </c>
      <c r="R47" s="30" t="s">
        <v>127</v>
      </c>
      <c r="S47" s="30" t="s">
        <v>850</v>
      </c>
      <c r="T47" s="30" t="s">
        <v>835</v>
      </c>
      <c r="U47" s="30" t="s">
        <v>836</v>
      </c>
      <c r="V47" s="30" t="s">
        <v>837</v>
      </c>
      <c r="W47" s="30" t="s">
        <v>838</v>
      </c>
      <c r="X47" s="30" t="s">
        <v>839</v>
      </c>
      <c r="Y47" s="30" t="s">
        <v>63</v>
      </c>
      <c r="Z47" s="30" t="s">
        <v>64</v>
      </c>
      <c r="AA47" s="30" t="s">
        <v>101</v>
      </c>
      <c r="AB47" s="30" t="s">
        <v>102</v>
      </c>
      <c r="AC47" s="30" t="s">
        <v>840</v>
      </c>
      <c r="AD47" s="30" t="s">
        <v>841</v>
      </c>
      <c r="AE47" s="30" t="s">
        <v>842</v>
      </c>
      <c r="AF47" s="30" t="s">
        <v>843</v>
      </c>
      <c r="AG47" s="30" t="s">
        <v>851</v>
      </c>
      <c r="AH47" s="30" t="s">
        <v>852</v>
      </c>
      <c r="AI47" s="30" t="s">
        <v>846</v>
      </c>
    </row>
    <row r="48">
      <c r="A48" s="30" t="s">
        <v>909</v>
      </c>
      <c r="B48" s="30" t="s">
        <v>129</v>
      </c>
      <c r="C48" s="31">
        <v>2018.0</v>
      </c>
      <c r="D48" s="30" t="s">
        <v>104</v>
      </c>
      <c r="E48" s="30" t="s">
        <v>860</v>
      </c>
      <c r="F48" s="30" t="s">
        <v>848</v>
      </c>
      <c r="G48" s="30" t="s">
        <v>825</v>
      </c>
      <c r="H48" s="30" t="s">
        <v>826</v>
      </c>
      <c r="I48" s="30" t="s">
        <v>827</v>
      </c>
      <c r="J48" s="30" t="s">
        <v>856</v>
      </c>
      <c r="K48" s="30" t="s">
        <v>829</v>
      </c>
      <c r="L48" s="30" t="s">
        <v>830</v>
      </c>
      <c r="M48" s="30" t="s">
        <v>55</v>
      </c>
      <c r="N48" s="30" t="s">
        <v>23</v>
      </c>
      <c r="O48" s="30" t="s">
        <v>210</v>
      </c>
      <c r="P48" s="30" t="s">
        <v>59</v>
      </c>
      <c r="Q48" s="30" t="s">
        <v>265</v>
      </c>
      <c r="R48" s="30" t="s">
        <v>211</v>
      </c>
      <c r="S48" s="30" t="s">
        <v>303</v>
      </c>
      <c r="T48" s="30" t="s">
        <v>835</v>
      </c>
      <c r="U48" s="30" t="s">
        <v>836</v>
      </c>
      <c r="V48" s="30" t="s">
        <v>837</v>
      </c>
      <c r="W48" s="30" t="s">
        <v>857</v>
      </c>
      <c r="X48" s="30" t="s">
        <v>839</v>
      </c>
      <c r="Y48" s="30" t="s">
        <v>55</v>
      </c>
      <c r="Z48" s="30" t="s">
        <v>64</v>
      </c>
      <c r="AA48" s="30" t="s">
        <v>128</v>
      </c>
      <c r="AB48" s="30" t="s">
        <v>66</v>
      </c>
      <c r="AC48" s="30" t="s">
        <v>840</v>
      </c>
      <c r="AD48" s="30" t="s">
        <v>875</v>
      </c>
      <c r="AE48" s="30" t="s">
        <v>864</v>
      </c>
      <c r="AF48" s="30" t="s">
        <v>843</v>
      </c>
      <c r="AG48" s="30" t="s">
        <v>851</v>
      </c>
      <c r="AH48" s="30" t="s">
        <v>852</v>
      </c>
      <c r="AI48" s="30" t="s">
        <v>846</v>
      </c>
    </row>
    <row r="49">
      <c r="A49" s="30" t="s">
        <v>910</v>
      </c>
      <c r="B49" s="30" t="s">
        <v>256</v>
      </c>
      <c r="C49" s="31">
        <v>2018.0</v>
      </c>
      <c r="D49" s="30" t="s">
        <v>46</v>
      </c>
      <c r="E49" s="30" t="s">
        <v>823</v>
      </c>
      <c r="F49" s="30" t="s">
        <v>848</v>
      </c>
      <c r="G49" s="30" t="s">
        <v>825</v>
      </c>
      <c r="H49" s="30" t="s">
        <v>826</v>
      </c>
      <c r="I49" s="30" t="s">
        <v>855</v>
      </c>
      <c r="J49" s="30" t="s">
        <v>856</v>
      </c>
      <c r="K49" s="30" t="s">
        <v>829</v>
      </c>
      <c r="L49" s="30" t="s">
        <v>830</v>
      </c>
      <c r="M49" s="30" t="s">
        <v>79</v>
      </c>
      <c r="N49" s="30" t="s">
        <v>23</v>
      </c>
      <c r="O49" s="30" t="s">
        <v>96</v>
      </c>
      <c r="P49" s="30" t="s">
        <v>59</v>
      </c>
      <c r="Q49" s="30" t="s">
        <v>60</v>
      </c>
      <c r="R49" s="30" t="s">
        <v>180</v>
      </c>
      <c r="S49" s="30" t="s">
        <v>569</v>
      </c>
      <c r="T49" s="30" t="s">
        <v>835</v>
      </c>
      <c r="U49" s="30" t="s">
        <v>873</v>
      </c>
      <c r="V49" s="30" t="s">
        <v>837</v>
      </c>
      <c r="W49" s="30" t="s">
        <v>857</v>
      </c>
      <c r="X49" s="30" t="s">
        <v>839</v>
      </c>
      <c r="Y49" s="30" t="s">
        <v>465</v>
      </c>
      <c r="Z49" s="30" t="s">
        <v>509</v>
      </c>
      <c r="AA49" s="30" t="s">
        <v>101</v>
      </c>
      <c r="AB49" s="30" t="s">
        <v>158</v>
      </c>
      <c r="AC49" s="30" t="s">
        <v>840</v>
      </c>
      <c r="AD49" s="30" t="s">
        <v>875</v>
      </c>
      <c r="AE49" s="30" t="s">
        <v>842</v>
      </c>
      <c r="AF49" s="30" t="s">
        <v>843</v>
      </c>
      <c r="AG49" s="30" t="s">
        <v>851</v>
      </c>
      <c r="AH49" s="30" t="s">
        <v>852</v>
      </c>
      <c r="AI49" s="30" t="s">
        <v>846</v>
      </c>
    </row>
    <row r="50">
      <c r="A50" s="30" t="s">
        <v>911</v>
      </c>
      <c r="B50" s="30" t="s">
        <v>256</v>
      </c>
      <c r="C50" s="31">
        <v>2018.0</v>
      </c>
      <c r="D50" s="30" t="s">
        <v>46</v>
      </c>
      <c r="E50" s="30" t="s">
        <v>823</v>
      </c>
      <c r="F50" s="30" t="s">
        <v>848</v>
      </c>
      <c r="G50" s="30" t="s">
        <v>825</v>
      </c>
      <c r="H50" s="30" t="s">
        <v>826</v>
      </c>
      <c r="I50" s="30" t="s">
        <v>855</v>
      </c>
      <c r="J50" s="30" t="s">
        <v>856</v>
      </c>
      <c r="K50" s="30" t="s">
        <v>829</v>
      </c>
      <c r="L50" s="30" t="s">
        <v>830</v>
      </c>
      <c r="M50" s="30" t="s">
        <v>79</v>
      </c>
      <c r="N50" s="30" t="s">
        <v>831</v>
      </c>
      <c r="O50" s="30" t="s">
        <v>832</v>
      </c>
      <c r="P50" s="30" t="s">
        <v>59</v>
      </c>
      <c r="Q50" s="30" t="s">
        <v>60</v>
      </c>
      <c r="R50" s="30" t="s">
        <v>180</v>
      </c>
      <c r="S50" s="30" t="s">
        <v>850</v>
      </c>
      <c r="T50" s="30" t="s">
        <v>835</v>
      </c>
      <c r="U50" s="30" t="s">
        <v>873</v>
      </c>
      <c r="V50" s="30" t="s">
        <v>837</v>
      </c>
      <c r="W50" s="30" t="s">
        <v>857</v>
      </c>
      <c r="X50" s="30" t="s">
        <v>839</v>
      </c>
      <c r="Y50" s="30" t="s">
        <v>465</v>
      </c>
      <c r="Z50" s="30" t="s">
        <v>64</v>
      </c>
      <c r="AA50" s="30" t="s">
        <v>101</v>
      </c>
      <c r="AB50" s="30" t="s">
        <v>158</v>
      </c>
      <c r="AC50" s="30" t="s">
        <v>840</v>
      </c>
      <c r="AD50" s="30" t="s">
        <v>875</v>
      </c>
      <c r="AE50" s="30" t="s">
        <v>842</v>
      </c>
      <c r="AF50" s="30" t="s">
        <v>843</v>
      </c>
      <c r="AG50" s="30" t="s">
        <v>851</v>
      </c>
      <c r="AH50" s="30" t="s">
        <v>852</v>
      </c>
      <c r="AI50" s="30" t="s">
        <v>846</v>
      </c>
    </row>
    <row r="51">
      <c r="A51" s="30" t="s">
        <v>912</v>
      </c>
      <c r="B51" s="30" t="s">
        <v>256</v>
      </c>
      <c r="C51" s="31">
        <v>2018.0</v>
      </c>
      <c r="D51" s="30" t="s">
        <v>46</v>
      </c>
      <c r="E51" s="30" t="s">
        <v>823</v>
      </c>
      <c r="F51" s="30" t="s">
        <v>848</v>
      </c>
      <c r="G51" s="30" t="s">
        <v>825</v>
      </c>
      <c r="H51" s="30" t="s">
        <v>826</v>
      </c>
      <c r="I51" s="30" t="s">
        <v>855</v>
      </c>
      <c r="J51" s="30" t="s">
        <v>856</v>
      </c>
      <c r="K51" s="30" t="s">
        <v>829</v>
      </c>
      <c r="L51" s="30" t="s">
        <v>830</v>
      </c>
      <c r="M51" s="30" t="s">
        <v>79</v>
      </c>
      <c r="N51" s="30" t="s">
        <v>80</v>
      </c>
      <c r="O51" s="30" t="s">
        <v>832</v>
      </c>
      <c r="P51" s="30" t="s">
        <v>59</v>
      </c>
      <c r="Q51" s="30" t="s">
        <v>145</v>
      </c>
      <c r="R51" s="30" t="s">
        <v>180</v>
      </c>
      <c r="S51" s="30" t="s">
        <v>850</v>
      </c>
      <c r="T51" s="30" t="s">
        <v>835</v>
      </c>
      <c r="U51" s="30" t="s">
        <v>873</v>
      </c>
      <c r="V51" s="30" t="s">
        <v>837</v>
      </c>
      <c r="W51" s="30" t="s">
        <v>857</v>
      </c>
      <c r="X51" s="30" t="s">
        <v>839</v>
      </c>
      <c r="Y51" s="30" t="s">
        <v>170</v>
      </c>
      <c r="Z51" s="30" t="s">
        <v>509</v>
      </c>
      <c r="AA51" s="30" t="s">
        <v>101</v>
      </c>
      <c r="AB51" s="30" t="s">
        <v>158</v>
      </c>
      <c r="AC51" s="30" t="s">
        <v>840</v>
      </c>
      <c r="AD51" s="30" t="s">
        <v>841</v>
      </c>
      <c r="AE51" s="30" t="s">
        <v>842</v>
      </c>
      <c r="AF51" s="30" t="s">
        <v>843</v>
      </c>
      <c r="AG51" s="30" t="s">
        <v>851</v>
      </c>
      <c r="AH51" s="30" t="s">
        <v>852</v>
      </c>
      <c r="AI51" s="30" t="s">
        <v>846</v>
      </c>
    </row>
    <row r="52">
      <c r="A52" s="30" t="s">
        <v>913</v>
      </c>
      <c r="B52" s="30" t="s">
        <v>129</v>
      </c>
      <c r="C52" s="31">
        <v>2018.0</v>
      </c>
      <c r="D52" s="30" t="s">
        <v>104</v>
      </c>
      <c r="E52" s="30" t="s">
        <v>860</v>
      </c>
      <c r="F52" s="30" t="s">
        <v>848</v>
      </c>
      <c r="G52" s="30" t="s">
        <v>825</v>
      </c>
      <c r="H52" s="30" t="s">
        <v>826</v>
      </c>
      <c r="I52" s="30" t="s">
        <v>855</v>
      </c>
      <c r="J52" s="30" t="s">
        <v>856</v>
      </c>
      <c r="K52" s="30" t="s">
        <v>829</v>
      </c>
      <c r="L52" s="30" t="s">
        <v>830</v>
      </c>
      <c r="M52" s="30" t="s">
        <v>79</v>
      </c>
      <c r="N52" s="30" t="s">
        <v>831</v>
      </c>
      <c r="O52" s="30" t="s">
        <v>832</v>
      </c>
      <c r="P52" s="30" t="s">
        <v>59</v>
      </c>
      <c r="Q52" s="30" t="s">
        <v>97</v>
      </c>
      <c r="R52" s="30" t="s">
        <v>180</v>
      </c>
      <c r="S52" s="30" t="s">
        <v>850</v>
      </c>
      <c r="T52" s="30" t="s">
        <v>835</v>
      </c>
      <c r="U52" s="30" t="s">
        <v>836</v>
      </c>
      <c r="V52" s="30" t="s">
        <v>837</v>
      </c>
      <c r="W52" s="30" t="s">
        <v>838</v>
      </c>
      <c r="X52" s="30" t="s">
        <v>839</v>
      </c>
      <c r="Y52" s="30" t="s">
        <v>63</v>
      </c>
      <c r="Z52" s="30" t="s">
        <v>64</v>
      </c>
      <c r="AA52" s="30" t="s">
        <v>101</v>
      </c>
      <c r="AB52" s="30" t="s">
        <v>148</v>
      </c>
      <c r="AC52" s="30" t="s">
        <v>840</v>
      </c>
      <c r="AD52" s="30" t="s">
        <v>841</v>
      </c>
      <c r="AE52" s="30" t="s">
        <v>864</v>
      </c>
      <c r="AF52" s="30" t="s">
        <v>843</v>
      </c>
      <c r="AG52" s="30" t="s">
        <v>851</v>
      </c>
      <c r="AH52" s="30" t="s">
        <v>845</v>
      </c>
      <c r="AI52" s="30" t="s">
        <v>846</v>
      </c>
    </row>
    <row r="53">
      <c r="A53" s="30" t="s">
        <v>914</v>
      </c>
      <c r="B53" s="30" t="s">
        <v>129</v>
      </c>
      <c r="C53" s="31">
        <v>2018.0</v>
      </c>
      <c r="D53" s="30" t="s">
        <v>85</v>
      </c>
      <c r="E53" s="30" t="s">
        <v>823</v>
      </c>
      <c r="F53" s="30" t="s">
        <v>848</v>
      </c>
      <c r="G53" s="30" t="s">
        <v>896</v>
      </c>
      <c r="H53" s="30" t="s">
        <v>826</v>
      </c>
      <c r="I53" s="30" t="s">
        <v>855</v>
      </c>
      <c r="J53" s="30" t="s">
        <v>828</v>
      </c>
      <c r="K53" s="30" t="s">
        <v>19</v>
      </c>
      <c r="L53" s="30" t="s">
        <v>830</v>
      </c>
      <c r="M53" s="30" t="s">
        <v>79</v>
      </c>
      <c r="N53" s="30" t="s">
        <v>23</v>
      </c>
      <c r="O53" s="30" t="s">
        <v>96</v>
      </c>
      <c r="P53" s="30" t="s">
        <v>59</v>
      </c>
      <c r="Q53" s="30" t="s">
        <v>145</v>
      </c>
      <c r="R53" s="30" t="s">
        <v>244</v>
      </c>
      <c r="S53" s="30" t="s">
        <v>850</v>
      </c>
      <c r="T53" s="30" t="s">
        <v>835</v>
      </c>
      <c r="U53" s="30" t="s">
        <v>836</v>
      </c>
      <c r="V53" s="30" t="s">
        <v>837</v>
      </c>
      <c r="W53" s="30" t="s">
        <v>838</v>
      </c>
      <c r="X53" s="30" t="s">
        <v>839</v>
      </c>
      <c r="Y53" s="30" t="s">
        <v>714</v>
      </c>
      <c r="Z53" s="30" t="s">
        <v>64</v>
      </c>
      <c r="AA53" s="30" t="s">
        <v>715</v>
      </c>
      <c r="AB53" s="30" t="s">
        <v>66</v>
      </c>
      <c r="AC53" s="30" t="s">
        <v>840</v>
      </c>
      <c r="AD53" s="30" t="s">
        <v>841</v>
      </c>
      <c r="AE53" s="30" t="s">
        <v>842</v>
      </c>
      <c r="AF53" s="30" t="s">
        <v>843</v>
      </c>
      <c r="AG53" s="30" t="s">
        <v>844</v>
      </c>
      <c r="AH53" s="30" t="s">
        <v>852</v>
      </c>
      <c r="AI53" s="30" t="s">
        <v>846</v>
      </c>
    </row>
    <row r="54">
      <c r="A54" s="30" t="s">
        <v>915</v>
      </c>
      <c r="B54" s="30" t="s">
        <v>129</v>
      </c>
      <c r="C54" s="31">
        <v>2018.0</v>
      </c>
      <c r="D54" s="30" t="s">
        <v>46</v>
      </c>
      <c r="E54" s="30" t="s">
        <v>823</v>
      </c>
      <c r="F54" s="30" t="s">
        <v>848</v>
      </c>
      <c r="G54" s="30" t="s">
        <v>825</v>
      </c>
      <c r="H54" s="30" t="s">
        <v>826</v>
      </c>
      <c r="I54" s="30" t="s">
        <v>855</v>
      </c>
      <c r="J54" s="30" t="s">
        <v>828</v>
      </c>
      <c r="K54" s="30" t="s">
        <v>19</v>
      </c>
      <c r="L54" s="30" t="s">
        <v>830</v>
      </c>
      <c r="M54" s="30" t="s">
        <v>231</v>
      </c>
      <c r="N54" s="30" t="s">
        <v>80</v>
      </c>
      <c r="O54" s="30" t="s">
        <v>832</v>
      </c>
      <c r="P54" s="30" t="s">
        <v>59</v>
      </c>
      <c r="Q54" s="30" t="s">
        <v>145</v>
      </c>
      <c r="R54" s="30" t="s">
        <v>342</v>
      </c>
      <c r="S54" s="30" t="s">
        <v>850</v>
      </c>
      <c r="T54" s="30" t="s">
        <v>835</v>
      </c>
      <c r="U54" s="30" t="s">
        <v>836</v>
      </c>
      <c r="V54" s="30" t="s">
        <v>837</v>
      </c>
      <c r="W54" s="30" t="s">
        <v>838</v>
      </c>
      <c r="X54" s="30" t="s">
        <v>839</v>
      </c>
      <c r="Y54" s="30" t="s">
        <v>63</v>
      </c>
      <c r="Z54" s="30" t="s">
        <v>64</v>
      </c>
      <c r="AA54" s="30" t="s">
        <v>101</v>
      </c>
      <c r="AB54" s="30" t="s">
        <v>66</v>
      </c>
      <c r="AC54" s="30" t="s">
        <v>900</v>
      </c>
      <c r="AD54" s="30" t="s">
        <v>841</v>
      </c>
      <c r="AE54" s="30" t="s">
        <v>842</v>
      </c>
      <c r="AF54" s="30" t="s">
        <v>843</v>
      </c>
      <c r="AG54" s="30" t="s">
        <v>844</v>
      </c>
      <c r="AH54" s="30" t="s">
        <v>852</v>
      </c>
      <c r="AI54" s="30" t="s">
        <v>853</v>
      </c>
    </row>
    <row r="55">
      <c r="A55" s="30" t="s">
        <v>916</v>
      </c>
      <c r="B55" s="30" t="s">
        <v>129</v>
      </c>
      <c r="C55" s="31">
        <v>2018.0</v>
      </c>
      <c r="D55" s="30" t="s">
        <v>104</v>
      </c>
      <c r="E55" s="30" t="s">
        <v>823</v>
      </c>
      <c r="F55" s="30" t="s">
        <v>848</v>
      </c>
      <c r="G55" s="30" t="s">
        <v>825</v>
      </c>
      <c r="H55" s="30" t="s">
        <v>826</v>
      </c>
      <c r="I55" s="30" t="s">
        <v>827</v>
      </c>
      <c r="J55" s="30" t="s">
        <v>856</v>
      </c>
      <c r="K55" s="30" t="s">
        <v>829</v>
      </c>
      <c r="L55" s="30" t="s">
        <v>849</v>
      </c>
      <c r="M55" s="30" t="s">
        <v>57</v>
      </c>
      <c r="N55" s="30" t="s">
        <v>277</v>
      </c>
      <c r="O55" s="30" t="s">
        <v>832</v>
      </c>
      <c r="P55" s="30" t="s">
        <v>833</v>
      </c>
      <c r="Q55" s="30" t="s">
        <v>834</v>
      </c>
      <c r="R55" s="30" t="s">
        <v>342</v>
      </c>
      <c r="S55" s="30" t="s">
        <v>357</v>
      </c>
      <c r="T55" s="30" t="s">
        <v>835</v>
      </c>
      <c r="U55" s="30" t="s">
        <v>836</v>
      </c>
      <c r="V55" s="30" t="s">
        <v>837</v>
      </c>
      <c r="W55" s="30" t="s">
        <v>857</v>
      </c>
      <c r="X55" s="30" t="s">
        <v>839</v>
      </c>
      <c r="Y55" s="30" t="s">
        <v>396</v>
      </c>
      <c r="Z55" s="30" t="s">
        <v>147</v>
      </c>
      <c r="AA55" s="30" t="s">
        <v>101</v>
      </c>
      <c r="AB55" s="30" t="s">
        <v>66</v>
      </c>
      <c r="AC55" s="30" t="s">
        <v>840</v>
      </c>
      <c r="AD55" s="30" t="s">
        <v>841</v>
      </c>
      <c r="AE55" s="30" t="s">
        <v>842</v>
      </c>
      <c r="AF55" s="30" t="s">
        <v>861</v>
      </c>
      <c r="AG55" s="30" t="s">
        <v>844</v>
      </c>
      <c r="AH55" s="30" t="s">
        <v>852</v>
      </c>
      <c r="AI55" s="30" t="s">
        <v>853</v>
      </c>
    </row>
    <row r="56">
      <c r="A56" s="30" t="s">
        <v>917</v>
      </c>
      <c r="B56" s="30" t="s">
        <v>256</v>
      </c>
      <c r="C56" s="31">
        <v>2018.0</v>
      </c>
      <c r="D56" s="30" t="s">
        <v>46</v>
      </c>
      <c r="E56" s="30" t="s">
        <v>823</v>
      </c>
      <c r="F56" s="30" t="s">
        <v>848</v>
      </c>
      <c r="G56" s="30" t="s">
        <v>825</v>
      </c>
      <c r="H56" s="30" t="s">
        <v>826</v>
      </c>
      <c r="I56" s="30" t="s">
        <v>855</v>
      </c>
      <c r="J56" s="30" t="s">
        <v>828</v>
      </c>
      <c r="K56" s="30" t="s">
        <v>19</v>
      </c>
      <c r="L56" s="30" t="s">
        <v>830</v>
      </c>
      <c r="M56" s="30" t="s">
        <v>79</v>
      </c>
      <c r="N56" s="30" t="s">
        <v>23</v>
      </c>
      <c r="O56" s="30" t="s">
        <v>96</v>
      </c>
      <c r="P56" s="30" t="s">
        <v>59</v>
      </c>
      <c r="Q56" s="30" t="s">
        <v>265</v>
      </c>
      <c r="R56" s="30" t="s">
        <v>180</v>
      </c>
      <c r="S56" s="30" t="s">
        <v>266</v>
      </c>
      <c r="T56" s="30" t="s">
        <v>835</v>
      </c>
      <c r="U56" s="30" t="s">
        <v>836</v>
      </c>
      <c r="V56" s="30" t="s">
        <v>837</v>
      </c>
      <c r="W56" s="30" t="s">
        <v>857</v>
      </c>
      <c r="X56" s="30" t="s">
        <v>839</v>
      </c>
      <c r="Y56" s="30" t="s">
        <v>181</v>
      </c>
      <c r="Z56" s="30" t="s">
        <v>64</v>
      </c>
      <c r="AA56" s="30" t="s">
        <v>101</v>
      </c>
      <c r="AB56" s="30" t="s">
        <v>118</v>
      </c>
      <c r="AC56" s="30" t="s">
        <v>900</v>
      </c>
      <c r="AD56" s="30" t="s">
        <v>841</v>
      </c>
      <c r="AE56" s="30" t="s">
        <v>842</v>
      </c>
      <c r="AF56" s="30" t="s">
        <v>843</v>
      </c>
      <c r="AG56" s="30" t="s">
        <v>844</v>
      </c>
      <c r="AH56" s="30" t="s">
        <v>852</v>
      </c>
      <c r="AI56" s="30" t="s">
        <v>853</v>
      </c>
    </row>
    <row r="57">
      <c r="A57" s="30" t="s">
        <v>918</v>
      </c>
      <c r="B57" s="30" t="s">
        <v>150</v>
      </c>
      <c r="C57" s="31">
        <v>2018.0</v>
      </c>
      <c r="D57" s="30" t="s">
        <v>46</v>
      </c>
      <c r="E57" s="30" t="s">
        <v>860</v>
      </c>
      <c r="F57" s="30" t="s">
        <v>824</v>
      </c>
      <c r="G57" s="30" t="s">
        <v>825</v>
      </c>
      <c r="H57" s="30" t="s">
        <v>826</v>
      </c>
      <c r="I57" s="30" t="s">
        <v>827</v>
      </c>
      <c r="J57" s="30" t="s">
        <v>828</v>
      </c>
      <c r="K57" s="30" t="s">
        <v>829</v>
      </c>
      <c r="L57" s="30" t="s">
        <v>830</v>
      </c>
      <c r="M57" s="30" t="s">
        <v>79</v>
      </c>
      <c r="N57" s="30" t="s">
        <v>831</v>
      </c>
      <c r="O57" s="30" t="s">
        <v>832</v>
      </c>
      <c r="P57" s="30" t="s">
        <v>59</v>
      </c>
      <c r="Q57" s="30" t="s">
        <v>292</v>
      </c>
      <c r="R57" s="30" t="s">
        <v>293</v>
      </c>
      <c r="S57" s="30" t="s">
        <v>850</v>
      </c>
      <c r="T57" s="30" t="s">
        <v>835</v>
      </c>
      <c r="U57" s="30" t="s">
        <v>836</v>
      </c>
      <c r="V57" s="30" t="s">
        <v>837</v>
      </c>
      <c r="W57" s="30" t="s">
        <v>838</v>
      </c>
      <c r="X57" s="30" t="s">
        <v>483</v>
      </c>
      <c r="Y57" s="30" t="s">
        <v>100</v>
      </c>
      <c r="Z57" s="30" t="s">
        <v>64</v>
      </c>
      <c r="AA57" s="30" t="s">
        <v>101</v>
      </c>
      <c r="AB57" s="30" t="s">
        <v>118</v>
      </c>
      <c r="AC57" s="30" t="s">
        <v>840</v>
      </c>
      <c r="AD57" s="30" t="s">
        <v>841</v>
      </c>
      <c r="AE57" s="30" t="s">
        <v>842</v>
      </c>
      <c r="AF57" s="30" t="s">
        <v>843</v>
      </c>
      <c r="AG57" s="30" t="s">
        <v>844</v>
      </c>
      <c r="AH57" s="30" t="s">
        <v>845</v>
      </c>
      <c r="AI57" s="30" t="s">
        <v>853</v>
      </c>
    </row>
    <row r="58">
      <c r="A58" s="30" t="s">
        <v>919</v>
      </c>
      <c r="B58" s="30" t="s">
        <v>150</v>
      </c>
      <c r="C58" s="31">
        <v>2018.0</v>
      </c>
      <c r="D58" s="30" t="s">
        <v>343</v>
      </c>
      <c r="E58" s="30" t="s">
        <v>823</v>
      </c>
      <c r="F58" s="30" t="s">
        <v>848</v>
      </c>
      <c r="G58" s="30" t="s">
        <v>825</v>
      </c>
      <c r="H58" s="30" t="s">
        <v>826</v>
      </c>
      <c r="I58" s="30" t="s">
        <v>827</v>
      </c>
      <c r="J58" s="30" t="s">
        <v>856</v>
      </c>
      <c r="K58" s="30" t="s">
        <v>19</v>
      </c>
      <c r="L58" s="30" t="s">
        <v>830</v>
      </c>
      <c r="M58" s="30" t="s">
        <v>79</v>
      </c>
      <c r="N58" s="30" t="s">
        <v>404</v>
      </c>
      <c r="O58" s="30" t="s">
        <v>405</v>
      </c>
      <c r="P58" s="30" t="s">
        <v>59</v>
      </c>
      <c r="Q58" s="30" t="s">
        <v>834</v>
      </c>
      <c r="R58" s="30" t="s">
        <v>135</v>
      </c>
      <c r="S58" s="30" t="s">
        <v>136</v>
      </c>
      <c r="T58" s="30" t="s">
        <v>835</v>
      </c>
      <c r="U58" s="30" t="s">
        <v>836</v>
      </c>
      <c r="V58" s="30" t="s">
        <v>837</v>
      </c>
      <c r="W58" s="30" t="s">
        <v>857</v>
      </c>
      <c r="X58" s="30" t="s">
        <v>839</v>
      </c>
      <c r="Y58" s="30" t="s">
        <v>100</v>
      </c>
      <c r="Z58" s="30" t="s">
        <v>64</v>
      </c>
      <c r="AA58" s="30" t="s">
        <v>157</v>
      </c>
      <c r="AB58" s="30" t="s">
        <v>66</v>
      </c>
      <c r="AC58" s="30" t="s">
        <v>840</v>
      </c>
      <c r="AD58" s="30" t="s">
        <v>875</v>
      </c>
      <c r="AE58" s="30" t="s">
        <v>842</v>
      </c>
      <c r="AF58" s="30" t="s">
        <v>843</v>
      </c>
      <c r="AG58" s="30" t="s">
        <v>851</v>
      </c>
      <c r="AH58" s="30" t="s">
        <v>852</v>
      </c>
      <c r="AI58" s="30" t="s">
        <v>846</v>
      </c>
    </row>
    <row r="59">
      <c r="A59" s="30" t="s">
        <v>920</v>
      </c>
      <c r="B59" s="30" t="s">
        <v>150</v>
      </c>
      <c r="C59" s="31">
        <v>2018.0</v>
      </c>
      <c r="D59" s="30" t="s">
        <v>46</v>
      </c>
      <c r="E59" s="30" t="s">
        <v>823</v>
      </c>
      <c r="F59" s="30" t="s">
        <v>848</v>
      </c>
      <c r="G59" s="30" t="s">
        <v>825</v>
      </c>
      <c r="H59" s="30" t="s">
        <v>869</v>
      </c>
      <c r="I59" s="30" t="s">
        <v>855</v>
      </c>
      <c r="J59" s="30" t="s">
        <v>856</v>
      </c>
      <c r="K59" s="30" t="s">
        <v>829</v>
      </c>
      <c r="L59" s="30" t="s">
        <v>830</v>
      </c>
      <c r="M59" s="30" t="s">
        <v>79</v>
      </c>
      <c r="N59" s="30" t="s">
        <v>404</v>
      </c>
      <c r="O59" s="30" t="s">
        <v>405</v>
      </c>
      <c r="P59" s="30" t="s">
        <v>59</v>
      </c>
      <c r="Q59" s="30" t="s">
        <v>60</v>
      </c>
      <c r="R59" s="30" t="s">
        <v>81</v>
      </c>
      <c r="S59" s="30" t="s">
        <v>850</v>
      </c>
      <c r="T59" s="30" t="s">
        <v>835</v>
      </c>
      <c r="U59" s="30" t="s">
        <v>836</v>
      </c>
      <c r="V59" s="30" t="s">
        <v>30</v>
      </c>
      <c r="W59" s="30" t="s">
        <v>857</v>
      </c>
      <c r="X59" s="30" t="s">
        <v>839</v>
      </c>
      <c r="Y59" s="30" t="s">
        <v>100</v>
      </c>
      <c r="Z59" s="30" t="s">
        <v>64</v>
      </c>
      <c r="AA59" s="30" t="s">
        <v>128</v>
      </c>
      <c r="AB59" s="30" t="s">
        <v>102</v>
      </c>
      <c r="AC59" s="30" t="s">
        <v>840</v>
      </c>
      <c r="AD59" s="30" t="s">
        <v>841</v>
      </c>
      <c r="AE59" s="30" t="s">
        <v>842</v>
      </c>
      <c r="AF59" s="30" t="s">
        <v>843</v>
      </c>
      <c r="AG59" s="30" t="s">
        <v>851</v>
      </c>
      <c r="AH59" s="30" t="s">
        <v>852</v>
      </c>
      <c r="AI59" s="30" t="s">
        <v>853</v>
      </c>
    </row>
    <row r="60">
      <c r="A60" s="30" t="s">
        <v>921</v>
      </c>
      <c r="B60" s="30" t="s">
        <v>235</v>
      </c>
      <c r="C60" s="31">
        <v>2018.0</v>
      </c>
      <c r="D60" s="30" t="s">
        <v>46</v>
      </c>
      <c r="E60" s="30" t="s">
        <v>860</v>
      </c>
      <c r="F60" s="30" t="s">
        <v>848</v>
      </c>
      <c r="G60" s="30" t="s">
        <v>825</v>
      </c>
      <c r="H60" s="30" t="s">
        <v>826</v>
      </c>
      <c r="I60" s="30" t="s">
        <v>827</v>
      </c>
      <c r="J60" s="30" t="s">
        <v>856</v>
      </c>
      <c r="K60" s="30" t="s">
        <v>829</v>
      </c>
      <c r="L60" s="30" t="s">
        <v>830</v>
      </c>
      <c r="M60" s="30" t="s">
        <v>79</v>
      </c>
      <c r="N60" s="30" t="s">
        <v>831</v>
      </c>
      <c r="O60" s="30" t="s">
        <v>832</v>
      </c>
      <c r="P60" s="30" t="s">
        <v>385</v>
      </c>
      <c r="Q60" s="30" t="s">
        <v>386</v>
      </c>
      <c r="R60" s="30" t="s">
        <v>169</v>
      </c>
      <c r="S60" s="30" t="s">
        <v>387</v>
      </c>
      <c r="T60" s="30" t="s">
        <v>835</v>
      </c>
      <c r="U60" s="30" t="s">
        <v>836</v>
      </c>
      <c r="V60" s="30" t="s">
        <v>837</v>
      </c>
      <c r="W60" s="30" t="s">
        <v>857</v>
      </c>
      <c r="X60" s="30" t="s">
        <v>839</v>
      </c>
      <c r="Y60" s="30" t="s">
        <v>170</v>
      </c>
      <c r="Z60" s="30" t="s">
        <v>147</v>
      </c>
      <c r="AA60" s="30" t="s">
        <v>388</v>
      </c>
      <c r="AB60" s="30" t="s">
        <v>66</v>
      </c>
      <c r="AC60" s="30" t="s">
        <v>840</v>
      </c>
      <c r="AD60" s="30" t="s">
        <v>841</v>
      </c>
      <c r="AE60" s="30" t="s">
        <v>842</v>
      </c>
      <c r="AF60" s="30" t="s">
        <v>843</v>
      </c>
      <c r="AG60" s="30" t="s">
        <v>851</v>
      </c>
      <c r="AH60" s="30" t="s">
        <v>852</v>
      </c>
      <c r="AI60" s="30" t="s">
        <v>853</v>
      </c>
    </row>
    <row r="61">
      <c r="A61" s="30" t="s">
        <v>922</v>
      </c>
      <c r="B61" s="30" t="s">
        <v>267</v>
      </c>
      <c r="C61" s="31">
        <v>2018.0</v>
      </c>
      <c r="D61" s="30" t="s">
        <v>46</v>
      </c>
      <c r="E61" s="30" t="s">
        <v>860</v>
      </c>
      <c r="F61" s="30" t="s">
        <v>848</v>
      </c>
      <c r="G61" s="30" t="s">
        <v>825</v>
      </c>
      <c r="H61" s="30" t="s">
        <v>826</v>
      </c>
      <c r="I61" s="30" t="s">
        <v>827</v>
      </c>
      <c r="J61" s="30" t="s">
        <v>856</v>
      </c>
      <c r="K61" s="30" t="s">
        <v>829</v>
      </c>
      <c r="L61" s="30" t="s">
        <v>830</v>
      </c>
      <c r="M61" s="30" t="s">
        <v>79</v>
      </c>
      <c r="N61" s="30" t="s">
        <v>277</v>
      </c>
      <c r="O61" s="30" t="s">
        <v>832</v>
      </c>
      <c r="P61" s="30" t="s">
        <v>59</v>
      </c>
      <c r="Q61" s="30" t="s">
        <v>834</v>
      </c>
      <c r="R61" s="30" t="s">
        <v>188</v>
      </c>
      <c r="S61" s="30" t="s">
        <v>850</v>
      </c>
      <c r="T61" s="30" t="s">
        <v>835</v>
      </c>
      <c r="U61" s="30" t="s">
        <v>836</v>
      </c>
      <c r="V61" s="30" t="s">
        <v>837</v>
      </c>
      <c r="W61" s="30" t="s">
        <v>838</v>
      </c>
      <c r="X61" s="30" t="s">
        <v>839</v>
      </c>
      <c r="Y61" s="30" t="s">
        <v>63</v>
      </c>
      <c r="Z61" s="30" t="s">
        <v>147</v>
      </c>
      <c r="AA61" s="30" t="s">
        <v>101</v>
      </c>
      <c r="AB61" s="30" t="s">
        <v>118</v>
      </c>
      <c r="AC61" s="30" t="s">
        <v>900</v>
      </c>
      <c r="AD61" s="30" t="s">
        <v>841</v>
      </c>
      <c r="AE61" s="30" t="s">
        <v>842</v>
      </c>
      <c r="AF61" s="30" t="s">
        <v>843</v>
      </c>
      <c r="AG61" s="30" t="s">
        <v>844</v>
      </c>
      <c r="AH61" s="30" t="s">
        <v>852</v>
      </c>
      <c r="AI61" s="30" t="s">
        <v>853</v>
      </c>
    </row>
    <row r="62">
      <c r="A62" s="30" t="s">
        <v>923</v>
      </c>
      <c r="B62" s="30" t="s">
        <v>267</v>
      </c>
      <c r="C62" s="31">
        <v>2018.0</v>
      </c>
      <c r="D62" s="30" t="s">
        <v>46</v>
      </c>
      <c r="E62" s="30" t="s">
        <v>823</v>
      </c>
      <c r="F62" s="30" t="s">
        <v>848</v>
      </c>
      <c r="G62" s="30" t="s">
        <v>825</v>
      </c>
      <c r="H62" s="30" t="s">
        <v>826</v>
      </c>
      <c r="I62" s="30" t="s">
        <v>855</v>
      </c>
      <c r="J62" s="30" t="s">
        <v>828</v>
      </c>
      <c r="K62" s="30" t="s">
        <v>19</v>
      </c>
      <c r="L62" s="30" t="s">
        <v>849</v>
      </c>
      <c r="M62" s="30" t="s">
        <v>57</v>
      </c>
      <c r="N62" s="30" t="s">
        <v>831</v>
      </c>
      <c r="O62" s="30" t="s">
        <v>832</v>
      </c>
      <c r="P62" s="30" t="s">
        <v>833</v>
      </c>
      <c r="Q62" s="30" t="s">
        <v>834</v>
      </c>
      <c r="R62" s="30" t="s">
        <v>342</v>
      </c>
      <c r="S62" s="30" t="s">
        <v>357</v>
      </c>
      <c r="T62" s="30" t="s">
        <v>835</v>
      </c>
      <c r="U62" s="30" t="s">
        <v>836</v>
      </c>
      <c r="V62" s="30" t="s">
        <v>837</v>
      </c>
      <c r="W62" s="30" t="s">
        <v>857</v>
      </c>
      <c r="X62" s="30" t="s">
        <v>839</v>
      </c>
      <c r="Y62" s="30" t="s">
        <v>358</v>
      </c>
      <c r="Z62" s="30" t="s">
        <v>147</v>
      </c>
      <c r="AA62" s="30" t="s">
        <v>101</v>
      </c>
      <c r="AB62" s="30" t="s">
        <v>66</v>
      </c>
      <c r="AC62" s="30" t="s">
        <v>840</v>
      </c>
      <c r="AD62" s="30" t="s">
        <v>841</v>
      </c>
      <c r="AE62" s="30" t="s">
        <v>842</v>
      </c>
      <c r="AF62" s="30" t="s">
        <v>861</v>
      </c>
      <c r="AG62" s="30" t="s">
        <v>844</v>
      </c>
      <c r="AH62" s="30" t="s">
        <v>852</v>
      </c>
      <c r="AI62" s="30" t="s">
        <v>853</v>
      </c>
    </row>
    <row r="63">
      <c r="A63" s="30" t="s">
        <v>924</v>
      </c>
      <c r="B63" s="30" t="s">
        <v>150</v>
      </c>
      <c r="C63" s="31">
        <v>2018.0</v>
      </c>
      <c r="D63" s="30" t="s">
        <v>85</v>
      </c>
      <c r="E63" s="30" t="s">
        <v>823</v>
      </c>
      <c r="F63" s="30" t="s">
        <v>848</v>
      </c>
      <c r="G63" s="30" t="s">
        <v>825</v>
      </c>
      <c r="H63" s="30" t="s">
        <v>826</v>
      </c>
      <c r="I63" s="30" t="s">
        <v>855</v>
      </c>
      <c r="J63" s="30" t="s">
        <v>828</v>
      </c>
      <c r="K63" s="30" t="s">
        <v>19</v>
      </c>
      <c r="L63" s="30" t="s">
        <v>830</v>
      </c>
      <c r="M63" s="30" t="s">
        <v>79</v>
      </c>
      <c r="N63" s="30" t="s">
        <v>831</v>
      </c>
      <c r="O63" s="30" t="s">
        <v>832</v>
      </c>
      <c r="P63" s="30" t="s">
        <v>833</v>
      </c>
      <c r="Q63" s="30" t="s">
        <v>834</v>
      </c>
      <c r="R63" s="30" t="s">
        <v>493</v>
      </c>
      <c r="S63" s="30" t="s">
        <v>850</v>
      </c>
      <c r="T63" s="30" t="s">
        <v>99</v>
      </c>
      <c r="U63" s="30" t="s">
        <v>836</v>
      </c>
      <c r="V63" s="30" t="s">
        <v>837</v>
      </c>
      <c r="W63" s="30" t="s">
        <v>857</v>
      </c>
      <c r="X63" s="30" t="s">
        <v>839</v>
      </c>
      <c r="Y63" s="30" t="s">
        <v>63</v>
      </c>
      <c r="Z63" s="30" t="s">
        <v>64</v>
      </c>
      <c r="AA63" s="30" t="s">
        <v>101</v>
      </c>
      <c r="AB63" s="30" t="s">
        <v>148</v>
      </c>
      <c r="AC63" s="30" t="s">
        <v>840</v>
      </c>
      <c r="AD63" s="30" t="s">
        <v>841</v>
      </c>
      <c r="AE63" s="30" t="s">
        <v>864</v>
      </c>
      <c r="AF63" s="30" t="s">
        <v>861</v>
      </c>
      <c r="AG63" s="30" t="s">
        <v>851</v>
      </c>
      <c r="AH63" s="30" t="s">
        <v>852</v>
      </c>
      <c r="AI63" s="30" t="s">
        <v>853</v>
      </c>
    </row>
    <row r="64">
      <c r="A64" s="30" t="s">
        <v>925</v>
      </c>
      <c r="B64" s="30" t="s">
        <v>171</v>
      </c>
      <c r="C64" s="31">
        <v>2018.0</v>
      </c>
      <c r="D64" s="30" t="s">
        <v>85</v>
      </c>
      <c r="E64" s="30" t="s">
        <v>823</v>
      </c>
      <c r="F64" s="30" t="s">
        <v>848</v>
      </c>
      <c r="G64" s="30" t="s">
        <v>825</v>
      </c>
      <c r="H64" s="30" t="s">
        <v>826</v>
      </c>
      <c r="I64" s="30" t="s">
        <v>855</v>
      </c>
      <c r="J64" s="30" t="s">
        <v>856</v>
      </c>
      <c r="K64" s="30" t="s">
        <v>829</v>
      </c>
      <c r="L64" s="30" t="s">
        <v>830</v>
      </c>
      <c r="M64" s="30" t="s">
        <v>79</v>
      </c>
      <c r="N64" s="30" t="s">
        <v>23</v>
      </c>
      <c r="O64" s="30" t="s">
        <v>96</v>
      </c>
      <c r="P64" s="30" t="s">
        <v>833</v>
      </c>
      <c r="Q64" s="30" t="s">
        <v>834</v>
      </c>
      <c r="R64" s="30" t="s">
        <v>802</v>
      </c>
      <c r="S64" s="30" t="s">
        <v>850</v>
      </c>
      <c r="T64" s="30" t="s">
        <v>835</v>
      </c>
      <c r="U64" s="30" t="s">
        <v>836</v>
      </c>
      <c r="V64" s="30" t="s">
        <v>837</v>
      </c>
      <c r="W64" s="30" t="s">
        <v>838</v>
      </c>
      <c r="X64" s="30" t="s">
        <v>839</v>
      </c>
      <c r="Y64" s="30" t="s">
        <v>803</v>
      </c>
      <c r="Z64" s="30" t="s">
        <v>64</v>
      </c>
      <c r="AA64" s="30" t="s">
        <v>128</v>
      </c>
      <c r="AB64" s="30" t="s">
        <v>66</v>
      </c>
      <c r="AC64" s="30" t="s">
        <v>840</v>
      </c>
      <c r="AD64" s="30" t="s">
        <v>841</v>
      </c>
      <c r="AE64" s="30" t="s">
        <v>842</v>
      </c>
      <c r="AF64" s="30" t="s">
        <v>861</v>
      </c>
      <c r="AG64" s="30" t="s">
        <v>844</v>
      </c>
      <c r="AH64" s="30" t="s">
        <v>852</v>
      </c>
      <c r="AI64" s="30" t="s">
        <v>846</v>
      </c>
    </row>
    <row r="65">
      <c r="A65" s="30" t="s">
        <v>926</v>
      </c>
      <c r="B65" s="30" t="s">
        <v>103</v>
      </c>
      <c r="C65" s="31">
        <v>2018.0</v>
      </c>
      <c r="D65" s="30" t="s">
        <v>104</v>
      </c>
      <c r="E65" s="30" t="s">
        <v>823</v>
      </c>
      <c r="F65" s="30" t="s">
        <v>848</v>
      </c>
      <c r="G65" s="30" t="s">
        <v>896</v>
      </c>
      <c r="H65" s="30" t="s">
        <v>826</v>
      </c>
      <c r="I65" s="30" t="s">
        <v>855</v>
      </c>
      <c r="J65" s="30" t="s">
        <v>856</v>
      </c>
      <c r="K65" s="30" t="s">
        <v>829</v>
      </c>
      <c r="L65" s="30" t="s">
        <v>830</v>
      </c>
      <c r="M65" s="30" t="s">
        <v>79</v>
      </c>
      <c r="N65" s="30" t="s">
        <v>831</v>
      </c>
      <c r="O65" s="30" t="s">
        <v>832</v>
      </c>
      <c r="P65" s="30" t="s">
        <v>59</v>
      </c>
      <c r="Q65" s="30" t="s">
        <v>292</v>
      </c>
      <c r="R65" s="30" t="s">
        <v>810</v>
      </c>
      <c r="S65" s="30" t="s">
        <v>850</v>
      </c>
      <c r="T65" s="30" t="s">
        <v>835</v>
      </c>
      <c r="U65" s="30" t="s">
        <v>836</v>
      </c>
      <c r="V65" s="30" t="s">
        <v>837</v>
      </c>
      <c r="W65" s="30" t="s">
        <v>838</v>
      </c>
      <c r="X65" s="30" t="s">
        <v>839</v>
      </c>
      <c r="Y65" s="30" t="s">
        <v>811</v>
      </c>
      <c r="Z65" s="30" t="s">
        <v>64</v>
      </c>
      <c r="AA65" s="30" t="s">
        <v>157</v>
      </c>
      <c r="AB65" s="30" t="s">
        <v>66</v>
      </c>
      <c r="AC65" s="30" t="s">
        <v>840</v>
      </c>
      <c r="AD65" s="30" t="s">
        <v>875</v>
      </c>
      <c r="AE65" s="30" t="s">
        <v>842</v>
      </c>
      <c r="AF65" s="30" t="s">
        <v>843</v>
      </c>
      <c r="AG65" s="30" t="s">
        <v>851</v>
      </c>
      <c r="AH65" s="30" t="s">
        <v>845</v>
      </c>
      <c r="AI65" s="30" t="s">
        <v>846</v>
      </c>
    </row>
    <row r="66">
      <c r="A66" s="30" t="s">
        <v>927</v>
      </c>
      <c r="B66" s="30" t="s">
        <v>103</v>
      </c>
      <c r="C66" s="31">
        <v>2018.0</v>
      </c>
      <c r="D66" s="30" t="s">
        <v>85</v>
      </c>
      <c r="E66" s="30" t="s">
        <v>823</v>
      </c>
      <c r="F66" s="30" t="s">
        <v>848</v>
      </c>
      <c r="G66" s="30" t="s">
        <v>825</v>
      </c>
      <c r="H66" s="30" t="s">
        <v>826</v>
      </c>
      <c r="I66" s="30" t="s">
        <v>827</v>
      </c>
      <c r="J66" s="30" t="s">
        <v>856</v>
      </c>
      <c r="K66" s="30" t="s">
        <v>19</v>
      </c>
      <c r="L66" s="30" t="s">
        <v>830</v>
      </c>
      <c r="M66" s="30" t="s">
        <v>79</v>
      </c>
      <c r="N66" s="30" t="s">
        <v>23</v>
      </c>
      <c r="O66" s="30" t="s">
        <v>96</v>
      </c>
      <c r="P66" s="30" t="s">
        <v>59</v>
      </c>
      <c r="Q66" s="30" t="s">
        <v>820</v>
      </c>
      <c r="R66" s="30" t="s">
        <v>244</v>
      </c>
      <c r="S66" s="30" t="s">
        <v>850</v>
      </c>
      <c r="T66" s="30" t="s">
        <v>835</v>
      </c>
      <c r="U66" s="30" t="s">
        <v>836</v>
      </c>
      <c r="V66" s="30" t="s">
        <v>837</v>
      </c>
      <c r="W66" s="30" t="s">
        <v>838</v>
      </c>
      <c r="X66" s="30" t="s">
        <v>839</v>
      </c>
      <c r="Y66" s="30" t="s">
        <v>811</v>
      </c>
      <c r="Z66" s="30" t="s">
        <v>64</v>
      </c>
      <c r="AA66" s="30" t="s">
        <v>715</v>
      </c>
      <c r="AB66" s="30" t="s">
        <v>66</v>
      </c>
      <c r="AC66" s="30" t="s">
        <v>840</v>
      </c>
      <c r="AD66" s="30" t="s">
        <v>841</v>
      </c>
      <c r="AE66" s="30" t="s">
        <v>864</v>
      </c>
      <c r="AF66" s="30" t="s">
        <v>843</v>
      </c>
      <c r="AG66" s="30" t="s">
        <v>844</v>
      </c>
      <c r="AH66" s="30" t="s">
        <v>852</v>
      </c>
      <c r="AI66" s="30" t="s">
        <v>846</v>
      </c>
    </row>
    <row r="67">
      <c r="A67" s="30" t="s">
        <v>928</v>
      </c>
      <c r="B67" s="30" t="s">
        <v>256</v>
      </c>
      <c r="C67" s="31">
        <v>2018.0</v>
      </c>
      <c r="D67" s="30" t="s">
        <v>85</v>
      </c>
      <c r="E67" s="30" t="s">
        <v>823</v>
      </c>
      <c r="F67" s="30" t="s">
        <v>848</v>
      </c>
      <c r="G67" s="30" t="s">
        <v>825</v>
      </c>
      <c r="H67" s="30" t="s">
        <v>826</v>
      </c>
      <c r="I67" s="30" t="s">
        <v>855</v>
      </c>
      <c r="J67" s="30" t="s">
        <v>856</v>
      </c>
      <c r="K67" s="30" t="s">
        <v>829</v>
      </c>
      <c r="L67" s="30" t="s">
        <v>830</v>
      </c>
      <c r="M67" s="30" t="s">
        <v>79</v>
      </c>
      <c r="N67" s="30" t="s">
        <v>831</v>
      </c>
      <c r="O67" s="30" t="s">
        <v>832</v>
      </c>
      <c r="P67" s="30" t="s">
        <v>59</v>
      </c>
      <c r="Q67" s="30" t="s">
        <v>834</v>
      </c>
      <c r="R67" s="30" t="s">
        <v>127</v>
      </c>
      <c r="S67" s="30" t="s">
        <v>357</v>
      </c>
      <c r="T67" s="30" t="s">
        <v>835</v>
      </c>
      <c r="U67" s="30" t="s">
        <v>836</v>
      </c>
      <c r="V67" s="30" t="s">
        <v>837</v>
      </c>
      <c r="W67" s="30" t="s">
        <v>857</v>
      </c>
      <c r="X67" s="30" t="s">
        <v>839</v>
      </c>
      <c r="Y67" s="30" t="s">
        <v>100</v>
      </c>
      <c r="Z67" s="30" t="s">
        <v>64</v>
      </c>
      <c r="AA67" s="30" t="s">
        <v>101</v>
      </c>
      <c r="AB67" s="30" t="s">
        <v>102</v>
      </c>
      <c r="AC67" s="30" t="s">
        <v>840</v>
      </c>
      <c r="AD67" s="30" t="s">
        <v>841</v>
      </c>
      <c r="AE67" s="30" t="s">
        <v>842</v>
      </c>
      <c r="AF67" s="30" t="s">
        <v>843</v>
      </c>
      <c r="AG67" s="30" t="s">
        <v>851</v>
      </c>
      <c r="AH67" s="30" t="s">
        <v>845</v>
      </c>
      <c r="AI67" s="30" t="s">
        <v>846</v>
      </c>
    </row>
    <row r="68">
      <c r="A68" s="30" t="s">
        <v>929</v>
      </c>
      <c r="B68" s="30" t="s">
        <v>256</v>
      </c>
      <c r="C68" s="31">
        <v>2018.0</v>
      </c>
      <c r="D68" s="30" t="s">
        <v>85</v>
      </c>
      <c r="E68" s="30" t="s">
        <v>823</v>
      </c>
      <c r="F68" s="30" t="s">
        <v>848</v>
      </c>
      <c r="G68" s="30" t="s">
        <v>825</v>
      </c>
      <c r="H68" s="30" t="s">
        <v>826</v>
      </c>
      <c r="I68" s="30" t="s">
        <v>855</v>
      </c>
      <c r="J68" s="30" t="s">
        <v>856</v>
      </c>
      <c r="K68" s="30" t="s">
        <v>829</v>
      </c>
      <c r="L68" s="30" t="s">
        <v>830</v>
      </c>
      <c r="M68" s="30" t="s">
        <v>57</v>
      </c>
      <c r="N68" s="30" t="s">
        <v>831</v>
      </c>
      <c r="O68" s="30" t="s">
        <v>832</v>
      </c>
      <c r="P68" s="30" t="s">
        <v>833</v>
      </c>
      <c r="Q68" s="30" t="s">
        <v>834</v>
      </c>
      <c r="R68" s="30" t="s">
        <v>342</v>
      </c>
      <c r="S68" s="30" t="s">
        <v>850</v>
      </c>
      <c r="T68" s="30" t="s">
        <v>835</v>
      </c>
      <c r="U68" s="30" t="s">
        <v>836</v>
      </c>
      <c r="V68" s="30" t="s">
        <v>837</v>
      </c>
      <c r="W68" s="30" t="s">
        <v>838</v>
      </c>
      <c r="X68" s="30" t="s">
        <v>839</v>
      </c>
      <c r="Y68" s="30" t="s">
        <v>63</v>
      </c>
      <c r="Z68" s="30" t="s">
        <v>64</v>
      </c>
      <c r="AA68" s="30" t="s">
        <v>510</v>
      </c>
      <c r="AB68" s="30" t="s">
        <v>102</v>
      </c>
      <c r="AC68" s="30" t="s">
        <v>840</v>
      </c>
      <c r="AD68" s="30" t="s">
        <v>875</v>
      </c>
      <c r="AE68" s="30" t="s">
        <v>842</v>
      </c>
      <c r="AF68" s="30" t="s">
        <v>861</v>
      </c>
      <c r="AG68" s="30" t="s">
        <v>844</v>
      </c>
      <c r="AH68" s="30" t="s">
        <v>845</v>
      </c>
      <c r="AI68" s="30" t="s">
        <v>853</v>
      </c>
    </row>
    <row r="69">
      <c r="A69" s="30" t="s">
        <v>930</v>
      </c>
      <c r="B69" s="30" t="s">
        <v>171</v>
      </c>
      <c r="C69" s="31">
        <v>2018.0</v>
      </c>
      <c r="D69" s="30" t="s">
        <v>85</v>
      </c>
      <c r="E69" s="30" t="s">
        <v>860</v>
      </c>
      <c r="F69" s="30" t="s">
        <v>848</v>
      </c>
      <c r="G69" s="30" t="s">
        <v>825</v>
      </c>
      <c r="H69" s="30" t="s">
        <v>826</v>
      </c>
      <c r="I69" s="30" t="s">
        <v>855</v>
      </c>
      <c r="J69" s="30" t="s">
        <v>856</v>
      </c>
      <c r="K69" s="30" t="s">
        <v>829</v>
      </c>
      <c r="L69" s="30" t="s">
        <v>830</v>
      </c>
      <c r="M69" s="30" t="s">
        <v>79</v>
      </c>
      <c r="N69" s="30" t="s">
        <v>831</v>
      </c>
      <c r="O69" s="30" t="s">
        <v>832</v>
      </c>
      <c r="P69" s="30" t="s">
        <v>59</v>
      </c>
      <c r="Q69" s="30" t="s">
        <v>145</v>
      </c>
      <c r="R69" s="30" t="s">
        <v>180</v>
      </c>
      <c r="S69" s="30" t="s">
        <v>850</v>
      </c>
      <c r="T69" s="30" t="s">
        <v>835</v>
      </c>
      <c r="U69" s="30" t="s">
        <v>873</v>
      </c>
      <c r="V69" s="30" t="s">
        <v>837</v>
      </c>
      <c r="W69" s="30" t="s">
        <v>857</v>
      </c>
      <c r="X69" s="30" t="s">
        <v>839</v>
      </c>
      <c r="Y69" s="30" t="s">
        <v>181</v>
      </c>
      <c r="Z69" s="30" t="s">
        <v>64</v>
      </c>
      <c r="AA69" s="30" t="s">
        <v>157</v>
      </c>
      <c r="AB69" s="30" t="s">
        <v>118</v>
      </c>
      <c r="AC69" s="30" t="s">
        <v>840</v>
      </c>
      <c r="AD69" s="30" t="s">
        <v>841</v>
      </c>
      <c r="AE69" s="30" t="s">
        <v>842</v>
      </c>
      <c r="AF69" s="30" t="s">
        <v>843</v>
      </c>
      <c r="AG69" s="30" t="s">
        <v>844</v>
      </c>
      <c r="AH69" s="30" t="s">
        <v>845</v>
      </c>
      <c r="AI69" s="30" t="s">
        <v>853</v>
      </c>
    </row>
    <row r="70">
      <c r="A70" s="30" t="s">
        <v>931</v>
      </c>
      <c r="B70" s="30" t="s">
        <v>171</v>
      </c>
      <c r="C70" s="31">
        <v>2018.0</v>
      </c>
      <c r="D70" s="30" t="s">
        <v>46</v>
      </c>
      <c r="E70" s="30" t="s">
        <v>860</v>
      </c>
      <c r="F70" s="30" t="s">
        <v>848</v>
      </c>
      <c r="G70" s="30" t="s">
        <v>825</v>
      </c>
      <c r="H70" s="30" t="s">
        <v>826</v>
      </c>
      <c r="I70" s="30" t="s">
        <v>855</v>
      </c>
      <c r="J70" s="30" t="s">
        <v>856</v>
      </c>
      <c r="K70" s="30" t="s">
        <v>829</v>
      </c>
      <c r="L70" s="30" t="s">
        <v>830</v>
      </c>
      <c r="M70" s="30" t="s">
        <v>79</v>
      </c>
      <c r="N70" s="30" t="s">
        <v>831</v>
      </c>
      <c r="O70" s="30" t="s">
        <v>832</v>
      </c>
      <c r="P70" s="30" t="s">
        <v>59</v>
      </c>
      <c r="Q70" s="30" t="s">
        <v>60</v>
      </c>
      <c r="R70" s="30" t="s">
        <v>180</v>
      </c>
      <c r="S70" s="30" t="s">
        <v>850</v>
      </c>
      <c r="T70" s="30" t="s">
        <v>835</v>
      </c>
      <c r="U70" s="30" t="s">
        <v>873</v>
      </c>
      <c r="V70" s="30" t="s">
        <v>837</v>
      </c>
      <c r="W70" s="30" t="s">
        <v>857</v>
      </c>
      <c r="X70" s="30" t="s">
        <v>839</v>
      </c>
      <c r="Y70" s="30" t="s">
        <v>465</v>
      </c>
      <c r="Z70" s="30" t="s">
        <v>64</v>
      </c>
      <c r="AA70" s="30" t="s">
        <v>101</v>
      </c>
      <c r="AB70" s="30" t="s">
        <v>66</v>
      </c>
      <c r="AC70" s="30" t="s">
        <v>840</v>
      </c>
      <c r="AD70" s="30" t="s">
        <v>875</v>
      </c>
      <c r="AE70" s="30" t="s">
        <v>842</v>
      </c>
      <c r="AF70" s="30" t="s">
        <v>843</v>
      </c>
      <c r="AG70" s="30" t="s">
        <v>851</v>
      </c>
      <c r="AH70" s="30" t="s">
        <v>845</v>
      </c>
      <c r="AI70" s="30" t="s">
        <v>846</v>
      </c>
    </row>
    <row r="71">
      <c r="A71" s="30" t="s">
        <v>932</v>
      </c>
      <c r="B71" s="30" t="s">
        <v>171</v>
      </c>
      <c r="C71" s="31">
        <v>2018.0</v>
      </c>
      <c r="D71" s="30" t="s">
        <v>85</v>
      </c>
      <c r="E71" s="30" t="s">
        <v>860</v>
      </c>
      <c r="F71" s="30" t="s">
        <v>848</v>
      </c>
      <c r="G71" s="30" t="s">
        <v>825</v>
      </c>
      <c r="H71" s="30" t="s">
        <v>826</v>
      </c>
      <c r="I71" s="30" t="s">
        <v>827</v>
      </c>
      <c r="J71" s="30" t="s">
        <v>856</v>
      </c>
      <c r="K71" s="30" t="s">
        <v>829</v>
      </c>
      <c r="L71" s="30" t="s">
        <v>830</v>
      </c>
      <c r="M71" s="30" t="s">
        <v>231</v>
      </c>
      <c r="N71" s="30" t="s">
        <v>831</v>
      </c>
      <c r="O71" s="30" t="s">
        <v>832</v>
      </c>
      <c r="P71" s="30" t="s">
        <v>59</v>
      </c>
      <c r="Q71" s="30" t="s">
        <v>145</v>
      </c>
      <c r="R71" s="30" t="s">
        <v>180</v>
      </c>
      <c r="S71" s="30" t="s">
        <v>850</v>
      </c>
      <c r="T71" s="30" t="s">
        <v>835</v>
      </c>
      <c r="U71" s="30" t="s">
        <v>873</v>
      </c>
      <c r="V71" s="30" t="s">
        <v>837</v>
      </c>
      <c r="W71" s="30" t="s">
        <v>857</v>
      </c>
      <c r="X71" s="30" t="s">
        <v>839</v>
      </c>
      <c r="Y71" s="30" t="s">
        <v>465</v>
      </c>
      <c r="Z71" s="30" t="s">
        <v>64</v>
      </c>
      <c r="AA71" s="30" t="s">
        <v>101</v>
      </c>
      <c r="AB71" s="30" t="s">
        <v>83</v>
      </c>
      <c r="AC71" s="30" t="s">
        <v>840</v>
      </c>
      <c r="AD71" s="30" t="s">
        <v>841</v>
      </c>
      <c r="AE71" s="30" t="s">
        <v>864</v>
      </c>
      <c r="AF71" s="30" t="s">
        <v>843</v>
      </c>
      <c r="AG71" s="30" t="s">
        <v>851</v>
      </c>
      <c r="AH71" s="30" t="s">
        <v>845</v>
      </c>
      <c r="AI71" s="30" t="s">
        <v>846</v>
      </c>
    </row>
    <row r="72">
      <c r="A72" s="30" t="s">
        <v>933</v>
      </c>
      <c r="B72" s="30" t="s">
        <v>171</v>
      </c>
      <c r="C72" s="31">
        <v>2018.0</v>
      </c>
      <c r="D72" s="30" t="s">
        <v>85</v>
      </c>
      <c r="E72" s="30" t="s">
        <v>860</v>
      </c>
      <c r="F72" s="30" t="s">
        <v>848</v>
      </c>
      <c r="G72" s="30" t="s">
        <v>825</v>
      </c>
      <c r="H72" s="30" t="s">
        <v>826</v>
      </c>
      <c r="I72" s="30" t="s">
        <v>827</v>
      </c>
      <c r="J72" s="30" t="s">
        <v>856</v>
      </c>
      <c r="K72" s="30" t="s">
        <v>829</v>
      </c>
      <c r="L72" s="30" t="s">
        <v>830</v>
      </c>
      <c r="M72" s="30" t="s">
        <v>231</v>
      </c>
      <c r="N72" s="30" t="s">
        <v>277</v>
      </c>
      <c r="O72" s="30" t="s">
        <v>832</v>
      </c>
      <c r="P72" s="30" t="s">
        <v>385</v>
      </c>
      <c r="Q72" s="30" t="s">
        <v>508</v>
      </c>
      <c r="R72" s="30" t="s">
        <v>188</v>
      </c>
      <c r="S72" s="30" t="s">
        <v>850</v>
      </c>
      <c r="T72" s="30" t="s">
        <v>835</v>
      </c>
      <c r="U72" s="30" t="s">
        <v>836</v>
      </c>
      <c r="V72" s="30" t="s">
        <v>837</v>
      </c>
      <c r="W72" s="30" t="s">
        <v>838</v>
      </c>
      <c r="X72" s="30" t="s">
        <v>839</v>
      </c>
      <c r="Y72" s="30" t="s">
        <v>63</v>
      </c>
      <c r="Z72" s="30" t="s">
        <v>509</v>
      </c>
      <c r="AA72" s="30" t="s">
        <v>510</v>
      </c>
      <c r="AB72" s="30" t="s">
        <v>83</v>
      </c>
      <c r="AC72" s="30" t="s">
        <v>840</v>
      </c>
      <c r="AD72" s="30" t="s">
        <v>875</v>
      </c>
      <c r="AE72" s="30" t="s">
        <v>842</v>
      </c>
      <c r="AF72" s="30" t="s">
        <v>843</v>
      </c>
      <c r="AG72" s="30" t="s">
        <v>844</v>
      </c>
      <c r="AH72" s="30" t="s">
        <v>852</v>
      </c>
      <c r="AI72" s="30" t="s">
        <v>846</v>
      </c>
    </row>
    <row r="73">
      <c r="A73" s="30" t="s">
        <v>934</v>
      </c>
      <c r="B73" s="30" t="s">
        <v>171</v>
      </c>
      <c r="C73" s="31">
        <v>2018.0</v>
      </c>
      <c r="D73" s="30" t="s">
        <v>85</v>
      </c>
      <c r="E73" s="30" t="s">
        <v>860</v>
      </c>
      <c r="F73" s="30" t="s">
        <v>848</v>
      </c>
      <c r="G73" s="30" t="s">
        <v>825</v>
      </c>
      <c r="H73" s="30" t="s">
        <v>826</v>
      </c>
      <c r="I73" s="30" t="s">
        <v>855</v>
      </c>
      <c r="J73" s="30" t="s">
        <v>856</v>
      </c>
      <c r="K73" s="30" t="s">
        <v>829</v>
      </c>
      <c r="L73" s="30" t="s">
        <v>830</v>
      </c>
      <c r="M73" s="30" t="s">
        <v>79</v>
      </c>
      <c r="N73" s="30" t="s">
        <v>831</v>
      </c>
      <c r="O73" s="30" t="s">
        <v>832</v>
      </c>
      <c r="P73" s="30" t="s">
        <v>533</v>
      </c>
      <c r="Q73" s="30" t="s">
        <v>534</v>
      </c>
      <c r="R73" s="30" t="s">
        <v>180</v>
      </c>
      <c r="S73" s="30" t="s">
        <v>850</v>
      </c>
      <c r="T73" s="30" t="s">
        <v>835</v>
      </c>
      <c r="U73" s="30" t="s">
        <v>836</v>
      </c>
      <c r="V73" s="30" t="s">
        <v>30</v>
      </c>
      <c r="W73" s="30" t="s">
        <v>857</v>
      </c>
      <c r="X73" s="30" t="s">
        <v>839</v>
      </c>
      <c r="Y73" s="30" t="s">
        <v>465</v>
      </c>
      <c r="Z73" s="30" t="s">
        <v>64</v>
      </c>
      <c r="AA73" s="30" t="s">
        <v>535</v>
      </c>
      <c r="AB73" s="30" t="s">
        <v>66</v>
      </c>
      <c r="AC73" s="30" t="s">
        <v>840</v>
      </c>
      <c r="AD73" s="30" t="s">
        <v>841</v>
      </c>
      <c r="AE73" s="30" t="s">
        <v>864</v>
      </c>
      <c r="AF73" s="30" t="s">
        <v>843</v>
      </c>
      <c r="AG73" s="30" t="s">
        <v>844</v>
      </c>
      <c r="AH73" s="30" t="s">
        <v>845</v>
      </c>
      <c r="AI73" s="30" t="s">
        <v>846</v>
      </c>
    </row>
    <row r="74">
      <c r="A74" s="30" t="s">
        <v>935</v>
      </c>
      <c r="B74" s="30" t="s">
        <v>171</v>
      </c>
      <c r="C74" s="31">
        <v>2018.0</v>
      </c>
      <c r="D74" s="30" t="s">
        <v>85</v>
      </c>
      <c r="E74" s="30" t="s">
        <v>823</v>
      </c>
      <c r="F74" s="30" t="s">
        <v>848</v>
      </c>
      <c r="G74" s="30" t="s">
        <v>825</v>
      </c>
      <c r="H74" s="30" t="s">
        <v>869</v>
      </c>
      <c r="I74" s="30" t="s">
        <v>855</v>
      </c>
      <c r="J74" s="30" t="s">
        <v>856</v>
      </c>
      <c r="K74" s="30" t="s">
        <v>829</v>
      </c>
      <c r="L74" s="30" t="s">
        <v>830</v>
      </c>
      <c r="M74" s="30" t="s">
        <v>79</v>
      </c>
      <c r="N74" s="30" t="s">
        <v>277</v>
      </c>
      <c r="O74" s="30" t="s">
        <v>832</v>
      </c>
      <c r="P74" s="30" t="s">
        <v>59</v>
      </c>
      <c r="Q74" s="30" t="s">
        <v>97</v>
      </c>
      <c r="R74" s="30" t="s">
        <v>127</v>
      </c>
      <c r="S74" s="30" t="s">
        <v>850</v>
      </c>
      <c r="T74" s="30" t="s">
        <v>835</v>
      </c>
      <c r="U74" s="30" t="s">
        <v>836</v>
      </c>
      <c r="V74" s="30" t="s">
        <v>837</v>
      </c>
      <c r="W74" s="30" t="s">
        <v>838</v>
      </c>
      <c r="X74" s="30" t="s">
        <v>839</v>
      </c>
      <c r="Y74" s="30" t="s">
        <v>63</v>
      </c>
      <c r="Z74" s="30" t="s">
        <v>147</v>
      </c>
      <c r="AA74" s="30" t="s">
        <v>553</v>
      </c>
      <c r="AB74" s="30" t="s">
        <v>102</v>
      </c>
      <c r="AC74" s="30" t="s">
        <v>840</v>
      </c>
      <c r="AD74" s="30" t="s">
        <v>841</v>
      </c>
      <c r="AE74" s="30" t="s">
        <v>864</v>
      </c>
      <c r="AF74" s="30" t="s">
        <v>843</v>
      </c>
      <c r="AG74" s="30" t="s">
        <v>844</v>
      </c>
      <c r="AH74" s="30" t="s">
        <v>852</v>
      </c>
      <c r="AI74" s="30" t="s">
        <v>846</v>
      </c>
    </row>
    <row r="75">
      <c r="A75" s="30" t="s">
        <v>936</v>
      </c>
      <c r="B75" s="30" t="s">
        <v>171</v>
      </c>
      <c r="C75" s="31">
        <v>2018.0</v>
      </c>
      <c r="D75" s="30" t="s">
        <v>85</v>
      </c>
      <c r="E75" s="30" t="s">
        <v>823</v>
      </c>
      <c r="F75" s="30" t="s">
        <v>848</v>
      </c>
      <c r="G75" s="30" t="s">
        <v>825</v>
      </c>
      <c r="H75" s="30" t="s">
        <v>826</v>
      </c>
      <c r="I75" s="30" t="s">
        <v>855</v>
      </c>
      <c r="J75" s="30" t="s">
        <v>856</v>
      </c>
      <c r="K75" s="30" t="s">
        <v>829</v>
      </c>
      <c r="L75" s="30" t="s">
        <v>830</v>
      </c>
      <c r="M75" s="30" t="s">
        <v>79</v>
      </c>
      <c r="N75" s="30" t="s">
        <v>404</v>
      </c>
      <c r="O75" s="30" t="s">
        <v>405</v>
      </c>
      <c r="P75" s="30" t="s">
        <v>385</v>
      </c>
      <c r="Q75" s="30" t="s">
        <v>603</v>
      </c>
      <c r="R75" s="30" t="s">
        <v>180</v>
      </c>
      <c r="S75" s="30" t="s">
        <v>850</v>
      </c>
      <c r="T75" s="30" t="s">
        <v>835</v>
      </c>
      <c r="U75" s="30" t="s">
        <v>836</v>
      </c>
      <c r="V75" s="30" t="s">
        <v>837</v>
      </c>
      <c r="W75" s="30" t="s">
        <v>857</v>
      </c>
      <c r="X75" s="30" t="s">
        <v>483</v>
      </c>
      <c r="Y75" s="30" t="s">
        <v>604</v>
      </c>
      <c r="Z75" s="30" t="s">
        <v>64</v>
      </c>
      <c r="AA75" s="30" t="s">
        <v>128</v>
      </c>
      <c r="AB75" s="30" t="s">
        <v>158</v>
      </c>
      <c r="AC75" s="30" t="s">
        <v>840</v>
      </c>
      <c r="AD75" s="30" t="s">
        <v>875</v>
      </c>
      <c r="AE75" s="30" t="s">
        <v>842</v>
      </c>
      <c r="AF75" s="30" t="s">
        <v>843</v>
      </c>
      <c r="AG75" s="30" t="s">
        <v>844</v>
      </c>
      <c r="AH75" s="30" t="s">
        <v>852</v>
      </c>
      <c r="AI75" s="30" t="s">
        <v>846</v>
      </c>
    </row>
    <row r="76">
      <c r="A76" s="30" t="s">
        <v>937</v>
      </c>
      <c r="B76" s="30" t="s">
        <v>84</v>
      </c>
      <c r="C76" s="31">
        <v>2018.0</v>
      </c>
      <c r="D76" s="30" t="s">
        <v>85</v>
      </c>
      <c r="E76" s="30" t="s">
        <v>860</v>
      </c>
      <c r="F76" s="30" t="s">
        <v>848</v>
      </c>
      <c r="G76" s="30" t="s">
        <v>825</v>
      </c>
      <c r="H76" s="30" t="s">
        <v>826</v>
      </c>
      <c r="I76" s="30" t="s">
        <v>855</v>
      </c>
      <c r="J76" s="30" t="s">
        <v>856</v>
      </c>
      <c r="K76" s="30" t="s">
        <v>829</v>
      </c>
      <c r="L76" s="30" t="s">
        <v>830</v>
      </c>
      <c r="M76" s="30" t="s">
        <v>79</v>
      </c>
      <c r="N76" s="30" t="s">
        <v>23</v>
      </c>
      <c r="O76" s="30" t="s">
        <v>96</v>
      </c>
      <c r="P76" s="30" t="s">
        <v>59</v>
      </c>
      <c r="Q76" s="30" t="s">
        <v>97</v>
      </c>
      <c r="R76" s="30" t="s">
        <v>98</v>
      </c>
      <c r="S76" s="30" t="s">
        <v>850</v>
      </c>
      <c r="T76" s="30" t="s">
        <v>99</v>
      </c>
      <c r="U76" s="30" t="s">
        <v>836</v>
      </c>
      <c r="V76" s="30" t="s">
        <v>837</v>
      </c>
      <c r="W76" s="30" t="s">
        <v>857</v>
      </c>
      <c r="X76" s="30" t="s">
        <v>839</v>
      </c>
      <c r="Y76" s="30" t="s">
        <v>100</v>
      </c>
      <c r="Z76" s="30" t="s">
        <v>64</v>
      </c>
      <c r="AA76" s="30" t="s">
        <v>101</v>
      </c>
      <c r="AB76" s="30" t="s">
        <v>102</v>
      </c>
      <c r="AC76" s="30" t="s">
        <v>900</v>
      </c>
      <c r="AD76" s="30" t="s">
        <v>841</v>
      </c>
      <c r="AE76" s="30" t="s">
        <v>842</v>
      </c>
      <c r="AF76" s="30" t="s">
        <v>843</v>
      </c>
      <c r="AG76" s="30" t="s">
        <v>844</v>
      </c>
      <c r="AH76" s="30" t="s">
        <v>852</v>
      </c>
      <c r="AI76" s="30" t="s">
        <v>853</v>
      </c>
    </row>
    <row r="77">
      <c r="A77" s="30" t="s">
        <v>938</v>
      </c>
      <c r="B77" s="30" t="s">
        <v>84</v>
      </c>
      <c r="C77" s="31">
        <v>2018.0</v>
      </c>
      <c r="D77" s="30" t="s">
        <v>85</v>
      </c>
      <c r="E77" s="30" t="s">
        <v>823</v>
      </c>
      <c r="F77" s="30" t="s">
        <v>848</v>
      </c>
      <c r="G77" s="30" t="s">
        <v>896</v>
      </c>
      <c r="H77" s="30" t="s">
        <v>826</v>
      </c>
      <c r="I77" s="30" t="s">
        <v>827</v>
      </c>
      <c r="J77" s="30" t="s">
        <v>828</v>
      </c>
      <c r="K77" s="30" t="s">
        <v>19</v>
      </c>
      <c r="L77" s="30" t="s">
        <v>849</v>
      </c>
      <c r="M77" s="30" t="s">
        <v>79</v>
      </c>
      <c r="N77" s="30" t="s">
        <v>23</v>
      </c>
      <c r="O77" s="30" t="s">
        <v>96</v>
      </c>
      <c r="P77" s="30" t="s">
        <v>59</v>
      </c>
      <c r="Q77" s="30" t="s">
        <v>97</v>
      </c>
      <c r="R77" s="30" t="s">
        <v>169</v>
      </c>
      <c r="S77" s="30" t="s">
        <v>850</v>
      </c>
      <c r="T77" s="30" t="s">
        <v>835</v>
      </c>
      <c r="U77" s="30" t="s">
        <v>836</v>
      </c>
      <c r="V77" s="30" t="s">
        <v>837</v>
      </c>
      <c r="W77" s="30" t="s">
        <v>838</v>
      </c>
      <c r="X77" s="30" t="s">
        <v>839</v>
      </c>
      <c r="Y77" s="30" t="s">
        <v>170</v>
      </c>
      <c r="Z77" s="30" t="s">
        <v>64</v>
      </c>
      <c r="AA77" s="30" t="s">
        <v>101</v>
      </c>
      <c r="AB77" s="30" t="s">
        <v>158</v>
      </c>
      <c r="AC77" s="30" t="s">
        <v>840</v>
      </c>
      <c r="AD77" s="30" t="s">
        <v>841</v>
      </c>
      <c r="AE77" s="30" t="s">
        <v>842</v>
      </c>
      <c r="AF77" s="30" t="s">
        <v>843</v>
      </c>
      <c r="AG77" s="30" t="s">
        <v>851</v>
      </c>
      <c r="AH77" s="30" t="s">
        <v>852</v>
      </c>
      <c r="AI77" s="30" t="s">
        <v>853</v>
      </c>
    </row>
    <row r="78">
      <c r="A78" s="30" t="s">
        <v>939</v>
      </c>
      <c r="B78" s="30" t="s">
        <v>84</v>
      </c>
      <c r="C78" s="31">
        <v>2018.0</v>
      </c>
      <c r="D78" s="30" t="s">
        <v>85</v>
      </c>
      <c r="E78" s="30" t="s">
        <v>823</v>
      </c>
      <c r="F78" s="30" t="s">
        <v>848</v>
      </c>
      <c r="G78" s="30" t="s">
        <v>825</v>
      </c>
      <c r="H78" s="30" t="s">
        <v>826</v>
      </c>
      <c r="I78" s="30" t="s">
        <v>855</v>
      </c>
      <c r="J78" s="30" t="s">
        <v>828</v>
      </c>
      <c r="K78" s="30" t="s">
        <v>19</v>
      </c>
      <c r="L78" s="30" t="s">
        <v>849</v>
      </c>
      <c r="M78" s="30" t="s">
        <v>79</v>
      </c>
      <c r="N78" s="30" t="s">
        <v>23</v>
      </c>
      <c r="O78" s="30" t="s">
        <v>224</v>
      </c>
      <c r="P78" s="30" t="s">
        <v>59</v>
      </c>
      <c r="Q78" s="30" t="s">
        <v>145</v>
      </c>
      <c r="R78" s="30" t="s">
        <v>225</v>
      </c>
      <c r="S78" s="30" t="s">
        <v>850</v>
      </c>
      <c r="T78" s="30" t="s">
        <v>99</v>
      </c>
      <c r="U78" s="30" t="s">
        <v>836</v>
      </c>
      <c r="V78" s="30" t="s">
        <v>837</v>
      </c>
      <c r="W78" s="30" t="s">
        <v>857</v>
      </c>
      <c r="X78" s="30" t="s">
        <v>839</v>
      </c>
      <c r="Y78" s="30" t="s">
        <v>100</v>
      </c>
      <c r="Z78" s="30" t="s">
        <v>64</v>
      </c>
      <c r="AA78" s="30" t="s">
        <v>65</v>
      </c>
      <c r="AB78" s="30" t="s">
        <v>66</v>
      </c>
      <c r="AC78" s="30" t="s">
        <v>900</v>
      </c>
      <c r="AD78" s="30" t="s">
        <v>841</v>
      </c>
      <c r="AE78" s="30" t="s">
        <v>842</v>
      </c>
      <c r="AF78" s="30" t="s">
        <v>843</v>
      </c>
      <c r="AG78" s="30" t="s">
        <v>844</v>
      </c>
      <c r="AH78" s="30" t="s">
        <v>852</v>
      </c>
      <c r="AI78" s="30" t="s">
        <v>853</v>
      </c>
    </row>
    <row r="79">
      <c r="A79" s="30" t="s">
        <v>940</v>
      </c>
      <c r="B79" s="30" t="s">
        <v>84</v>
      </c>
      <c r="C79" s="31">
        <v>2018.0</v>
      </c>
      <c r="D79" s="30" t="s">
        <v>85</v>
      </c>
      <c r="E79" s="30" t="s">
        <v>860</v>
      </c>
      <c r="F79" s="30" t="s">
        <v>848</v>
      </c>
      <c r="G79" s="30" t="s">
        <v>896</v>
      </c>
      <c r="H79" s="30" t="s">
        <v>826</v>
      </c>
      <c r="I79" s="30" t="s">
        <v>827</v>
      </c>
      <c r="J79" s="30" t="s">
        <v>828</v>
      </c>
      <c r="K79" s="30" t="s">
        <v>19</v>
      </c>
      <c r="L79" s="30" t="s">
        <v>849</v>
      </c>
      <c r="M79" s="30" t="s">
        <v>57</v>
      </c>
      <c r="N79" s="30" t="s">
        <v>23</v>
      </c>
      <c r="O79" s="30" t="s">
        <v>96</v>
      </c>
      <c r="P79" s="30" t="s">
        <v>59</v>
      </c>
      <c r="Q79" s="30" t="s">
        <v>145</v>
      </c>
      <c r="R79" s="30" t="s">
        <v>211</v>
      </c>
      <c r="S79" s="30" t="s">
        <v>850</v>
      </c>
      <c r="T79" s="30" t="s">
        <v>99</v>
      </c>
      <c r="U79" s="30" t="s">
        <v>836</v>
      </c>
      <c r="V79" s="30" t="s">
        <v>837</v>
      </c>
      <c r="W79" s="30" t="s">
        <v>857</v>
      </c>
      <c r="X79" s="30" t="s">
        <v>839</v>
      </c>
      <c r="Y79" s="30" t="s">
        <v>442</v>
      </c>
      <c r="Z79" s="30" t="s">
        <v>64</v>
      </c>
      <c r="AA79" s="30" t="s">
        <v>101</v>
      </c>
      <c r="AB79" s="30" t="s">
        <v>66</v>
      </c>
      <c r="AC79" s="30" t="s">
        <v>840</v>
      </c>
      <c r="AD79" s="30" t="s">
        <v>841</v>
      </c>
      <c r="AE79" s="30" t="s">
        <v>842</v>
      </c>
      <c r="AF79" s="30" t="s">
        <v>843</v>
      </c>
      <c r="AG79" s="30" t="s">
        <v>851</v>
      </c>
      <c r="AH79" s="30" t="s">
        <v>852</v>
      </c>
      <c r="AI79" s="30" t="s">
        <v>846</v>
      </c>
    </row>
    <row r="80">
      <c r="A80" s="30" t="s">
        <v>941</v>
      </c>
      <c r="B80" s="30" t="s">
        <v>84</v>
      </c>
      <c r="C80" s="31">
        <v>2018.0</v>
      </c>
      <c r="D80" s="30" t="s">
        <v>85</v>
      </c>
      <c r="E80" s="30" t="s">
        <v>860</v>
      </c>
      <c r="F80" s="30" t="s">
        <v>848</v>
      </c>
      <c r="G80" s="30" t="s">
        <v>825</v>
      </c>
      <c r="H80" s="30" t="s">
        <v>826</v>
      </c>
      <c r="I80" s="30" t="s">
        <v>855</v>
      </c>
      <c r="J80" s="30" t="s">
        <v>856</v>
      </c>
      <c r="K80" s="30" t="s">
        <v>829</v>
      </c>
      <c r="L80" s="30" t="s">
        <v>830</v>
      </c>
      <c r="M80" s="30" t="s">
        <v>231</v>
      </c>
      <c r="N80" s="30" t="s">
        <v>23</v>
      </c>
      <c r="O80" s="30" t="s">
        <v>614</v>
      </c>
      <c r="P80" s="30" t="s">
        <v>59</v>
      </c>
      <c r="Q80" s="30" t="s">
        <v>265</v>
      </c>
      <c r="R80" s="30" t="s">
        <v>127</v>
      </c>
      <c r="S80" s="30" t="s">
        <v>850</v>
      </c>
      <c r="T80" s="30" t="s">
        <v>99</v>
      </c>
      <c r="U80" s="30" t="s">
        <v>836</v>
      </c>
      <c r="V80" s="30" t="s">
        <v>837</v>
      </c>
      <c r="W80" s="30" t="s">
        <v>857</v>
      </c>
      <c r="X80" s="30" t="s">
        <v>839</v>
      </c>
      <c r="Y80" s="30" t="s">
        <v>100</v>
      </c>
      <c r="Z80" s="30" t="s">
        <v>147</v>
      </c>
      <c r="AA80" s="30" t="s">
        <v>65</v>
      </c>
      <c r="AB80" s="30" t="s">
        <v>66</v>
      </c>
      <c r="AC80" s="30" t="s">
        <v>900</v>
      </c>
      <c r="AD80" s="30" t="s">
        <v>841</v>
      </c>
      <c r="AE80" s="30" t="s">
        <v>842</v>
      </c>
      <c r="AF80" s="30" t="s">
        <v>843</v>
      </c>
      <c r="AG80" s="30" t="s">
        <v>844</v>
      </c>
      <c r="AH80" s="30" t="s">
        <v>852</v>
      </c>
      <c r="AI80" s="30" t="s">
        <v>853</v>
      </c>
    </row>
    <row r="81">
      <c r="A81" s="30" t="s">
        <v>942</v>
      </c>
      <c r="B81" s="30" t="s">
        <v>69</v>
      </c>
      <c r="C81" s="31">
        <v>2018.0</v>
      </c>
      <c r="D81" s="30" t="s">
        <v>46</v>
      </c>
      <c r="E81" s="30" t="s">
        <v>860</v>
      </c>
      <c r="F81" s="30" t="s">
        <v>848</v>
      </c>
      <c r="G81" s="30" t="s">
        <v>825</v>
      </c>
      <c r="H81" s="30" t="s">
        <v>826</v>
      </c>
      <c r="I81" s="30" t="s">
        <v>827</v>
      </c>
      <c r="J81" s="30" t="s">
        <v>828</v>
      </c>
      <c r="K81" s="30" t="s">
        <v>19</v>
      </c>
      <c r="L81" s="30" t="s">
        <v>849</v>
      </c>
      <c r="M81" s="30" t="s">
        <v>57</v>
      </c>
      <c r="N81" s="30" t="s">
        <v>80</v>
      </c>
      <c r="O81" s="30" t="s">
        <v>832</v>
      </c>
      <c r="P81" s="30" t="s">
        <v>59</v>
      </c>
      <c r="Q81" s="30" t="s">
        <v>265</v>
      </c>
      <c r="R81" s="30" t="s">
        <v>244</v>
      </c>
      <c r="S81" s="30" t="s">
        <v>850</v>
      </c>
      <c r="T81" s="30" t="s">
        <v>835</v>
      </c>
      <c r="U81" s="30" t="s">
        <v>836</v>
      </c>
      <c r="V81" s="30" t="s">
        <v>837</v>
      </c>
      <c r="W81" s="30" t="s">
        <v>838</v>
      </c>
      <c r="X81" s="30" t="s">
        <v>839</v>
      </c>
      <c r="Y81" s="30" t="s">
        <v>63</v>
      </c>
      <c r="Z81" s="30" t="s">
        <v>147</v>
      </c>
      <c r="AA81" s="30" t="s">
        <v>117</v>
      </c>
      <c r="AB81" s="30" t="s">
        <v>158</v>
      </c>
      <c r="AC81" s="30" t="s">
        <v>900</v>
      </c>
      <c r="AD81" s="30" t="s">
        <v>841</v>
      </c>
      <c r="AE81" s="30" t="s">
        <v>842</v>
      </c>
      <c r="AF81" s="30" t="s">
        <v>843</v>
      </c>
      <c r="AG81" s="30" t="s">
        <v>844</v>
      </c>
      <c r="AH81" s="30" t="s">
        <v>852</v>
      </c>
      <c r="AI81" s="30" t="s">
        <v>853</v>
      </c>
    </row>
    <row r="82">
      <c r="A82" s="30" t="s">
        <v>68</v>
      </c>
      <c r="B82" s="30" t="s">
        <v>69</v>
      </c>
      <c r="C82" s="31">
        <v>2018.0</v>
      </c>
      <c r="D82" s="30" t="s">
        <v>46</v>
      </c>
      <c r="E82" s="30" t="s">
        <v>823</v>
      </c>
      <c r="F82" s="30" t="s">
        <v>848</v>
      </c>
      <c r="G82" s="30" t="s">
        <v>825</v>
      </c>
      <c r="H82" s="30" t="s">
        <v>826</v>
      </c>
      <c r="I82" s="30" t="s">
        <v>855</v>
      </c>
      <c r="J82" s="30" t="s">
        <v>828</v>
      </c>
      <c r="K82" s="30" t="s">
        <v>19</v>
      </c>
      <c r="L82" s="30" t="s">
        <v>830</v>
      </c>
      <c r="M82" s="30" t="s">
        <v>79</v>
      </c>
      <c r="N82" s="30" t="s">
        <v>80</v>
      </c>
      <c r="O82" s="30" t="s">
        <v>832</v>
      </c>
      <c r="P82" s="30" t="s">
        <v>59</v>
      </c>
      <c r="Q82" s="30" t="s">
        <v>60</v>
      </c>
      <c r="R82" s="30" t="s">
        <v>81</v>
      </c>
      <c r="S82" s="30" t="s">
        <v>850</v>
      </c>
      <c r="T82" s="30" t="s">
        <v>835</v>
      </c>
      <c r="U82" s="30" t="s">
        <v>836</v>
      </c>
      <c r="V82" s="30" t="s">
        <v>30</v>
      </c>
      <c r="W82" s="30" t="s">
        <v>857</v>
      </c>
      <c r="X82" s="30" t="s">
        <v>839</v>
      </c>
      <c r="Y82" s="30" t="s">
        <v>82</v>
      </c>
      <c r="Z82" s="30" t="s">
        <v>64</v>
      </c>
      <c r="AA82" s="30" t="s">
        <v>65</v>
      </c>
      <c r="AB82" s="30" t="s">
        <v>83</v>
      </c>
      <c r="AC82" s="30" t="s">
        <v>840</v>
      </c>
      <c r="AD82" s="30" t="s">
        <v>841</v>
      </c>
      <c r="AE82" s="30" t="s">
        <v>842</v>
      </c>
      <c r="AF82" s="30" t="s">
        <v>843</v>
      </c>
      <c r="AG82" s="30" t="s">
        <v>851</v>
      </c>
      <c r="AH82" s="30" t="s">
        <v>852</v>
      </c>
      <c r="AI82" s="30" t="s">
        <v>853</v>
      </c>
    </row>
    <row r="83">
      <c r="A83" s="30" t="s">
        <v>943</v>
      </c>
      <c r="B83" s="30" t="s">
        <v>84</v>
      </c>
      <c r="C83" s="31">
        <v>2018.0</v>
      </c>
      <c r="D83" s="30" t="s">
        <v>85</v>
      </c>
      <c r="E83" s="30" t="s">
        <v>860</v>
      </c>
      <c r="F83" s="30" t="s">
        <v>848</v>
      </c>
      <c r="G83" s="30" t="s">
        <v>825</v>
      </c>
      <c r="H83" s="30" t="s">
        <v>826</v>
      </c>
      <c r="I83" s="30" t="s">
        <v>827</v>
      </c>
      <c r="J83" s="30" t="s">
        <v>828</v>
      </c>
      <c r="K83" s="30" t="s">
        <v>829</v>
      </c>
      <c r="L83" s="30" t="s">
        <v>830</v>
      </c>
      <c r="M83" s="30" t="s">
        <v>231</v>
      </c>
      <c r="N83" s="30" t="s">
        <v>23</v>
      </c>
      <c r="O83" s="30" t="s">
        <v>224</v>
      </c>
      <c r="P83" s="30" t="s">
        <v>59</v>
      </c>
      <c r="Q83" s="30" t="s">
        <v>265</v>
      </c>
      <c r="R83" s="30" t="s">
        <v>81</v>
      </c>
      <c r="S83" s="30" t="s">
        <v>850</v>
      </c>
      <c r="T83" s="30" t="s">
        <v>835</v>
      </c>
      <c r="U83" s="30" t="s">
        <v>836</v>
      </c>
      <c r="V83" s="30" t="s">
        <v>30</v>
      </c>
      <c r="W83" s="30" t="s">
        <v>857</v>
      </c>
      <c r="X83" s="30" t="s">
        <v>839</v>
      </c>
      <c r="Y83" s="30" t="s">
        <v>100</v>
      </c>
      <c r="Z83" s="30" t="s">
        <v>64</v>
      </c>
      <c r="AA83" s="30" t="s">
        <v>65</v>
      </c>
      <c r="AB83" s="30" t="s">
        <v>66</v>
      </c>
      <c r="AC83" s="30" t="s">
        <v>900</v>
      </c>
      <c r="AD83" s="30" t="s">
        <v>841</v>
      </c>
      <c r="AE83" s="30" t="s">
        <v>842</v>
      </c>
      <c r="AF83" s="30" t="s">
        <v>843</v>
      </c>
      <c r="AG83" s="30" t="s">
        <v>844</v>
      </c>
      <c r="AH83" s="30" t="s">
        <v>852</v>
      </c>
      <c r="AI83" s="30" t="s">
        <v>853</v>
      </c>
    </row>
    <row r="84">
      <c r="A84" s="30" t="s">
        <v>944</v>
      </c>
      <c r="B84" s="30" t="s">
        <v>586</v>
      </c>
      <c r="C84" s="31">
        <v>2019.0</v>
      </c>
      <c r="D84" s="30" t="s">
        <v>46</v>
      </c>
      <c r="E84" s="30" t="s">
        <v>823</v>
      </c>
      <c r="F84" s="30" t="s">
        <v>824</v>
      </c>
      <c r="G84" s="30" t="s">
        <v>825</v>
      </c>
      <c r="H84" s="30" t="s">
        <v>826</v>
      </c>
      <c r="I84" s="30" t="s">
        <v>827</v>
      </c>
      <c r="J84" s="30" t="s">
        <v>856</v>
      </c>
      <c r="K84" s="30" t="s">
        <v>829</v>
      </c>
      <c r="L84" s="30" t="s">
        <v>830</v>
      </c>
      <c r="M84" s="30" t="s">
        <v>79</v>
      </c>
      <c r="N84" s="30" t="s">
        <v>23</v>
      </c>
      <c r="O84" s="30" t="s">
        <v>96</v>
      </c>
      <c r="P84" s="30" t="s">
        <v>59</v>
      </c>
      <c r="Q84" s="30" t="s">
        <v>145</v>
      </c>
      <c r="R84" s="30" t="s">
        <v>146</v>
      </c>
      <c r="S84" s="30" t="s">
        <v>850</v>
      </c>
      <c r="T84" s="30" t="s">
        <v>835</v>
      </c>
      <c r="U84" s="30" t="s">
        <v>836</v>
      </c>
      <c r="V84" s="30" t="s">
        <v>837</v>
      </c>
      <c r="W84" s="30" t="s">
        <v>838</v>
      </c>
      <c r="X84" s="30" t="s">
        <v>839</v>
      </c>
      <c r="Y84" s="30" t="s">
        <v>595</v>
      </c>
      <c r="Z84" s="30" t="s">
        <v>64</v>
      </c>
      <c r="AA84" s="30" t="s">
        <v>101</v>
      </c>
      <c r="AB84" s="30" t="s">
        <v>596</v>
      </c>
      <c r="AC84" s="30" t="s">
        <v>900</v>
      </c>
      <c r="AD84" s="30" t="s">
        <v>841</v>
      </c>
      <c r="AE84" s="30" t="s">
        <v>842</v>
      </c>
      <c r="AF84" s="30" t="s">
        <v>843</v>
      </c>
      <c r="AG84" s="30" t="s">
        <v>844</v>
      </c>
      <c r="AH84" s="30" t="s">
        <v>852</v>
      </c>
      <c r="AI84" s="30" t="s">
        <v>853</v>
      </c>
    </row>
    <row r="85">
      <c r="A85" s="30" t="s">
        <v>945</v>
      </c>
      <c r="B85" s="30" t="s">
        <v>84</v>
      </c>
      <c r="C85" s="31">
        <v>2019.0</v>
      </c>
      <c r="D85" s="30" t="s">
        <v>85</v>
      </c>
      <c r="E85" s="30" t="s">
        <v>823</v>
      </c>
      <c r="F85" s="30" t="s">
        <v>824</v>
      </c>
      <c r="G85" s="30" t="s">
        <v>825</v>
      </c>
      <c r="H85" s="30" t="s">
        <v>826</v>
      </c>
      <c r="I85" s="30" t="s">
        <v>827</v>
      </c>
      <c r="J85" s="30" t="s">
        <v>856</v>
      </c>
      <c r="K85" s="30" t="s">
        <v>19</v>
      </c>
      <c r="L85" s="30" t="s">
        <v>830</v>
      </c>
      <c r="M85" s="30" t="s">
        <v>79</v>
      </c>
      <c r="N85" s="30" t="s">
        <v>23</v>
      </c>
      <c r="O85" s="30" t="s">
        <v>96</v>
      </c>
      <c r="P85" s="30" t="s">
        <v>59</v>
      </c>
      <c r="Q85" s="30" t="s">
        <v>60</v>
      </c>
      <c r="R85" s="30" t="s">
        <v>293</v>
      </c>
      <c r="S85" s="30" t="s">
        <v>850</v>
      </c>
      <c r="T85" s="30" t="s">
        <v>99</v>
      </c>
      <c r="U85" s="30" t="s">
        <v>836</v>
      </c>
      <c r="V85" s="30" t="s">
        <v>837</v>
      </c>
      <c r="W85" s="30" t="s">
        <v>838</v>
      </c>
      <c r="X85" s="30" t="s">
        <v>839</v>
      </c>
      <c r="Y85" s="30" t="s">
        <v>100</v>
      </c>
      <c r="Z85" s="30" t="s">
        <v>147</v>
      </c>
      <c r="AA85" s="30" t="s">
        <v>128</v>
      </c>
      <c r="AB85" s="30" t="s">
        <v>102</v>
      </c>
      <c r="AC85" s="30" t="s">
        <v>900</v>
      </c>
      <c r="AD85" s="30" t="s">
        <v>841</v>
      </c>
      <c r="AE85" s="30" t="s">
        <v>842</v>
      </c>
      <c r="AF85" s="30" t="s">
        <v>843</v>
      </c>
      <c r="AG85" s="30" t="s">
        <v>844</v>
      </c>
      <c r="AH85" s="30" t="s">
        <v>852</v>
      </c>
      <c r="AI85" s="30" t="s">
        <v>853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3.57"/>
    <col customWidth="1" min="12" max="12" width="23.14"/>
    <col customWidth="1" min="13" max="13" width="14.71"/>
  </cols>
  <sheetData>
    <row r="1">
      <c r="A1" s="32" t="s">
        <v>946</v>
      </c>
      <c r="B1" s="32" t="s">
        <v>947</v>
      </c>
      <c r="C1" s="32" t="s">
        <v>948</v>
      </c>
      <c r="D1" s="32" t="s">
        <v>949</v>
      </c>
      <c r="E1" s="32" t="s">
        <v>950</v>
      </c>
      <c r="F1" s="32" t="s">
        <v>951</v>
      </c>
      <c r="G1" s="32" t="s">
        <v>952</v>
      </c>
      <c r="H1" s="32" t="s">
        <v>953</v>
      </c>
      <c r="I1" s="32" t="s">
        <v>954</v>
      </c>
      <c r="N1" s="33" t="s">
        <v>955</v>
      </c>
    </row>
    <row r="2">
      <c r="A2" s="33">
        <v>416.0</v>
      </c>
      <c r="B2" s="33" t="s">
        <v>830</v>
      </c>
      <c r="C2" s="33" t="s">
        <v>825</v>
      </c>
      <c r="D2" s="34">
        <v>0.797619047619047</v>
      </c>
      <c r="E2" s="34">
        <v>0.971014492753623</v>
      </c>
      <c r="F2" s="34">
        <v>0.986928104575163</v>
      </c>
      <c r="G2" s="34">
        <v>-0.845238095238095</v>
      </c>
      <c r="H2" s="34">
        <v>0.0348639455782313</v>
      </c>
      <c r="I2" s="34">
        <v>1.04570791527313</v>
      </c>
      <c r="J2" s="34">
        <v>2.46428571428571</v>
      </c>
      <c r="K2" s="35" t="s">
        <v>956</v>
      </c>
    </row>
    <row r="3">
      <c r="A3" s="33">
        <v>415.0</v>
      </c>
      <c r="B3" s="33" t="s">
        <v>957</v>
      </c>
      <c r="C3" s="33" t="s">
        <v>826</v>
      </c>
      <c r="D3" s="34">
        <v>0.75</v>
      </c>
      <c r="E3" s="34">
        <v>0.969230769230769</v>
      </c>
      <c r="F3" s="34">
        <v>0.986577181208053</v>
      </c>
      <c r="G3" s="34">
        <v>-0.797619047619047</v>
      </c>
      <c r="H3" s="34">
        <v>0.0314625850340135</v>
      </c>
      <c r="I3" s="34">
        <v>1.04378698224852</v>
      </c>
      <c r="J3" s="34">
        <v>2.32142857142857</v>
      </c>
      <c r="K3" s="36">
        <v>318.0</v>
      </c>
      <c r="L3" s="36" t="s">
        <v>840</v>
      </c>
      <c r="M3" s="36" t="s">
        <v>837</v>
      </c>
      <c r="N3" s="37">
        <v>0.773809523809523</v>
      </c>
      <c r="O3" s="37">
        <v>0.915492957746478</v>
      </c>
    </row>
    <row r="4">
      <c r="A4" s="33">
        <v>414.0</v>
      </c>
      <c r="B4" s="33" t="s">
        <v>958</v>
      </c>
      <c r="C4" s="33" t="s">
        <v>825</v>
      </c>
      <c r="D4" s="34">
        <v>0.726190476190476</v>
      </c>
      <c r="E4" s="34">
        <v>0.968253968253968</v>
      </c>
      <c r="F4" s="34">
        <v>0.986394557823129</v>
      </c>
      <c r="G4" s="34">
        <v>-0.773809523809523</v>
      </c>
      <c r="H4" s="34">
        <v>0.0297619047619047</v>
      </c>
      <c r="I4" s="34">
        <v>1.04273504273504</v>
      </c>
      <c r="J4" s="34">
        <v>2.25</v>
      </c>
      <c r="K4" s="36">
        <v>309.0</v>
      </c>
      <c r="L4" s="36" t="s">
        <v>64</v>
      </c>
      <c r="M4" s="36" t="s">
        <v>825</v>
      </c>
      <c r="N4" s="37">
        <v>0.75</v>
      </c>
      <c r="O4" s="37">
        <v>0.913043478260869</v>
      </c>
    </row>
    <row r="5">
      <c r="A5" s="33">
        <v>411.0</v>
      </c>
      <c r="B5" s="33" t="s">
        <v>959</v>
      </c>
      <c r="C5" s="33" t="s">
        <v>825</v>
      </c>
      <c r="D5" s="34">
        <v>0.714285714285714</v>
      </c>
      <c r="E5" s="34">
        <v>0.967741935483871</v>
      </c>
      <c r="F5" s="34">
        <v>0.986301369863013</v>
      </c>
      <c r="G5" s="34">
        <v>-0.761904761904762</v>
      </c>
      <c r="H5" s="34">
        <v>0.0289115646258503</v>
      </c>
      <c r="I5" s="34">
        <v>1.04218362282878</v>
      </c>
      <c r="J5" s="34">
        <v>2.21428571428571</v>
      </c>
      <c r="K5" s="36">
        <v>302.0</v>
      </c>
      <c r="L5" s="36" t="s">
        <v>842</v>
      </c>
      <c r="M5" s="36" t="s">
        <v>837</v>
      </c>
      <c r="N5" s="37">
        <v>0.738095238095238</v>
      </c>
      <c r="O5" s="37">
        <v>0.911764705882352</v>
      </c>
    </row>
    <row r="6">
      <c r="A6" s="33">
        <v>412.0</v>
      </c>
      <c r="B6" s="33" t="s">
        <v>960</v>
      </c>
      <c r="C6" s="33" t="s">
        <v>825</v>
      </c>
      <c r="D6" s="34">
        <v>0.714285714285714</v>
      </c>
      <c r="E6" s="34">
        <v>0.967741935483871</v>
      </c>
      <c r="F6" s="34">
        <v>0.986301369863013</v>
      </c>
      <c r="G6" s="34">
        <v>-0.761904761904762</v>
      </c>
      <c r="H6" s="34">
        <v>0.0289115646258503</v>
      </c>
      <c r="I6" s="34">
        <v>1.04218362282878</v>
      </c>
      <c r="J6" s="34">
        <v>2.21428571428571</v>
      </c>
      <c r="K6" s="36">
        <v>284.0</v>
      </c>
      <c r="L6" s="36" t="s">
        <v>843</v>
      </c>
      <c r="M6" s="36" t="s">
        <v>837</v>
      </c>
      <c r="N6" s="37">
        <v>0.714285714285714</v>
      </c>
      <c r="O6" s="37">
        <v>0.909090909090909</v>
      </c>
    </row>
    <row r="7">
      <c r="A7" s="33">
        <v>413.0</v>
      </c>
      <c r="B7" s="33" t="s">
        <v>961</v>
      </c>
      <c r="C7" s="33" t="s">
        <v>825</v>
      </c>
      <c r="D7" s="34">
        <v>0.714285714285714</v>
      </c>
      <c r="E7" s="34">
        <v>0.967741935483871</v>
      </c>
      <c r="F7" s="34">
        <v>0.986301369863013</v>
      </c>
      <c r="G7" s="34">
        <v>-0.761904761904762</v>
      </c>
      <c r="H7" s="34">
        <v>0.0289115646258503</v>
      </c>
      <c r="I7" s="34">
        <v>1.04218362282878</v>
      </c>
      <c r="J7" s="34">
        <v>2.21428571428571</v>
      </c>
      <c r="K7" s="36">
        <v>287.0</v>
      </c>
      <c r="L7" s="36" t="s">
        <v>843</v>
      </c>
      <c r="M7" s="36" t="s">
        <v>835</v>
      </c>
      <c r="N7" s="37">
        <v>0.714285714285714</v>
      </c>
      <c r="O7" s="37">
        <v>0.909090909090909</v>
      </c>
    </row>
    <row r="8">
      <c r="A8" s="33">
        <v>409.0</v>
      </c>
      <c r="B8" s="33" t="s">
        <v>829</v>
      </c>
      <c r="C8" s="33" t="s">
        <v>825</v>
      </c>
      <c r="D8" s="34">
        <v>0.702380952380952</v>
      </c>
      <c r="E8" s="34">
        <v>0.967213114754098</v>
      </c>
      <c r="F8" s="34">
        <v>0.986206896551724</v>
      </c>
      <c r="G8" s="34">
        <v>-0.75</v>
      </c>
      <c r="H8" s="34">
        <v>0.0280612244897958</v>
      </c>
      <c r="I8" s="34">
        <v>1.04161412358133</v>
      </c>
      <c r="J8" s="34">
        <v>2.17857142857142</v>
      </c>
      <c r="K8" s="36">
        <v>255.0</v>
      </c>
      <c r="L8" s="36" t="s">
        <v>841</v>
      </c>
      <c r="M8" s="36" t="s">
        <v>837</v>
      </c>
      <c r="N8" s="37">
        <v>0.761904761904761</v>
      </c>
      <c r="O8" s="37">
        <v>0.901408450704225</v>
      </c>
    </row>
    <row r="9">
      <c r="A9" s="33">
        <v>410.0</v>
      </c>
      <c r="B9" s="33" t="s">
        <v>962</v>
      </c>
      <c r="C9" s="33" t="s">
        <v>826</v>
      </c>
      <c r="D9" s="34">
        <v>0.702380952380952</v>
      </c>
      <c r="E9" s="34">
        <v>0.967213114754098</v>
      </c>
      <c r="F9" s="34">
        <v>0.986206896551724</v>
      </c>
      <c r="G9" s="34">
        <v>-0.75</v>
      </c>
      <c r="H9" s="34">
        <v>0.0280612244897958</v>
      </c>
      <c r="I9" s="34">
        <v>1.04161412358133</v>
      </c>
      <c r="J9" s="34">
        <v>2.17857142857142</v>
      </c>
      <c r="K9" s="36">
        <v>256.0</v>
      </c>
      <c r="L9" s="36" t="s">
        <v>841</v>
      </c>
      <c r="M9" s="36" t="s">
        <v>836</v>
      </c>
      <c r="N9" s="37">
        <v>0.761904761904761</v>
      </c>
      <c r="O9" s="37">
        <v>0.901408450704225</v>
      </c>
    </row>
    <row r="10">
      <c r="A10" s="33">
        <v>408.0</v>
      </c>
      <c r="B10" s="33" t="s">
        <v>839</v>
      </c>
      <c r="C10" s="33" t="s">
        <v>826</v>
      </c>
      <c r="D10" s="34">
        <v>0.821428571428571</v>
      </c>
      <c r="E10" s="34">
        <v>0.958333333333333</v>
      </c>
      <c r="F10" s="34">
        <v>0.98076923076923</v>
      </c>
      <c r="G10" s="34">
        <v>-0.892857142857142</v>
      </c>
      <c r="H10" s="34">
        <v>0.0255102040816326</v>
      </c>
      <c r="I10" s="34">
        <v>1.03205128205128</v>
      </c>
      <c r="J10" s="34">
        <v>1.71428571428571</v>
      </c>
      <c r="K10" s="36">
        <v>257.0</v>
      </c>
      <c r="L10" s="36" t="s">
        <v>840</v>
      </c>
      <c r="M10" s="36" t="s">
        <v>835</v>
      </c>
      <c r="N10" s="37">
        <v>0.761904761904761</v>
      </c>
      <c r="O10" s="37">
        <v>0.901408450704225</v>
      </c>
    </row>
    <row r="11">
      <c r="A11" s="33">
        <v>407.0</v>
      </c>
      <c r="B11" s="33" t="s">
        <v>963</v>
      </c>
      <c r="C11" s="33" t="s">
        <v>826</v>
      </c>
      <c r="D11" s="34">
        <v>0.773809523809523</v>
      </c>
      <c r="E11" s="34">
        <v>0.955882352941176</v>
      </c>
      <c r="F11" s="34">
        <v>0.980263157894736</v>
      </c>
      <c r="G11" s="34">
        <v>-0.845238095238095</v>
      </c>
      <c r="H11" s="34">
        <v>0.0221088435374149</v>
      </c>
      <c r="I11" s="34">
        <v>1.02941176470588</v>
      </c>
      <c r="J11" s="34">
        <v>1.61904761904761</v>
      </c>
      <c r="K11" s="36">
        <v>232.0</v>
      </c>
      <c r="L11" s="36" t="s">
        <v>843</v>
      </c>
      <c r="M11" s="36" t="s">
        <v>839</v>
      </c>
      <c r="N11" s="37">
        <v>0.702380952380952</v>
      </c>
      <c r="O11" s="37">
        <v>0.893939393939393</v>
      </c>
    </row>
    <row r="12">
      <c r="A12" s="33">
        <v>406.0</v>
      </c>
      <c r="B12" s="33" t="s">
        <v>964</v>
      </c>
      <c r="C12" s="33" t="s">
        <v>826</v>
      </c>
      <c r="D12" s="34">
        <v>0.75</v>
      </c>
      <c r="E12" s="34">
        <v>0.954545454545454</v>
      </c>
      <c r="F12" s="34">
        <v>0.98</v>
      </c>
      <c r="G12" s="34">
        <v>-0.821428571428571</v>
      </c>
      <c r="H12" s="34">
        <v>0.0204081632653061</v>
      </c>
      <c r="I12" s="34">
        <v>1.02797202797202</v>
      </c>
      <c r="J12" s="34">
        <v>1.57142857142857</v>
      </c>
      <c r="K12" s="36">
        <v>216.0</v>
      </c>
      <c r="L12" s="36" t="s">
        <v>965</v>
      </c>
      <c r="M12" s="36" t="s">
        <v>840</v>
      </c>
      <c r="N12" s="37">
        <v>0.702380952380952</v>
      </c>
      <c r="O12" s="37">
        <v>0.880597014925373</v>
      </c>
    </row>
    <row r="13">
      <c r="A13" s="33">
        <v>405.0</v>
      </c>
      <c r="B13" s="33" t="s">
        <v>966</v>
      </c>
      <c r="C13" s="33" t="s">
        <v>848</v>
      </c>
      <c r="D13" s="34">
        <v>0.726190476190476</v>
      </c>
      <c r="E13" s="34">
        <v>0.953125</v>
      </c>
      <c r="F13" s="34">
        <v>0.979729729729729</v>
      </c>
      <c r="G13" s="34">
        <v>-0.797619047619047</v>
      </c>
      <c r="H13" s="34">
        <v>0.0277777777777777</v>
      </c>
      <c r="I13" s="34">
        <v>1.03977272727272</v>
      </c>
      <c r="J13" s="34">
        <v>1.77777777777777</v>
      </c>
      <c r="K13" s="36">
        <v>214.0</v>
      </c>
      <c r="L13" s="36" t="s">
        <v>835</v>
      </c>
      <c r="M13" s="36" t="s">
        <v>840</v>
      </c>
      <c r="N13" s="37">
        <v>0.761904761904761</v>
      </c>
      <c r="O13" s="37">
        <v>0.876712328767123</v>
      </c>
    </row>
    <row r="14">
      <c r="A14" s="33">
        <v>400.0</v>
      </c>
      <c r="B14" s="33" t="s">
        <v>967</v>
      </c>
      <c r="C14" s="33" t="s">
        <v>826</v>
      </c>
      <c r="D14" s="34">
        <v>0.702380952380952</v>
      </c>
      <c r="E14" s="34">
        <v>0.951612903225806</v>
      </c>
      <c r="F14" s="34">
        <v>0.97945205479452</v>
      </c>
      <c r="G14" s="34">
        <v>-0.773809523809524</v>
      </c>
      <c r="H14" s="34">
        <v>0.0170068027210883</v>
      </c>
      <c r="I14" s="34">
        <v>1.02481389578163</v>
      </c>
      <c r="J14" s="34">
        <v>1.47619047619047</v>
      </c>
      <c r="K14" s="36">
        <v>206.0</v>
      </c>
      <c r="L14" s="36" t="s">
        <v>840</v>
      </c>
      <c r="M14" s="36" t="s">
        <v>836</v>
      </c>
      <c r="N14" s="37">
        <v>0.738095238095238</v>
      </c>
      <c r="O14" s="37">
        <v>0.873239436619718</v>
      </c>
    </row>
    <row r="15">
      <c r="A15" s="33">
        <v>401.0</v>
      </c>
      <c r="B15" s="33" t="s">
        <v>968</v>
      </c>
      <c r="C15" s="33" t="s">
        <v>826</v>
      </c>
      <c r="D15" s="34">
        <v>0.702380952380952</v>
      </c>
      <c r="E15" s="34">
        <v>0.951612903225806</v>
      </c>
      <c r="F15" s="34">
        <v>0.97945205479452</v>
      </c>
      <c r="G15" s="34">
        <v>-0.773809523809524</v>
      </c>
      <c r="H15" s="34">
        <v>0.0170068027210883</v>
      </c>
      <c r="I15" s="34">
        <v>1.02481389578163</v>
      </c>
      <c r="J15" s="34">
        <v>1.47619047619047</v>
      </c>
      <c r="K15" s="36">
        <v>191.0</v>
      </c>
      <c r="L15" s="36" t="s">
        <v>64</v>
      </c>
      <c r="M15" s="36" t="s">
        <v>840</v>
      </c>
      <c r="N15" s="37">
        <v>0.714285714285714</v>
      </c>
      <c r="O15" s="37">
        <v>0.869565217391304</v>
      </c>
    </row>
    <row r="16">
      <c r="A16" s="33">
        <v>402.0</v>
      </c>
      <c r="B16" s="33" t="s">
        <v>969</v>
      </c>
      <c r="C16" s="33" t="s">
        <v>826</v>
      </c>
      <c r="D16" s="34">
        <v>0.702380952380952</v>
      </c>
      <c r="E16" s="34">
        <v>0.951612903225806</v>
      </c>
      <c r="F16" s="34">
        <v>0.97945205479452</v>
      </c>
      <c r="G16" s="34">
        <v>-0.773809523809524</v>
      </c>
      <c r="H16" s="34">
        <v>0.0170068027210883</v>
      </c>
      <c r="I16" s="34">
        <v>1.02481389578163</v>
      </c>
      <c r="J16" s="34">
        <v>1.47619047619047</v>
      </c>
      <c r="K16" s="36">
        <v>176.0</v>
      </c>
      <c r="L16" s="36" t="s">
        <v>836</v>
      </c>
      <c r="M16" s="36" t="s">
        <v>841</v>
      </c>
      <c r="N16" s="37">
        <v>0.761904761904761</v>
      </c>
      <c r="O16" s="37">
        <v>0.864864864864864</v>
      </c>
    </row>
    <row r="17">
      <c r="A17" s="33">
        <v>403.0</v>
      </c>
      <c r="B17" s="33" t="s">
        <v>969</v>
      </c>
      <c r="C17" s="33" t="s">
        <v>848</v>
      </c>
      <c r="D17" s="34">
        <v>0.702380952380952</v>
      </c>
      <c r="E17" s="34">
        <v>0.951612903225806</v>
      </c>
      <c r="F17" s="34">
        <v>0.97945205479452</v>
      </c>
      <c r="G17" s="34">
        <v>-0.773809523809524</v>
      </c>
      <c r="H17" s="34">
        <v>0.0257936507936507</v>
      </c>
      <c r="I17" s="34">
        <v>1.03812316715542</v>
      </c>
      <c r="J17" s="34">
        <v>1.72222222222222</v>
      </c>
      <c r="K17" s="36">
        <v>161.0</v>
      </c>
      <c r="L17" s="36" t="s">
        <v>841</v>
      </c>
      <c r="M17" s="36" t="s">
        <v>839</v>
      </c>
      <c r="N17" s="37">
        <v>0.726190476190476</v>
      </c>
      <c r="O17" s="37">
        <v>0.859154929577464</v>
      </c>
    </row>
    <row r="18">
      <c r="A18" s="33">
        <v>404.0</v>
      </c>
      <c r="B18" s="33" t="s">
        <v>970</v>
      </c>
      <c r="C18" s="33" t="s">
        <v>826</v>
      </c>
      <c r="D18" s="34">
        <v>0.702380952380952</v>
      </c>
      <c r="E18" s="34">
        <v>0.951612903225806</v>
      </c>
      <c r="F18" s="34">
        <v>0.97945205479452</v>
      </c>
      <c r="G18" s="34">
        <v>-0.773809523809524</v>
      </c>
      <c r="H18" s="34">
        <v>0.0170068027210883</v>
      </c>
      <c r="I18" s="34">
        <v>1.02481389578163</v>
      </c>
      <c r="J18" s="34">
        <v>1.47619047619047</v>
      </c>
      <c r="K18" s="36">
        <v>142.0</v>
      </c>
      <c r="L18" s="36" t="s">
        <v>64</v>
      </c>
      <c r="M18" s="36" t="s">
        <v>841</v>
      </c>
      <c r="N18" s="37">
        <v>0.702380952380952</v>
      </c>
      <c r="O18" s="37">
        <v>0.855072463768116</v>
      </c>
    </row>
    <row r="19">
      <c r="A19" s="33">
        <v>399.0</v>
      </c>
      <c r="B19" s="33" t="s">
        <v>835</v>
      </c>
      <c r="C19" s="33" t="s">
        <v>825</v>
      </c>
      <c r="D19" s="34">
        <v>0.821428571428571</v>
      </c>
      <c r="E19" s="34">
        <v>0.945205479452054</v>
      </c>
      <c r="F19" s="34">
        <v>0.97452229299363</v>
      </c>
      <c r="G19" s="34">
        <v>-0.916666666666666</v>
      </c>
      <c r="H19" s="34">
        <v>0.0144557823129251</v>
      </c>
      <c r="I19" s="34">
        <v>1.01791359325605</v>
      </c>
      <c r="J19" s="34">
        <v>1.30357142857142</v>
      </c>
      <c r="K19" s="36">
        <v>132.0</v>
      </c>
      <c r="L19" s="36" t="s">
        <v>839</v>
      </c>
      <c r="M19" s="36" t="s">
        <v>841</v>
      </c>
      <c r="N19" s="37">
        <v>0.726190476190476</v>
      </c>
      <c r="O19" s="37">
        <v>0.847222222222222</v>
      </c>
    </row>
    <row r="20">
      <c r="A20" s="33">
        <v>398.0</v>
      </c>
      <c r="B20" s="33" t="s">
        <v>839</v>
      </c>
      <c r="C20" s="33" t="s">
        <v>848</v>
      </c>
      <c r="D20" s="34">
        <v>0.809523809523809</v>
      </c>
      <c r="E20" s="34">
        <v>0.944444444444444</v>
      </c>
      <c r="F20" s="34">
        <v>0.974358974358974</v>
      </c>
      <c r="G20" s="34">
        <v>-0.904761904761904</v>
      </c>
      <c r="H20" s="34">
        <v>0.0238095238095239</v>
      </c>
      <c r="I20" s="34">
        <v>1.03030303030303</v>
      </c>
      <c r="J20" s="34">
        <v>1.5</v>
      </c>
      <c r="K20" s="36">
        <v>110.0</v>
      </c>
      <c r="L20" s="36" t="s">
        <v>841</v>
      </c>
      <c r="M20" s="36" t="s">
        <v>835</v>
      </c>
      <c r="N20" s="37">
        <v>0.714285714285714</v>
      </c>
      <c r="O20" s="37">
        <v>0.845070422535211</v>
      </c>
    </row>
    <row r="21">
      <c r="A21" s="33">
        <v>397.0</v>
      </c>
      <c r="B21" s="33" t="s">
        <v>971</v>
      </c>
      <c r="C21" s="33" t="s">
        <v>826</v>
      </c>
      <c r="D21" s="34">
        <v>0.785714285714285</v>
      </c>
      <c r="E21" s="34">
        <v>0.942857142857142</v>
      </c>
      <c r="F21" s="34">
        <v>0.974025974025973</v>
      </c>
      <c r="G21" s="34">
        <v>-0.880952380952381</v>
      </c>
      <c r="H21" s="34">
        <v>0.0119047619047618</v>
      </c>
      <c r="I21" s="34">
        <v>1.01538461538461</v>
      </c>
      <c r="J21" s="34">
        <v>1.25</v>
      </c>
      <c r="K21" s="36">
        <v>111.0</v>
      </c>
      <c r="L21" s="36" t="s">
        <v>840</v>
      </c>
      <c r="M21" s="36" t="s">
        <v>64</v>
      </c>
      <c r="N21" s="37">
        <v>0.714285714285714</v>
      </c>
      <c r="O21" s="37">
        <v>0.845070422535211</v>
      </c>
    </row>
    <row r="22">
      <c r="A22" s="33">
        <v>395.0</v>
      </c>
      <c r="B22" s="33" t="s">
        <v>64</v>
      </c>
      <c r="C22" s="33" t="s">
        <v>848</v>
      </c>
      <c r="D22" s="34">
        <v>0.773809523809523</v>
      </c>
      <c r="E22" s="34">
        <v>0.942028985507246</v>
      </c>
      <c r="F22" s="34">
        <v>0.973856209150326</v>
      </c>
      <c r="G22" s="34">
        <v>-0.869047619047619</v>
      </c>
      <c r="H22" s="34">
        <v>0.0208333333333333</v>
      </c>
      <c r="I22" s="34">
        <v>1.02766798418972</v>
      </c>
      <c r="J22" s="34">
        <v>1.4375</v>
      </c>
      <c r="K22" s="36">
        <v>106.0</v>
      </c>
      <c r="L22" s="36" t="s">
        <v>837</v>
      </c>
      <c r="M22" s="36" t="s">
        <v>840</v>
      </c>
      <c r="N22" s="37">
        <v>0.773809523809523</v>
      </c>
      <c r="O22" s="37">
        <v>0.844155844155844</v>
      </c>
    </row>
    <row r="23">
      <c r="A23" s="33">
        <v>396.0</v>
      </c>
      <c r="B23" s="33" t="s">
        <v>972</v>
      </c>
      <c r="C23" s="33" t="s">
        <v>848</v>
      </c>
      <c r="D23" s="34">
        <v>0.773809523809523</v>
      </c>
      <c r="E23" s="34">
        <v>0.942028985507246</v>
      </c>
      <c r="F23" s="34">
        <v>0.973856209150326</v>
      </c>
      <c r="G23" s="34">
        <v>-0.869047619047619</v>
      </c>
      <c r="H23" s="34">
        <v>0.0208333333333333</v>
      </c>
      <c r="I23" s="34">
        <v>1.02766798418972</v>
      </c>
      <c r="J23" s="34">
        <v>1.4375</v>
      </c>
      <c r="K23" s="36">
        <v>100.0</v>
      </c>
      <c r="L23" s="36" t="s">
        <v>836</v>
      </c>
      <c r="M23" s="36" t="s">
        <v>840</v>
      </c>
      <c r="N23" s="37">
        <v>0.738095238095238</v>
      </c>
      <c r="O23" s="37">
        <v>0.837837837837837</v>
      </c>
    </row>
    <row r="24">
      <c r="A24" s="33">
        <v>393.0</v>
      </c>
      <c r="B24" s="33" t="s">
        <v>842</v>
      </c>
      <c r="C24" s="33" t="s">
        <v>826</v>
      </c>
      <c r="D24" s="34">
        <v>0.761904761904761</v>
      </c>
      <c r="E24" s="34">
        <v>0.941176470588235</v>
      </c>
      <c r="F24" s="34">
        <v>0.973684210526315</v>
      </c>
      <c r="G24" s="34">
        <v>-0.857142857142857</v>
      </c>
      <c r="H24" s="34">
        <v>0.0102040816326529</v>
      </c>
      <c r="I24" s="34">
        <v>1.01357466063348</v>
      </c>
      <c r="J24" s="34">
        <v>1.21428571428571</v>
      </c>
      <c r="K24" s="36">
        <v>85.0</v>
      </c>
      <c r="L24" s="36" t="s">
        <v>837</v>
      </c>
      <c r="M24" s="36" t="s">
        <v>841</v>
      </c>
      <c r="N24" s="37">
        <v>0.761904761904761</v>
      </c>
      <c r="O24" s="37">
        <v>0.831168831168831</v>
      </c>
    </row>
    <row r="25">
      <c r="A25" s="33">
        <v>394.0</v>
      </c>
      <c r="B25" s="33" t="s">
        <v>973</v>
      </c>
      <c r="C25" s="33" t="s">
        <v>825</v>
      </c>
      <c r="D25" s="34">
        <v>0.761904761904761</v>
      </c>
      <c r="E25" s="34">
        <v>0.941176470588235</v>
      </c>
      <c r="F25" s="34">
        <v>0.973684210526315</v>
      </c>
      <c r="G25" s="34">
        <v>-0.857142857142857</v>
      </c>
      <c r="H25" s="34">
        <v>0.0102040816326529</v>
      </c>
      <c r="I25" s="34">
        <v>1.01357466063348</v>
      </c>
      <c r="J25" s="34">
        <v>1.21428571428571</v>
      </c>
      <c r="K25" s="36">
        <v>67.0</v>
      </c>
      <c r="L25" s="36" t="s">
        <v>840</v>
      </c>
      <c r="M25" s="36" t="s">
        <v>839</v>
      </c>
      <c r="N25" s="37">
        <v>0.702380952380952</v>
      </c>
      <c r="O25" s="37">
        <v>0.830985915492957</v>
      </c>
    </row>
    <row r="26">
      <c r="A26" s="33">
        <v>389.0</v>
      </c>
      <c r="B26" s="33" t="s">
        <v>965</v>
      </c>
      <c r="C26" s="33" t="s">
        <v>826</v>
      </c>
      <c r="D26" s="34">
        <v>0.75</v>
      </c>
      <c r="E26" s="34">
        <v>0.940298507462686</v>
      </c>
      <c r="F26" s="34">
        <v>0.973509933774834</v>
      </c>
      <c r="G26" s="34">
        <v>-0.845238095238095</v>
      </c>
      <c r="H26" s="34">
        <v>0.00935374149659851</v>
      </c>
      <c r="I26" s="34">
        <v>1.01262916188289</v>
      </c>
      <c r="J26" s="34">
        <v>1.19642857142857</v>
      </c>
      <c r="K26" s="36">
        <v>68.0</v>
      </c>
      <c r="L26" s="36" t="s">
        <v>841</v>
      </c>
      <c r="M26" s="36" t="s">
        <v>64</v>
      </c>
      <c r="N26" s="37">
        <v>0.702380952380952</v>
      </c>
      <c r="O26" s="37">
        <v>0.830985915492957</v>
      </c>
    </row>
    <row r="27">
      <c r="A27" s="33">
        <v>390.0</v>
      </c>
      <c r="B27" s="33" t="s">
        <v>974</v>
      </c>
      <c r="C27" s="33" t="s">
        <v>826</v>
      </c>
      <c r="D27" s="34">
        <v>0.75</v>
      </c>
      <c r="E27" s="34">
        <v>0.940298507462686</v>
      </c>
      <c r="F27" s="34">
        <v>0.973509933774834</v>
      </c>
      <c r="G27" s="34">
        <v>-0.845238095238095</v>
      </c>
      <c r="H27" s="34">
        <v>0.00935374149659851</v>
      </c>
      <c r="I27" s="34">
        <v>1.01262916188289</v>
      </c>
      <c r="J27" s="34">
        <v>1.19642857142857</v>
      </c>
      <c r="K27" s="36">
        <v>58.0</v>
      </c>
      <c r="L27" s="36" t="s">
        <v>835</v>
      </c>
      <c r="M27" s="36" t="s">
        <v>841</v>
      </c>
      <c r="N27" s="37">
        <v>0.714285714285714</v>
      </c>
      <c r="O27" s="37">
        <v>0.821917808219178</v>
      </c>
    </row>
    <row r="28">
      <c r="A28" s="33">
        <v>391.0</v>
      </c>
      <c r="B28" s="33" t="s">
        <v>965</v>
      </c>
      <c r="C28" s="33" t="s">
        <v>825</v>
      </c>
      <c r="D28" s="34">
        <v>0.75</v>
      </c>
      <c r="E28" s="34">
        <v>0.940298507462686</v>
      </c>
      <c r="F28" s="34">
        <v>0.973509933774834</v>
      </c>
      <c r="G28" s="34">
        <v>-0.845238095238095</v>
      </c>
      <c r="H28" s="34">
        <v>0.00935374149659851</v>
      </c>
      <c r="I28" s="34">
        <v>1.01262916188289</v>
      </c>
      <c r="J28" s="34">
        <v>1.19642857142857</v>
      </c>
      <c r="K28" s="36">
        <v>59.0</v>
      </c>
      <c r="L28" s="36" t="s">
        <v>835</v>
      </c>
      <c r="M28" s="36" t="s">
        <v>64</v>
      </c>
      <c r="N28" s="37">
        <v>0.714285714285714</v>
      </c>
      <c r="O28" s="37">
        <v>0.821917808219178</v>
      </c>
    </row>
    <row r="29">
      <c r="A29" s="33">
        <v>392.0</v>
      </c>
      <c r="B29" s="33" t="s">
        <v>974</v>
      </c>
      <c r="C29" s="33" t="s">
        <v>825</v>
      </c>
      <c r="D29" s="34">
        <v>0.75</v>
      </c>
      <c r="E29" s="34">
        <v>0.940298507462686</v>
      </c>
      <c r="F29" s="34">
        <v>0.973509933774834</v>
      </c>
      <c r="G29" s="34">
        <v>-0.845238095238095</v>
      </c>
      <c r="H29" s="34">
        <v>0.00935374149659851</v>
      </c>
      <c r="I29" s="34">
        <v>1.01262916188289</v>
      </c>
      <c r="J29" s="34">
        <v>1.19642857142857</v>
      </c>
      <c r="K29" s="36">
        <v>60.0</v>
      </c>
      <c r="L29" s="36" t="s">
        <v>835</v>
      </c>
      <c r="M29" s="36" t="s">
        <v>842</v>
      </c>
      <c r="N29" s="37">
        <v>0.714285714285714</v>
      </c>
      <c r="O29" s="37">
        <v>0.821917808219178</v>
      </c>
    </row>
    <row r="30">
      <c r="A30" s="33">
        <v>388.0</v>
      </c>
      <c r="B30" s="33" t="s">
        <v>964</v>
      </c>
      <c r="C30" s="33" t="s">
        <v>848</v>
      </c>
      <c r="D30" s="34">
        <v>0.738095238095238</v>
      </c>
      <c r="E30" s="34">
        <v>0.939393939393939</v>
      </c>
      <c r="F30" s="34">
        <v>0.973333333333333</v>
      </c>
      <c r="G30" s="34">
        <v>-0.833333333333333</v>
      </c>
      <c r="H30" s="34">
        <v>0.0178571428571429</v>
      </c>
      <c r="I30" s="34">
        <v>1.02479338842975</v>
      </c>
      <c r="J30" s="34">
        <v>1.375</v>
      </c>
      <c r="K30" s="36">
        <v>61.0</v>
      </c>
      <c r="L30" s="36" t="s">
        <v>835</v>
      </c>
      <c r="M30" s="36" t="s">
        <v>843</v>
      </c>
      <c r="N30" s="37">
        <v>0.714285714285714</v>
      </c>
      <c r="O30" s="37">
        <v>0.821917808219178</v>
      </c>
    </row>
    <row r="31">
      <c r="A31" s="33">
        <v>385.0</v>
      </c>
      <c r="B31" s="33" t="s">
        <v>975</v>
      </c>
      <c r="C31" s="33" t="s">
        <v>848</v>
      </c>
      <c r="D31" s="34">
        <v>0.726190476190476</v>
      </c>
      <c r="E31" s="34">
        <v>0.938461538461538</v>
      </c>
      <c r="F31" s="34">
        <v>0.973154362416107</v>
      </c>
      <c r="G31" s="34">
        <v>-0.821428571428571</v>
      </c>
      <c r="H31" s="34">
        <v>0.0168650793650793</v>
      </c>
      <c r="I31" s="34">
        <v>1.02377622377622</v>
      </c>
      <c r="J31" s="34">
        <v>1.35416666666666</v>
      </c>
      <c r="K31" s="36">
        <v>32.0</v>
      </c>
      <c r="L31" s="36" t="s">
        <v>839</v>
      </c>
      <c r="M31" s="36" t="s">
        <v>840</v>
      </c>
      <c r="N31" s="37">
        <v>0.702380952380952</v>
      </c>
      <c r="O31" s="37">
        <v>0.819444444444444</v>
      </c>
    </row>
    <row r="32">
      <c r="A32" s="33">
        <v>386.0</v>
      </c>
      <c r="B32" s="33" t="s">
        <v>976</v>
      </c>
      <c r="C32" s="33" t="s">
        <v>826</v>
      </c>
      <c r="D32" s="34">
        <v>0.726190476190476</v>
      </c>
      <c r="E32" s="34">
        <v>0.938461538461538</v>
      </c>
      <c r="F32" s="34">
        <v>0.973154362416107</v>
      </c>
      <c r="G32" s="34">
        <v>-0.821428571428571</v>
      </c>
      <c r="H32" s="34">
        <v>0.00765306122448972</v>
      </c>
      <c r="I32" s="34">
        <v>1.01065088757396</v>
      </c>
      <c r="J32" s="34">
        <v>1.16071428571428</v>
      </c>
      <c r="K32" s="36">
        <v>34.0</v>
      </c>
      <c r="L32" s="36" t="s">
        <v>839</v>
      </c>
      <c r="M32" s="36" t="s">
        <v>843</v>
      </c>
      <c r="N32" s="37">
        <v>0.702380952380952</v>
      </c>
      <c r="O32" s="37">
        <v>0.819444444444444</v>
      </c>
    </row>
    <row r="33">
      <c r="A33" s="33">
        <v>387.0</v>
      </c>
      <c r="B33" s="33" t="s">
        <v>957</v>
      </c>
      <c r="C33" s="33" t="s">
        <v>848</v>
      </c>
      <c r="D33" s="34">
        <v>0.726190476190476</v>
      </c>
      <c r="E33" s="34">
        <v>0.938461538461538</v>
      </c>
      <c r="F33" s="34">
        <v>0.973154362416107</v>
      </c>
      <c r="G33" s="34">
        <v>-0.821428571428571</v>
      </c>
      <c r="H33" s="34">
        <v>0.0168650793650793</v>
      </c>
      <c r="I33" s="34">
        <v>1.02377622377622</v>
      </c>
      <c r="J33" s="34">
        <v>1.35416666666666</v>
      </c>
      <c r="K33" s="36">
        <v>9.0</v>
      </c>
      <c r="L33" s="36" t="s">
        <v>825</v>
      </c>
      <c r="M33" s="36" t="s">
        <v>64</v>
      </c>
      <c r="N33" s="37">
        <v>0.75</v>
      </c>
      <c r="O33" s="37">
        <v>0.807692307692307</v>
      </c>
    </row>
    <row r="34">
      <c r="A34" s="33">
        <v>383.0</v>
      </c>
      <c r="B34" s="33" t="s">
        <v>977</v>
      </c>
      <c r="C34" s="33" t="s">
        <v>825</v>
      </c>
      <c r="D34" s="34">
        <v>0.714285714285714</v>
      </c>
      <c r="E34" s="34">
        <v>0.9375</v>
      </c>
      <c r="F34" s="34">
        <v>0.972972972972973</v>
      </c>
      <c r="G34" s="34">
        <v>-0.809523809523809</v>
      </c>
      <c r="H34" s="34">
        <v>0.00680272108843538</v>
      </c>
      <c r="I34" s="34">
        <v>1.00961538461538</v>
      </c>
      <c r="J34" s="34">
        <v>1.14285714285714</v>
      </c>
      <c r="K34" s="36">
        <v>3.0</v>
      </c>
      <c r="L34" s="36" t="s">
        <v>837</v>
      </c>
      <c r="M34" s="36" t="s">
        <v>842</v>
      </c>
      <c r="N34" s="37">
        <v>0.738095238095238</v>
      </c>
      <c r="O34" s="37">
        <v>0.805194805194805</v>
      </c>
    </row>
    <row r="35">
      <c r="A35" s="33">
        <v>384.0</v>
      </c>
      <c r="B35" s="33" t="s">
        <v>978</v>
      </c>
      <c r="C35" s="33" t="s">
        <v>826</v>
      </c>
      <c r="D35" s="34">
        <v>0.714285714285714</v>
      </c>
      <c r="E35" s="34">
        <v>0.9375</v>
      </c>
      <c r="F35" s="34">
        <v>0.972972972972973</v>
      </c>
      <c r="G35" s="34">
        <v>-0.809523809523809</v>
      </c>
      <c r="H35" s="34">
        <v>0.00680272108843538</v>
      </c>
      <c r="I35" s="34">
        <v>1.00961538461538</v>
      </c>
      <c r="J35" s="34">
        <v>1.14285714285714</v>
      </c>
    </row>
    <row r="36">
      <c r="A36" s="33">
        <v>374.0</v>
      </c>
      <c r="B36" s="33" t="s">
        <v>979</v>
      </c>
      <c r="C36" s="33" t="s">
        <v>826</v>
      </c>
      <c r="D36" s="34">
        <v>0.702380952380952</v>
      </c>
      <c r="E36" s="34">
        <v>0.936507936507936</v>
      </c>
      <c r="F36" s="34">
        <v>0.972789115646258</v>
      </c>
      <c r="G36" s="34">
        <v>-0.797619047619047</v>
      </c>
      <c r="H36" s="34">
        <v>0.00595238095238093</v>
      </c>
      <c r="I36" s="34">
        <v>1.008547008547</v>
      </c>
      <c r="J36" s="34">
        <v>1.125</v>
      </c>
    </row>
    <row r="37">
      <c r="A37" s="33">
        <v>375.0</v>
      </c>
      <c r="B37" s="33" t="s">
        <v>980</v>
      </c>
      <c r="C37" s="33" t="s">
        <v>848</v>
      </c>
      <c r="D37" s="34">
        <v>0.702380952380952</v>
      </c>
      <c r="E37" s="34">
        <v>0.936507936507936</v>
      </c>
      <c r="F37" s="34">
        <v>0.972789115646258</v>
      </c>
      <c r="G37" s="34">
        <v>-0.797619047619047</v>
      </c>
      <c r="H37" s="34">
        <v>0.0148809523809523</v>
      </c>
      <c r="I37" s="34">
        <v>1.02164502164502</v>
      </c>
      <c r="J37" s="34">
        <v>1.3125</v>
      </c>
    </row>
    <row r="38">
      <c r="A38" s="33">
        <v>376.0</v>
      </c>
      <c r="B38" s="33" t="s">
        <v>981</v>
      </c>
      <c r="C38" s="33" t="s">
        <v>825</v>
      </c>
      <c r="D38" s="34">
        <v>0.702380952380952</v>
      </c>
      <c r="E38" s="34">
        <v>0.936507936507936</v>
      </c>
      <c r="F38" s="34">
        <v>0.972789115646258</v>
      </c>
      <c r="G38" s="34">
        <v>-0.797619047619047</v>
      </c>
      <c r="H38" s="34">
        <v>0.00595238095238093</v>
      </c>
      <c r="I38" s="34">
        <v>1.008547008547</v>
      </c>
      <c r="J38" s="34">
        <v>1.125</v>
      </c>
    </row>
    <row r="39">
      <c r="A39" s="33">
        <v>377.0</v>
      </c>
      <c r="B39" s="33" t="s">
        <v>982</v>
      </c>
      <c r="C39" s="33" t="s">
        <v>825</v>
      </c>
      <c r="D39" s="34">
        <v>0.702380952380952</v>
      </c>
      <c r="E39" s="34">
        <v>0.936507936507936</v>
      </c>
      <c r="F39" s="34">
        <v>0.972789115646258</v>
      </c>
      <c r="G39" s="34">
        <v>-0.797619047619047</v>
      </c>
      <c r="H39" s="34">
        <v>0.00595238095238093</v>
      </c>
      <c r="I39" s="34">
        <v>1.008547008547</v>
      </c>
      <c r="J39" s="34">
        <v>1.125</v>
      </c>
    </row>
    <row r="40">
      <c r="A40" s="33">
        <v>378.0</v>
      </c>
      <c r="B40" s="33" t="s">
        <v>983</v>
      </c>
      <c r="C40" s="33" t="s">
        <v>826</v>
      </c>
      <c r="D40" s="34">
        <v>0.702380952380952</v>
      </c>
      <c r="E40" s="34">
        <v>0.936507936507936</v>
      </c>
      <c r="F40" s="34">
        <v>0.972789115646258</v>
      </c>
      <c r="G40" s="34">
        <v>-0.797619047619047</v>
      </c>
      <c r="H40" s="34">
        <v>0.00595238095238093</v>
      </c>
      <c r="I40" s="34">
        <v>1.008547008547</v>
      </c>
      <c r="J40" s="34">
        <v>1.125</v>
      </c>
    </row>
    <row r="41">
      <c r="A41" s="33">
        <v>379.0</v>
      </c>
      <c r="B41" s="33" t="s">
        <v>984</v>
      </c>
      <c r="C41" s="33" t="s">
        <v>825</v>
      </c>
      <c r="D41" s="34">
        <v>0.702380952380952</v>
      </c>
      <c r="E41" s="34">
        <v>0.936507936507936</v>
      </c>
      <c r="F41" s="34">
        <v>0.972789115646258</v>
      </c>
      <c r="G41" s="34">
        <v>-0.797619047619047</v>
      </c>
      <c r="H41" s="34">
        <v>0.00595238095238093</v>
      </c>
      <c r="I41" s="34">
        <v>1.008547008547</v>
      </c>
      <c r="J41" s="34">
        <v>1.125</v>
      </c>
    </row>
    <row r="42">
      <c r="A42" s="33">
        <v>380.0</v>
      </c>
      <c r="B42" s="33" t="s">
        <v>985</v>
      </c>
      <c r="C42" s="33" t="s">
        <v>826</v>
      </c>
      <c r="D42" s="34">
        <v>0.702380952380952</v>
      </c>
      <c r="E42" s="34">
        <v>0.936507936507936</v>
      </c>
      <c r="F42" s="34">
        <v>0.972789115646258</v>
      </c>
      <c r="G42" s="34">
        <v>-0.797619047619047</v>
      </c>
      <c r="H42" s="34">
        <v>0.00595238095238093</v>
      </c>
      <c r="I42" s="34">
        <v>1.008547008547</v>
      </c>
      <c r="J42" s="34">
        <v>1.125</v>
      </c>
    </row>
    <row r="43">
      <c r="A43" s="33">
        <v>381.0</v>
      </c>
      <c r="B43" s="33" t="s">
        <v>986</v>
      </c>
      <c r="C43" s="33" t="s">
        <v>848</v>
      </c>
      <c r="D43" s="34">
        <v>0.702380952380952</v>
      </c>
      <c r="E43" s="34">
        <v>0.936507936507936</v>
      </c>
      <c r="F43" s="34">
        <v>0.972789115646258</v>
      </c>
      <c r="G43" s="34">
        <v>-0.797619047619047</v>
      </c>
      <c r="H43" s="34">
        <v>0.0148809523809523</v>
      </c>
      <c r="I43" s="34">
        <v>1.02164502164502</v>
      </c>
      <c r="J43" s="34">
        <v>1.3125</v>
      </c>
    </row>
    <row r="44">
      <c r="A44" s="33">
        <v>382.0</v>
      </c>
      <c r="B44" s="33" t="s">
        <v>987</v>
      </c>
      <c r="C44" s="33" t="s">
        <v>848</v>
      </c>
      <c r="D44" s="34">
        <v>0.702380952380952</v>
      </c>
      <c r="E44" s="34">
        <v>0.936507936507936</v>
      </c>
      <c r="F44" s="34">
        <v>0.972789115646258</v>
      </c>
      <c r="G44" s="34">
        <v>-0.797619047619047</v>
      </c>
      <c r="H44" s="34">
        <v>0.0148809523809523</v>
      </c>
      <c r="I44" s="34">
        <v>1.02164502164502</v>
      </c>
      <c r="J44" s="34">
        <v>1.3125</v>
      </c>
    </row>
    <row r="45">
      <c r="A45" s="33">
        <v>372.0</v>
      </c>
      <c r="B45" s="33" t="s">
        <v>837</v>
      </c>
      <c r="C45" s="33" t="s">
        <v>826</v>
      </c>
      <c r="D45" s="34">
        <v>0.857142857142857</v>
      </c>
      <c r="E45" s="34">
        <v>0.935064935064935</v>
      </c>
      <c r="F45" s="34">
        <v>0.968944099378882</v>
      </c>
      <c r="G45" s="34">
        <v>-0.976190476190476</v>
      </c>
      <c r="H45" s="34">
        <v>0.00595238095238093</v>
      </c>
      <c r="I45" s="34">
        <v>1.006993006993</v>
      </c>
      <c r="J45" s="34">
        <v>1.1</v>
      </c>
    </row>
    <row r="46">
      <c r="A46" s="33">
        <v>373.0</v>
      </c>
      <c r="B46" s="33" t="s">
        <v>848</v>
      </c>
      <c r="C46" s="33" t="s">
        <v>826</v>
      </c>
      <c r="D46" s="34">
        <v>0.857142857142857</v>
      </c>
      <c r="E46" s="34">
        <v>0.935064935064935</v>
      </c>
      <c r="F46" s="34">
        <v>0.968944099378882</v>
      </c>
      <c r="G46" s="34">
        <v>-0.976190476190476</v>
      </c>
      <c r="H46" s="34">
        <v>0.00595238095238093</v>
      </c>
      <c r="I46" s="34">
        <v>1.006993006993</v>
      </c>
      <c r="J46" s="34">
        <v>1.1</v>
      </c>
    </row>
    <row r="47">
      <c r="A47" s="33">
        <v>371.0</v>
      </c>
      <c r="B47" s="33" t="s">
        <v>835</v>
      </c>
      <c r="C47" s="33" t="s">
        <v>826</v>
      </c>
      <c r="D47" s="34">
        <v>0.809523809523809</v>
      </c>
      <c r="E47" s="34">
        <v>0.931506849315068</v>
      </c>
      <c r="F47" s="34">
        <v>0.968152866242038</v>
      </c>
      <c r="G47" s="34">
        <v>-0.928571428571428</v>
      </c>
      <c r="H47" s="34">
        <v>0.00255102040816324</v>
      </c>
      <c r="I47" s="34">
        <v>1.0031612223393</v>
      </c>
      <c r="J47" s="34">
        <v>1.04285714285714</v>
      </c>
    </row>
    <row r="48">
      <c r="A48" s="33">
        <v>367.0</v>
      </c>
      <c r="B48" s="33" t="s">
        <v>841</v>
      </c>
      <c r="C48" s="33" t="s">
        <v>825</v>
      </c>
      <c r="D48" s="34">
        <v>0.785714285714285</v>
      </c>
      <c r="E48" s="34">
        <v>0.929577464788732</v>
      </c>
      <c r="F48" s="34">
        <v>0.96774193548387</v>
      </c>
      <c r="G48" s="34">
        <v>-0.904761904761904</v>
      </c>
      <c r="H48" s="34">
        <v>8.50340136054339E-4</v>
      </c>
      <c r="I48" s="34">
        <v>1.00108342361863</v>
      </c>
      <c r="J48" s="34">
        <v>1.01428571428571</v>
      </c>
    </row>
    <row r="49">
      <c r="A49" s="33">
        <v>368.0</v>
      </c>
      <c r="B49" s="33" t="s">
        <v>840</v>
      </c>
      <c r="C49" s="33" t="s">
        <v>848</v>
      </c>
      <c r="D49" s="34">
        <v>0.785714285714285</v>
      </c>
      <c r="E49" s="34">
        <v>0.929577464788732</v>
      </c>
      <c r="F49" s="34">
        <v>0.96774193548387</v>
      </c>
      <c r="G49" s="34">
        <v>-0.904761904761904</v>
      </c>
      <c r="H49" s="34">
        <v>0.0109126984126984</v>
      </c>
      <c r="I49" s="34">
        <v>1.01408450704225</v>
      </c>
      <c r="J49" s="34">
        <v>1.18333333333333</v>
      </c>
    </row>
    <row r="50">
      <c r="A50" s="33">
        <v>369.0</v>
      </c>
      <c r="B50" s="33" t="s">
        <v>988</v>
      </c>
      <c r="C50" s="33" t="s">
        <v>826</v>
      </c>
      <c r="D50" s="34">
        <v>0.785714285714285</v>
      </c>
      <c r="E50" s="34">
        <v>0.929577464788732</v>
      </c>
      <c r="F50" s="34">
        <v>0.96774193548387</v>
      </c>
      <c r="G50" s="34">
        <v>-0.904761904761904</v>
      </c>
      <c r="H50" s="34">
        <v>8.50340136054339E-4</v>
      </c>
      <c r="I50" s="34">
        <v>1.00108342361863</v>
      </c>
      <c r="J50" s="34">
        <v>1.01428571428571</v>
      </c>
    </row>
    <row r="51">
      <c r="A51" s="33">
        <v>370.0</v>
      </c>
      <c r="B51" s="33" t="s">
        <v>989</v>
      </c>
      <c r="C51" s="33" t="s">
        <v>826</v>
      </c>
      <c r="D51" s="34">
        <v>0.785714285714285</v>
      </c>
      <c r="E51" s="34">
        <v>0.929577464788732</v>
      </c>
      <c r="F51" s="34">
        <v>0.96774193548387</v>
      </c>
      <c r="G51" s="34">
        <v>-0.904761904761904</v>
      </c>
      <c r="H51" s="34">
        <v>8.50340136054339E-4</v>
      </c>
      <c r="I51" s="34">
        <v>1.00108342361863</v>
      </c>
      <c r="J51" s="34">
        <v>1.01428571428571</v>
      </c>
    </row>
    <row r="52">
      <c r="A52" s="33">
        <v>365.0</v>
      </c>
      <c r="B52" s="33" t="s">
        <v>64</v>
      </c>
      <c r="C52" s="33" t="s">
        <v>826</v>
      </c>
      <c r="D52" s="34">
        <v>0.761904761904761</v>
      </c>
      <c r="E52" s="34">
        <v>0.927536231884058</v>
      </c>
      <c r="F52" s="34">
        <v>0.967320261437908</v>
      </c>
      <c r="G52" s="34">
        <v>-0.88095238095238</v>
      </c>
      <c r="H52" s="34">
        <v>-8.5034013605445E-4</v>
      </c>
      <c r="I52" s="34">
        <v>0.998885172798216</v>
      </c>
      <c r="J52" s="34">
        <v>0.985714285714285</v>
      </c>
    </row>
    <row r="53">
      <c r="A53" s="33">
        <v>366.0</v>
      </c>
      <c r="B53" s="33" t="s">
        <v>990</v>
      </c>
      <c r="C53" s="33" t="s">
        <v>826</v>
      </c>
      <c r="D53" s="34">
        <v>0.761904761904761</v>
      </c>
      <c r="E53" s="34">
        <v>0.927536231884058</v>
      </c>
      <c r="F53" s="34">
        <v>0.967320261437908</v>
      </c>
      <c r="G53" s="34">
        <v>-0.88095238095238</v>
      </c>
      <c r="H53" s="34">
        <v>-8.5034013605445E-4</v>
      </c>
      <c r="I53" s="34">
        <v>0.998885172798216</v>
      </c>
      <c r="J53" s="34">
        <v>0.985714285714285</v>
      </c>
    </row>
    <row r="54">
      <c r="A54" s="33">
        <v>362.0</v>
      </c>
      <c r="B54" s="33" t="s">
        <v>842</v>
      </c>
      <c r="C54" s="33" t="s">
        <v>825</v>
      </c>
      <c r="D54" s="34">
        <v>0.75</v>
      </c>
      <c r="E54" s="34">
        <v>0.926470588235294</v>
      </c>
      <c r="F54" s="34">
        <v>0.967105263157894</v>
      </c>
      <c r="G54" s="34">
        <v>-0.869047619047619</v>
      </c>
      <c r="H54" s="34">
        <v>-0.0017006802721089</v>
      </c>
      <c r="I54" s="34">
        <v>0.997737556561086</v>
      </c>
      <c r="J54" s="34">
        <v>0.971428571428571</v>
      </c>
    </row>
    <row r="55">
      <c r="A55" s="33">
        <v>363.0</v>
      </c>
      <c r="B55" s="33" t="s">
        <v>973</v>
      </c>
      <c r="C55" s="33" t="s">
        <v>837</v>
      </c>
      <c r="D55" s="34">
        <v>0.75</v>
      </c>
      <c r="E55" s="34">
        <v>0.926470588235294</v>
      </c>
      <c r="F55" s="34">
        <v>0.967105263157894</v>
      </c>
      <c r="G55" s="34">
        <v>-0.869047619047619</v>
      </c>
      <c r="H55" s="34">
        <v>0.0079365079365079</v>
      </c>
      <c r="I55" s="34">
        <v>1.01069518716577</v>
      </c>
      <c r="J55" s="34">
        <v>1.13333333333333</v>
      </c>
    </row>
    <row r="56">
      <c r="A56" s="33">
        <v>364.0</v>
      </c>
      <c r="B56" s="33" t="s">
        <v>973</v>
      </c>
      <c r="C56" s="33" t="s">
        <v>848</v>
      </c>
      <c r="D56" s="34">
        <v>0.75</v>
      </c>
      <c r="E56" s="34">
        <v>0.926470588235294</v>
      </c>
      <c r="F56" s="34">
        <v>0.967105263157894</v>
      </c>
      <c r="G56" s="34">
        <v>-0.869047619047619</v>
      </c>
      <c r="H56" s="34">
        <v>0.0079365079365079</v>
      </c>
      <c r="I56" s="34">
        <v>1.01069518716577</v>
      </c>
      <c r="J56" s="34">
        <v>1.13333333333333</v>
      </c>
    </row>
    <row r="57">
      <c r="A57" s="33">
        <v>360.0</v>
      </c>
      <c r="B57" s="33" t="s">
        <v>991</v>
      </c>
      <c r="C57" s="33" t="s">
        <v>826</v>
      </c>
      <c r="D57" s="34">
        <v>0.738095238095238</v>
      </c>
      <c r="E57" s="34">
        <v>0.925373134328358</v>
      </c>
      <c r="F57" s="34">
        <v>0.966887417218543</v>
      </c>
      <c r="G57" s="34">
        <v>-0.857142857142857</v>
      </c>
      <c r="H57" s="34">
        <v>-0.00255102040816335</v>
      </c>
      <c r="I57" s="34">
        <v>0.996555683122847</v>
      </c>
      <c r="J57" s="34">
        <v>0.957142857142857</v>
      </c>
    </row>
    <row r="58">
      <c r="A58" s="33">
        <v>361.0</v>
      </c>
      <c r="B58" s="33" t="s">
        <v>992</v>
      </c>
      <c r="C58" s="33" t="s">
        <v>826</v>
      </c>
      <c r="D58" s="34">
        <v>0.738095238095238</v>
      </c>
      <c r="E58" s="34">
        <v>0.925373134328358</v>
      </c>
      <c r="F58" s="34">
        <v>0.966887417218543</v>
      </c>
      <c r="G58" s="34">
        <v>-0.857142857142857</v>
      </c>
      <c r="H58" s="34">
        <v>-0.00255102040816335</v>
      </c>
      <c r="I58" s="34">
        <v>0.996555683122847</v>
      </c>
      <c r="J58" s="34">
        <v>0.957142857142857</v>
      </c>
    </row>
    <row r="59">
      <c r="A59" s="33">
        <v>356.0</v>
      </c>
      <c r="B59" s="33" t="s">
        <v>59</v>
      </c>
      <c r="C59" s="33" t="s">
        <v>826</v>
      </c>
      <c r="D59" s="34">
        <v>0.726190476190476</v>
      </c>
      <c r="E59" s="34">
        <v>0.924242424242424</v>
      </c>
      <c r="F59" s="34">
        <v>0.966666666666666</v>
      </c>
      <c r="G59" s="34">
        <v>-0.845238095238095</v>
      </c>
      <c r="H59" s="34">
        <v>-0.00340136054421769</v>
      </c>
      <c r="I59" s="34">
        <v>0.995337995337995</v>
      </c>
      <c r="J59" s="34">
        <v>0.942857142857142</v>
      </c>
    </row>
    <row r="60">
      <c r="A60" s="33">
        <v>357.0</v>
      </c>
      <c r="B60" s="33" t="s">
        <v>843</v>
      </c>
      <c r="C60" s="33" t="s">
        <v>825</v>
      </c>
      <c r="D60" s="34">
        <v>0.726190476190476</v>
      </c>
      <c r="E60" s="34">
        <v>0.924242424242424</v>
      </c>
      <c r="F60" s="34">
        <v>0.966666666666666</v>
      </c>
      <c r="G60" s="34">
        <v>-0.845238095238095</v>
      </c>
      <c r="H60" s="34">
        <v>-0.00340136054421769</v>
      </c>
      <c r="I60" s="34">
        <v>0.995337995337995</v>
      </c>
      <c r="J60" s="34">
        <v>0.942857142857142</v>
      </c>
    </row>
    <row r="61">
      <c r="A61" s="33">
        <v>358.0</v>
      </c>
      <c r="B61" s="33" t="s">
        <v>59</v>
      </c>
      <c r="C61" s="33" t="s">
        <v>848</v>
      </c>
      <c r="D61" s="34">
        <v>0.726190476190476</v>
      </c>
      <c r="E61" s="34">
        <v>0.924242424242424</v>
      </c>
      <c r="F61" s="34">
        <v>0.966666666666666</v>
      </c>
      <c r="G61" s="34">
        <v>-0.845238095238095</v>
      </c>
      <c r="H61" s="34">
        <v>0.00595238095238093</v>
      </c>
      <c r="I61" s="34">
        <v>1.00826446280991</v>
      </c>
      <c r="J61" s="34">
        <v>1.1</v>
      </c>
    </row>
    <row r="62">
      <c r="A62" s="33">
        <v>359.0</v>
      </c>
      <c r="B62" s="33" t="s">
        <v>993</v>
      </c>
      <c r="C62" s="33" t="s">
        <v>826</v>
      </c>
      <c r="D62" s="34">
        <v>0.726190476190476</v>
      </c>
      <c r="E62" s="34">
        <v>0.924242424242424</v>
      </c>
      <c r="F62" s="34">
        <v>0.966666666666666</v>
      </c>
      <c r="G62" s="34">
        <v>-0.845238095238095</v>
      </c>
      <c r="H62" s="34">
        <v>-0.00340136054421769</v>
      </c>
      <c r="I62" s="34">
        <v>0.995337995337995</v>
      </c>
      <c r="J62" s="34">
        <v>0.942857142857142</v>
      </c>
    </row>
    <row r="63">
      <c r="A63" s="33">
        <v>343.0</v>
      </c>
      <c r="B63" s="33" t="s">
        <v>826</v>
      </c>
      <c r="C63" s="33" t="s">
        <v>825</v>
      </c>
      <c r="D63" s="34">
        <v>0.857142857142857</v>
      </c>
      <c r="E63" s="34">
        <v>0.923076923076923</v>
      </c>
      <c r="F63" s="34">
        <v>0.962962962962963</v>
      </c>
      <c r="G63" s="34">
        <v>-1.0</v>
      </c>
      <c r="H63" s="34">
        <v>-0.00510204081632659</v>
      </c>
      <c r="I63" s="34">
        <v>0.994082840236686</v>
      </c>
      <c r="J63" s="34">
        <v>0.928571428571428</v>
      </c>
    </row>
    <row r="64">
      <c r="A64" s="33">
        <v>344.0</v>
      </c>
      <c r="B64" s="33" t="s">
        <v>825</v>
      </c>
      <c r="C64" s="33" t="s">
        <v>826</v>
      </c>
      <c r="D64" s="34">
        <v>0.857142857142857</v>
      </c>
      <c r="E64" s="34">
        <v>0.923076923076923</v>
      </c>
      <c r="F64" s="34">
        <v>0.962962962962963</v>
      </c>
      <c r="G64" s="34">
        <v>-1.0</v>
      </c>
      <c r="H64" s="34">
        <v>-0.00510204081632659</v>
      </c>
      <c r="I64" s="34">
        <v>0.994082840236686</v>
      </c>
      <c r="J64" s="34">
        <v>0.928571428571428</v>
      </c>
    </row>
    <row r="65">
      <c r="A65" s="33">
        <v>345.0</v>
      </c>
      <c r="B65" s="33" t="s">
        <v>826</v>
      </c>
      <c r="C65" s="33" t="s">
        <v>837</v>
      </c>
      <c r="D65" s="34">
        <v>0.857142857142857</v>
      </c>
      <c r="E65" s="34">
        <v>0.923076923076923</v>
      </c>
      <c r="F65" s="34">
        <v>0.962962962962963</v>
      </c>
      <c r="G65" s="34">
        <v>-1.0</v>
      </c>
      <c r="H65" s="34">
        <v>0.00595238095238093</v>
      </c>
      <c r="I65" s="34">
        <v>1.006993006993</v>
      </c>
      <c r="J65" s="34">
        <v>1.08333333333333</v>
      </c>
    </row>
    <row r="66">
      <c r="A66" s="33">
        <v>346.0</v>
      </c>
      <c r="B66" s="33" t="s">
        <v>826</v>
      </c>
      <c r="C66" s="33" t="s">
        <v>848</v>
      </c>
      <c r="D66" s="34">
        <v>0.857142857142857</v>
      </c>
      <c r="E66" s="34">
        <v>0.923076923076923</v>
      </c>
      <c r="F66" s="34">
        <v>0.962962962962963</v>
      </c>
      <c r="G66" s="34">
        <v>-1.0</v>
      </c>
      <c r="H66" s="34">
        <v>0.00595238095238093</v>
      </c>
      <c r="I66" s="34">
        <v>1.006993006993</v>
      </c>
      <c r="J66" s="34">
        <v>1.08333333333333</v>
      </c>
    </row>
    <row r="67">
      <c r="A67" s="33">
        <v>347.0</v>
      </c>
      <c r="B67" s="33" t="s">
        <v>994</v>
      </c>
      <c r="C67" s="33" t="s">
        <v>825</v>
      </c>
      <c r="D67" s="34">
        <v>0.714285714285714</v>
      </c>
      <c r="E67" s="34">
        <v>0.923076923076923</v>
      </c>
      <c r="F67" s="34">
        <v>0.966442953020134</v>
      </c>
      <c r="G67" s="34">
        <v>-0.833333333333333</v>
      </c>
      <c r="H67" s="34">
        <v>-0.00425170068027214</v>
      </c>
      <c r="I67" s="34">
        <v>0.994082840236686</v>
      </c>
      <c r="J67" s="34">
        <v>0.928571428571428</v>
      </c>
    </row>
    <row r="68">
      <c r="A68" s="33">
        <v>348.0</v>
      </c>
      <c r="B68" s="33" t="s">
        <v>975</v>
      </c>
      <c r="C68" s="33" t="s">
        <v>837</v>
      </c>
      <c r="D68" s="34">
        <v>0.714285714285714</v>
      </c>
      <c r="E68" s="34">
        <v>0.923076923076923</v>
      </c>
      <c r="F68" s="34">
        <v>0.966442953020134</v>
      </c>
      <c r="G68" s="34">
        <v>-0.833333333333333</v>
      </c>
      <c r="H68" s="34">
        <v>0.00496031746031744</v>
      </c>
      <c r="I68" s="34">
        <v>1.006993006993</v>
      </c>
      <c r="J68" s="34">
        <v>1.08333333333333</v>
      </c>
    </row>
    <row r="69">
      <c r="A69" s="33">
        <v>349.0</v>
      </c>
      <c r="B69" s="33" t="s">
        <v>995</v>
      </c>
      <c r="C69" s="33" t="s">
        <v>826</v>
      </c>
      <c r="D69" s="34">
        <v>0.714285714285714</v>
      </c>
      <c r="E69" s="34">
        <v>0.923076923076923</v>
      </c>
      <c r="F69" s="34">
        <v>0.966442953020134</v>
      </c>
      <c r="G69" s="34">
        <v>-0.833333333333333</v>
      </c>
      <c r="H69" s="34">
        <v>-0.00425170068027214</v>
      </c>
      <c r="I69" s="34">
        <v>0.994082840236686</v>
      </c>
      <c r="J69" s="34">
        <v>0.928571428571428</v>
      </c>
    </row>
    <row r="70">
      <c r="A70" s="33">
        <v>350.0</v>
      </c>
      <c r="B70" s="33" t="s">
        <v>994</v>
      </c>
      <c r="C70" s="33" t="s">
        <v>848</v>
      </c>
      <c r="D70" s="34">
        <v>0.714285714285714</v>
      </c>
      <c r="E70" s="34">
        <v>0.923076923076923</v>
      </c>
      <c r="F70" s="34">
        <v>0.966442953020134</v>
      </c>
      <c r="G70" s="34">
        <v>-0.833333333333333</v>
      </c>
      <c r="H70" s="34">
        <v>0.00496031746031744</v>
      </c>
      <c r="I70" s="34">
        <v>1.006993006993</v>
      </c>
      <c r="J70" s="34">
        <v>1.08333333333333</v>
      </c>
    </row>
    <row r="71">
      <c r="A71" s="33">
        <v>351.0</v>
      </c>
      <c r="B71" s="33" t="s">
        <v>996</v>
      </c>
      <c r="C71" s="33" t="s">
        <v>826</v>
      </c>
      <c r="D71" s="34">
        <v>0.714285714285714</v>
      </c>
      <c r="E71" s="34">
        <v>0.923076923076923</v>
      </c>
      <c r="F71" s="34">
        <v>0.966442953020134</v>
      </c>
      <c r="G71" s="34">
        <v>-0.833333333333333</v>
      </c>
      <c r="H71" s="34">
        <v>-0.00425170068027214</v>
      </c>
      <c r="I71" s="34">
        <v>0.994082840236686</v>
      </c>
      <c r="J71" s="34">
        <v>0.928571428571428</v>
      </c>
    </row>
    <row r="72">
      <c r="A72" s="33">
        <v>352.0</v>
      </c>
      <c r="B72" s="33" t="s">
        <v>996</v>
      </c>
      <c r="C72" s="33" t="s">
        <v>825</v>
      </c>
      <c r="D72" s="34">
        <v>0.714285714285714</v>
      </c>
      <c r="E72" s="34">
        <v>0.923076923076923</v>
      </c>
      <c r="F72" s="34">
        <v>0.966442953020134</v>
      </c>
      <c r="G72" s="34">
        <v>-0.833333333333333</v>
      </c>
      <c r="H72" s="34">
        <v>-0.00425170068027214</v>
      </c>
      <c r="I72" s="34">
        <v>0.994082840236686</v>
      </c>
      <c r="J72" s="34">
        <v>0.928571428571428</v>
      </c>
    </row>
    <row r="73">
      <c r="A73" s="33">
        <v>353.0</v>
      </c>
      <c r="B73" s="33" t="s">
        <v>997</v>
      </c>
      <c r="C73" s="33" t="s">
        <v>848</v>
      </c>
      <c r="D73" s="34">
        <v>0.714285714285714</v>
      </c>
      <c r="E73" s="34">
        <v>0.923076923076923</v>
      </c>
      <c r="F73" s="34">
        <v>0.966442953020134</v>
      </c>
      <c r="G73" s="34">
        <v>-0.833333333333333</v>
      </c>
      <c r="H73" s="34">
        <v>0.00496031746031744</v>
      </c>
      <c r="I73" s="34">
        <v>1.006993006993</v>
      </c>
      <c r="J73" s="34">
        <v>1.08333333333333</v>
      </c>
    </row>
    <row r="74">
      <c r="A74" s="33">
        <v>354.0</v>
      </c>
      <c r="B74" s="33" t="s">
        <v>997</v>
      </c>
      <c r="C74" s="33" t="s">
        <v>835</v>
      </c>
      <c r="D74" s="34">
        <v>0.714285714285714</v>
      </c>
      <c r="E74" s="34">
        <v>0.923076923076923</v>
      </c>
      <c r="F74" s="34">
        <v>0.966442953020134</v>
      </c>
      <c r="G74" s="34">
        <v>-0.833333333333333</v>
      </c>
      <c r="H74" s="34">
        <v>0.0418083900226756</v>
      </c>
      <c r="I74" s="34">
        <v>1.06217070600632</v>
      </c>
      <c r="J74" s="34">
        <v>1.70238095238095</v>
      </c>
    </row>
    <row r="75">
      <c r="A75" s="33">
        <v>355.0</v>
      </c>
      <c r="B75" s="33" t="s">
        <v>995</v>
      </c>
      <c r="C75" s="33" t="s">
        <v>848</v>
      </c>
      <c r="D75" s="34">
        <v>0.714285714285714</v>
      </c>
      <c r="E75" s="34">
        <v>0.923076923076923</v>
      </c>
      <c r="F75" s="34">
        <v>0.966442953020134</v>
      </c>
      <c r="G75" s="34">
        <v>-0.833333333333333</v>
      </c>
      <c r="H75" s="34">
        <v>0.00496031746031744</v>
      </c>
      <c r="I75" s="34">
        <v>1.006993006993</v>
      </c>
      <c r="J75" s="34">
        <v>1.08333333333333</v>
      </c>
    </row>
    <row r="76">
      <c r="A76" s="33">
        <v>341.0</v>
      </c>
      <c r="B76" s="33" t="s">
        <v>837</v>
      </c>
      <c r="C76" s="33" t="s">
        <v>825</v>
      </c>
      <c r="D76" s="34">
        <v>0.845238095238095</v>
      </c>
      <c r="E76" s="34">
        <v>0.922077922077922</v>
      </c>
      <c r="F76" s="34">
        <v>0.962732919254658</v>
      </c>
      <c r="G76" s="34">
        <v>-0.988095238095238</v>
      </c>
      <c r="H76" s="34">
        <v>-0.00595238095238093</v>
      </c>
      <c r="I76" s="34">
        <v>0.993006993006993</v>
      </c>
      <c r="J76" s="34">
        <v>0.916666666666666</v>
      </c>
    </row>
    <row r="77">
      <c r="A77" s="33">
        <v>342.0</v>
      </c>
      <c r="B77" s="33" t="s">
        <v>848</v>
      </c>
      <c r="C77" s="33" t="s">
        <v>825</v>
      </c>
      <c r="D77" s="34">
        <v>0.845238095238095</v>
      </c>
      <c r="E77" s="34">
        <v>0.922077922077922</v>
      </c>
      <c r="F77" s="34">
        <v>0.962732919254658</v>
      </c>
      <c r="G77" s="34">
        <v>-0.988095238095238</v>
      </c>
      <c r="H77" s="34">
        <v>-0.00595238095238093</v>
      </c>
      <c r="I77" s="34">
        <v>0.993006993006993</v>
      </c>
      <c r="J77" s="34">
        <v>0.916666666666666</v>
      </c>
    </row>
    <row r="78">
      <c r="A78" s="33">
        <v>331.0</v>
      </c>
      <c r="B78" s="33" t="s">
        <v>998</v>
      </c>
      <c r="C78" s="33" t="s">
        <v>825</v>
      </c>
      <c r="D78" s="34">
        <v>0.702380952380952</v>
      </c>
      <c r="E78" s="34">
        <v>0.921875</v>
      </c>
      <c r="F78" s="34">
        <v>0.966216216216216</v>
      </c>
      <c r="G78" s="34">
        <v>-0.821428571428571</v>
      </c>
      <c r="H78" s="34">
        <v>-0.00510204081632659</v>
      </c>
      <c r="I78" s="34">
        <v>0.992788461538461</v>
      </c>
      <c r="J78" s="34">
        <v>0.914285714285714</v>
      </c>
    </row>
    <row r="79">
      <c r="A79" s="33">
        <v>332.0</v>
      </c>
      <c r="B79" s="33" t="s">
        <v>999</v>
      </c>
      <c r="C79" s="33" t="s">
        <v>826</v>
      </c>
      <c r="D79" s="34">
        <v>0.702380952380952</v>
      </c>
      <c r="E79" s="34">
        <v>0.921875</v>
      </c>
      <c r="F79" s="34">
        <v>0.966216216216216</v>
      </c>
      <c r="G79" s="34">
        <v>-0.821428571428571</v>
      </c>
      <c r="H79" s="34">
        <v>-0.00510204081632659</v>
      </c>
      <c r="I79" s="34">
        <v>0.992788461538461</v>
      </c>
      <c r="J79" s="34">
        <v>0.914285714285714</v>
      </c>
    </row>
    <row r="80">
      <c r="A80" s="33">
        <v>333.0</v>
      </c>
      <c r="B80" s="33" t="s">
        <v>998</v>
      </c>
      <c r="C80" s="33" t="s">
        <v>837</v>
      </c>
      <c r="D80" s="34">
        <v>0.702380952380952</v>
      </c>
      <c r="E80" s="34">
        <v>0.921875</v>
      </c>
      <c r="F80" s="34">
        <v>0.966216216216216</v>
      </c>
      <c r="G80" s="34">
        <v>-0.821428571428571</v>
      </c>
      <c r="H80" s="34">
        <v>0.00396825396825395</v>
      </c>
      <c r="I80" s="34">
        <v>1.00568181818181</v>
      </c>
      <c r="J80" s="34">
        <v>1.06666666666666</v>
      </c>
    </row>
    <row r="81">
      <c r="A81" s="33">
        <v>334.0</v>
      </c>
      <c r="B81" s="33" t="s">
        <v>977</v>
      </c>
      <c r="C81" s="33" t="s">
        <v>826</v>
      </c>
      <c r="D81" s="34">
        <v>0.702380952380952</v>
      </c>
      <c r="E81" s="34">
        <v>0.921875</v>
      </c>
      <c r="F81" s="34">
        <v>0.966216216216216</v>
      </c>
      <c r="G81" s="34">
        <v>-0.821428571428571</v>
      </c>
      <c r="H81" s="34">
        <v>-0.00510204081632659</v>
      </c>
      <c r="I81" s="34">
        <v>0.992788461538461</v>
      </c>
      <c r="J81" s="34">
        <v>0.914285714285714</v>
      </c>
    </row>
    <row r="82">
      <c r="A82" s="33">
        <v>335.0</v>
      </c>
      <c r="B82" s="33" t="s">
        <v>999</v>
      </c>
      <c r="C82" s="33" t="s">
        <v>825</v>
      </c>
      <c r="D82" s="34">
        <v>0.702380952380952</v>
      </c>
      <c r="E82" s="34">
        <v>0.921875</v>
      </c>
      <c r="F82" s="34">
        <v>0.966216216216216</v>
      </c>
      <c r="G82" s="34">
        <v>-0.821428571428571</v>
      </c>
      <c r="H82" s="34">
        <v>-0.00510204081632659</v>
      </c>
      <c r="I82" s="34">
        <v>0.992788461538461</v>
      </c>
      <c r="J82" s="34">
        <v>0.914285714285714</v>
      </c>
    </row>
    <row r="83">
      <c r="A83" s="33">
        <v>336.0</v>
      </c>
      <c r="B83" s="33" t="s">
        <v>1000</v>
      </c>
      <c r="C83" s="33" t="s">
        <v>825</v>
      </c>
      <c r="D83" s="34">
        <v>0.702380952380952</v>
      </c>
      <c r="E83" s="34">
        <v>0.921875</v>
      </c>
      <c r="F83" s="34">
        <v>0.966216216216216</v>
      </c>
      <c r="G83" s="34">
        <v>-0.821428571428571</v>
      </c>
      <c r="H83" s="34">
        <v>-0.00510204081632659</v>
      </c>
      <c r="I83" s="34">
        <v>0.992788461538461</v>
      </c>
      <c r="J83" s="34">
        <v>0.914285714285714</v>
      </c>
    </row>
    <row r="84">
      <c r="A84" s="33">
        <v>337.0</v>
      </c>
      <c r="B84" s="33" t="s">
        <v>977</v>
      </c>
      <c r="C84" s="33" t="s">
        <v>837</v>
      </c>
      <c r="D84" s="34">
        <v>0.702380952380952</v>
      </c>
      <c r="E84" s="34">
        <v>0.921875</v>
      </c>
      <c r="F84" s="34">
        <v>0.966216216216216</v>
      </c>
      <c r="G84" s="34">
        <v>-0.821428571428571</v>
      </c>
      <c r="H84" s="34">
        <v>0.00396825396825395</v>
      </c>
      <c r="I84" s="34">
        <v>1.00568181818181</v>
      </c>
      <c r="J84" s="34">
        <v>1.06666666666666</v>
      </c>
    </row>
    <row r="85">
      <c r="A85" s="33">
        <v>338.0</v>
      </c>
      <c r="B85" s="33" t="s">
        <v>977</v>
      </c>
      <c r="C85" s="33" t="s">
        <v>848</v>
      </c>
      <c r="D85" s="34">
        <v>0.702380952380952</v>
      </c>
      <c r="E85" s="34">
        <v>0.921875</v>
      </c>
      <c r="F85" s="34">
        <v>0.966216216216216</v>
      </c>
      <c r="G85" s="34">
        <v>-0.821428571428571</v>
      </c>
      <c r="H85" s="34">
        <v>0.00396825396825395</v>
      </c>
      <c r="I85" s="34">
        <v>1.00568181818181</v>
      </c>
      <c r="J85" s="34">
        <v>1.06666666666666</v>
      </c>
    </row>
    <row r="86">
      <c r="A86" s="33">
        <v>339.0</v>
      </c>
      <c r="B86" s="33" t="s">
        <v>1001</v>
      </c>
      <c r="C86" s="33" t="s">
        <v>837</v>
      </c>
      <c r="D86" s="34">
        <v>0.702380952380952</v>
      </c>
      <c r="E86" s="34">
        <v>0.921875</v>
      </c>
      <c r="F86" s="34">
        <v>0.966216216216216</v>
      </c>
      <c r="G86" s="34">
        <v>-0.821428571428571</v>
      </c>
      <c r="H86" s="34">
        <v>0.00396825396825395</v>
      </c>
      <c r="I86" s="34">
        <v>1.00568181818181</v>
      </c>
      <c r="J86" s="34">
        <v>1.06666666666666</v>
      </c>
    </row>
    <row r="87">
      <c r="A87" s="33">
        <v>340.0</v>
      </c>
      <c r="B87" s="33" t="s">
        <v>1001</v>
      </c>
      <c r="C87" s="33" t="s">
        <v>848</v>
      </c>
      <c r="D87" s="34">
        <v>0.702380952380952</v>
      </c>
      <c r="E87" s="34">
        <v>0.921875</v>
      </c>
      <c r="F87" s="34">
        <v>0.966216216216216</v>
      </c>
      <c r="G87" s="34">
        <v>-0.821428571428571</v>
      </c>
      <c r="H87" s="34">
        <v>0.00396825396825395</v>
      </c>
      <c r="I87" s="34">
        <v>1.00568181818181</v>
      </c>
      <c r="J87" s="34">
        <v>1.06666666666666</v>
      </c>
    </row>
    <row r="88">
      <c r="A88" s="33">
        <v>329.0</v>
      </c>
      <c r="B88" s="33" t="s">
        <v>836</v>
      </c>
      <c r="C88" s="33" t="s">
        <v>826</v>
      </c>
      <c r="D88" s="34">
        <v>0.809523809523809</v>
      </c>
      <c r="E88" s="34">
        <v>0.918918918918919</v>
      </c>
      <c r="F88" s="34">
        <v>0.962025316455696</v>
      </c>
      <c r="G88" s="34">
        <v>-0.952380952380952</v>
      </c>
      <c r="H88" s="34">
        <v>-0.00850340136054417</v>
      </c>
      <c r="I88" s="34">
        <v>0.989604989604989</v>
      </c>
      <c r="J88" s="34">
        <v>0.88095238095238</v>
      </c>
    </row>
    <row r="89">
      <c r="A89" s="33">
        <v>330.0</v>
      </c>
      <c r="B89" s="33" t="s">
        <v>836</v>
      </c>
      <c r="C89" s="33" t="s">
        <v>825</v>
      </c>
      <c r="D89" s="34">
        <v>0.809523809523809</v>
      </c>
      <c r="E89" s="34">
        <v>0.918918918918919</v>
      </c>
      <c r="F89" s="34">
        <v>0.962025316455696</v>
      </c>
      <c r="G89" s="34">
        <v>-0.952380952380952</v>
      </c>
      <c r="H89" s="34">
        <v>-0.00850340136054417</v>
      </c>
      <c r="I89" s="34">
        <v>0.989604989604989</v>
      </c>
      <c r="J89" s="34">
        <v>0.88095238095238</v>
      </c>
    </row>
    <row r="90">
      <c r="A90" s="33">
        <v>327.0</v>
      </c>
      <c r="B90" s="33" t="s">
        <v>835</v>
      </c>
      <c r="C90" s="33" t="s">
        <v>837</v>
      </c>
      <c r="D90" s="34">
        <v>0.797619047619047</v>
      </c>
      <c r="E90" s="34">
        <v>0.917808219178082</v>
      </c>
      <c r="F90" s="34">
        <v>0.961783439490445</v>
      </c>
      <c r="G90" s="34">
        <v>-0.94047619047619</v>
      </c>
      <c r="H90" s="34">
        <v>9.92063492063599E-4</v>
      </c>
      <c r="I90" s="34">
        <v>1.00124533001245</v>
      </c>
      <c r="J90" s="34">
        <v>1.01388888888888</v>
      </c>
    </row>
    <row r="91">
      <c r="A91" s="33">
        <v>328.0</v>
      </c>
      <c r="B91" s="33" t="s">
        <v>835</v>
      </c>
      <c r="C91" s="33" t="s">
        <v>848</v>
      </c>
      <c r="D91" s="34">
        <v>0.797619047619047</v>
      </c>
      <c r="E91" s="34">
        <v>0.917808219178082</v>
      </c>
      <c r="F91" s="34">
        <v>0.961783439490445</v>
      </c>
      <c r="G91" s="34">
        <v>-0.94047619047619</v>
      </c>
      <c r="H91" s="34">
        <v>9.92063492063599E-4</v>
      </c>
      <c r="I91" s="34">
        <v>1.00124533001245</v>
      </c>
      <c r="J91" s="34">
        <v>1.01388888888888</v>
      </c>
    </row>
    <row r="92">
      <c r="A92" s="33">
        <v>320.0</v>
      </c>
      <c r="B92" s="33" t="s">
        <v>839</v>
      </c>
      <c r="C92" s="33" t="s">
        <v>825</v>
      </c>
      <c r="D92" s="34">
        <v>0.785714285714285</v>
      </c>
      <c r="E92" s="34">
        <v>0.916666666666666</v>
      </c>
      <c r="F92" s="34">
        <v>0.961538461538461</v>
      </c>
      <c r="G92" s="34">
        <v>-0.928571428571428</v>
      </c>
      <c r="H92" s="34">
        <v>-0.010204081632653</v>
      </c>
      <c r="I92" s="34">
        <v>0.987179487179487</v>
      </c>
      <c r="J92" s="34">
        <v>0.857142857142857</v>
      </c>
    </row>
    <row r="93">
      <c r="A93" s="33">
        <v>321.0</v>
      </c>
      <c r="B93" s="33" t="s">
        <v>1002</v>
      </c>
      <c r="C93" s="33" t="s">
        <v>837</v>
      </c>
      <c r="D93" s="34">
        <v>0.785714285714285</v>
      </c>
      <c r="E93" s="34">
        <v>0.916666666666666</v>
      </c>
      <c r="F93" s="34">
        <v>0.961538461538461</v>
      </c>
      <c r="G93" s="34">
        <v>-0.928571428571428</v>
      </c>
      <c r="H93" s="34">
        <v>1.11022302462515E-16</v>
      </c>
      <c r="I93" s="34">
        <v>1.0</v>
      </c>
      <c r="J93" s="34">
        <v>1.0</v>
      </c>
    </row>
    <row r="94">
      <c r="A94" s="33">
        <v>322.0</v>
      </c>
      <c r="B94" s="33" t="s">
        <v>1003</v>
      </c>
      <c r="C94" s="33" t="s">
        <v>825</v>
      </c>
      <c r="D94" s="34">
        <v>0.785714285714285</v>
      </c>
      <c r="E94" s="34">
        <v>0.916666666666666</v>
      </c>
      <c r="F94" s="34">
        <v>0.961538461538461</v>
      </c>
      <c r="G94" s="34">
        <v>-0.928571428571428</v>
      </c>
      <c r="H94" s="34">
        <v>-0.010204081632653</v>
      </c>
      <c r="I94" s="34">
        <v>0.987179487179487</v>
      </c>
      <c r="J94" s="34">
        <v>0.857142857142857</v>
      </c>
    </row>
    <row r="95">
      <c r="A95" s="33">
        <v>323.0</v>
      </c>
      <c r="B95" s="33" t="s">
        <v>1002</v>
      </c>
      <c r="C95" s="33" t="s">
        <v>848</v>
      </c>
      <c r="D95" s="34">
        <v>0.785714285714285</v>
      </c>
      <c r="E95" s="34">
        <v>0.916666666666666</v>
      </c>
      <c r="F95" s="34">
        <v>0.961538461538461</v>
      </c>
      <c r="G95" s="34">
        <v>-0.928571428571428</v>
      </c>
      <c r="H95" s="34">
        <v>1.11022302462515E-16</v>
      </c>
      <c r="I95" s="34">
        <v>1.0</v>
      </c>
      <c r="J95" s="34">
        <v>1.0</v>
      </c>
    </row>
    <row r="96">
      <c r="A96" s="33">
        <v>324.0</v>
      </c>
      <c r="B96" s="33" t="s">
        <v>1004</v>
      </c>
      <c r="C96" s="33" t="s">
        <v>825</v>
      </c>
      <c r="D96" s="34">
        <v>0.785714285714285</v>
      </c>
      <c r="E96" s="34">
        <v>0.916666666666666</v>
      </c>
      <c r="F96" s="34">
        <v>0.961538461538461</v>
      </c>
      <c r="G96" s="34">
        <v>-0.928571428571428</v>
      </c>
      <c r="H96" s="34">
        <v>-0.010204081632653</v>
      </c>
      <c r="I96" s="34">
        <v>0.987179487179487</v>
      </c>
      <c r="J96" s="34">
        <v>0.857142857142857</v>
      </c>
    </row>
    <row r="97">
      <c r="A97" s="33">
        <v>325.0</v>
      </c>
      <c r="B97" s="33" t="s">
        <v>1003</v>
      </c>
      <c r="C97" s="33" t="s">
        <v>848</v>
      </c>
      <c r="D97" s="34">
        <v>0.785714285714285</v>
      </c>
      <c r="E97" s="34">
        <v>0.916666666666666</v>
      </c>
      <c r="F97" s="34">
        <v>0.961538461538461</v>
      </c>
      <c r="G97" s="34">
        <v>-0.928571428571428</v>
      </c>
      <c r="H97" s="34">
        <v>1.11022302462515E-16</v>
      </c>
      <c r="I97" s="34">
        <v>1.0</v>
      </c>
      <c r="J97" s="34">
        <v>1.0</v>
      </c>
    </row>
    <row r="98">
      <c r="A98" s="33">
        <v>326.0</v>
      </c>
      <c r="B98" s="33" t="s">
        <v>1004</v>
      </c>
      <c r="C98" s="33" t="s">
        <v>837</v>
      </c>
      <c r="D98" s="34">
        <v>0.785714285714285</v>
      </c>
      <c r="E98" s="34">
        <v>0.916666666666666</v>
      </c>
      <c r="F98" s="34">
        <v>0.961538461538461</v>
      </c>
      <c r="G98" s="34">
        <v>-0.928571428571428</v>
      </c>
      <c r="H98" s="34">
        <v>1.11022302462515E-16</v>
      </c>
      <c r="I98" s="34">
        <v>1.0</v>
      </c>
      <c r="J98" s="34">
        <v>1.0</v>
      </c>
    </row>
    <row r="99">
      <c r="A99" s="33">
        <v>315.0</v>
      </c>
      <c r="B99" s="33" t="s">
        <v>841</v>
      </c>
      <c r="C99" s="33" t="s">
        <v>826</v>
      </c>
      <c r="D99" s="34">
        <v>0.773809523809523</v>
      </c>
      <c r="E99" s="34">
        <v>0.915492957746478</v>
      </c>
      <c r="F99" s="34">
        <v>0.961290322580645</v>
      </c>
      <c r="G99" s="34">
        <v>-0.916666666666666</v>
      </c>
      <c r="H99" s="34">
        <v>-0.0110544217687075</v>
      </c>
      <c r="I99" s="34">
        <v>0.985915492957746</v>
      </c>
      <c r="J99" s="34">
        <v>0.845238095238095</v>
      </c>
    </row>
    <row r="100">
      <c r="A100" s="33">
        <v>316.0</v>
      </c>
      <c r="B100" s="33" t="s">
        <v>840</v>
      </c>
      <c r="C100" s="33" t="s">
        <v>826</v>
      </c>
      <c r="D100" s="34">
        <v>0.773809523809523</v>
      </c>
      <c r="E100" s="34">
        <v>0.915492957746478</v>
      </c>
      <c r="F100" s="34">
        <v>0.961290322580645</v>
      </c>
      <c r="G100" s="34">
        <v>-0.916666666666666</v>
      </c>
      <c r="H100" s="34">
        <v>-0.0110544217687075</v>
      </c>
      <c r="I100" s="34">
        <v>0.985915492957746</v>
      </c>
      <c r="J100" s="34">
        <v>0.845238095238095</v>
      </c>
    </row>
    <row r="101">
      <c r="A101" s="33">
        <v>317.0</v>
      </c>
      <c r="B101" s="33" t="s">
        <v>840</v>
      </c>
      <c r="C101" s="33" t="s">
        <v>825</v>
      </c>
      <c r="D101" s="34">
        <v>0.773809523809523</v>
      </c>
      <c r="E101" s="34">
        <v>0.915492957746478</v>
      </c>
      <c r="F101" s="34">
        <v>0.961290322580645</v>
      </c>
      <c r="G101" s="34">
        <v>-0.916666666666666</v>
      </c>
      <c r="H101" s="34">
        <v>-0.0110544217687075</v>
      </c>
      <c r="I101" s="34">
        <v>0.985915492957746</v>
      </c>
      <c r="J101" s="34">
        <v>0.845238095238095</v>
      </c>
    </row>
    <row r="102">
      <c r="A102" s="36">
        <v>318.0</v>
      </c>
      <c r="B102" s="36" t="s">
        <v>840</v>
      </c>
      <c r="C102" s="36" t="s">
        <v>837</v>
      </c>
      <c r="D102" s="37">
        <v>0.773809523809523</v>
      </c>
      <c r="E102" s="37">
        <v>0.915492957746478</v>
      </c>
      <c r="F102" s="37">
        <v>0.961290322580645</v>
      </c>
      <c r="G102" s="37">
        <v>-0.916666666666666</v>
      </c>
      <c r="H102" s="37">
        <v>-9.92063492063377E-4</v>
      </c>
      <c r="I102" s="37">
        <v>0.998719590268886</v>
      </c>
      <c r="J102" s="37">
        <v>0.986111111111111</v>
      </c>
    </row>
    <row r="103">
      <c r="A103" s="33">
        <v>319.0</v>
      </c>
      <c r="B103" s="33" t="s">
        <v>841</v>
      </c>
      <c r="C103" s="33" t="s">
        <v>848</v>
      </c>
      <c r="D103" s="34">
        <v>0.773809523809523</v>
      </c>
      <c r="E103" s="34">
        <v>0.915492957746478</v>
      </c>
      <c r="F103" s="34">
        <v>0.961290322580645</v>
      </c>
      <c r="G103" s="34">
        <v>-0.916666666666666</v>
      </c>
      <c r="H103" s="34">
        <v>-9.92063492063377E-4</v>
      </c>
      <c r="I103" s="34">
        <v>0.998719590268886</v>
      </c>
      <c r="J103" s="34">
        <v>0.986111111111111</v>
      </c>
    </row>
    <row r="104">
      <c r="A104" s="33">
        <v>314.0</v>
      </c>
      <c r="B104" s="33" t="s">
        <v>971</v>
      </c>
      <c r="C104" s="33" t="s">
        <v>825</v>
      </c>
      <c r="D104" s="34">
        <v>0.761904761904761</v>
      </c>
      <c r="E104" s="34">
        <v>0.914285714285714</v>
      </c>
      <c r="F104" s="34">
        <v>0.96103896103896</v>
      </c>
      <c r="G104" s="34">
        <v>-0.904761904761904</v>
      </c>
      <c r="H104" s="34">
        <v>-0.0119047619047619</v>
      </c>
      <c r="I104" s="34">
        <v>0.984615384615384</v>
      </c>
      <c r="J104" s="34">
        <v>0.833333333333333</v>
      </c>
    </row>
    <row r="105">
      <c r="A105" s="33">
        <v>308.0</v>
      </c>
      <c r="B105" s="33" t="s">
        <v>830</v>
      </c>
      <c r="C105" s="33" t="s">
        <v>826</v>
      </c>
      <c r="D105" s="34">
        <v>0.75</v>
      </c>
      <c r="E105" s="34">
        <v>0.913043478260869</v>
      </c>
      <c r="F105" s="34">
        <v>0.96078431372549</v>
      </c>
      <c r="G105" s="34">
        <v>-0.892857142857142</v>
      </c>
      <c r="H105" s="34">
        <v>-0.0127551020408163</v>
      </c>
      <c r="I105" s="34">
        <v>0.983277591973244</v>
      </c>
      <c r="J105" s="34">
        <v>0.821428571428571</v>
      </c>
    </row>
    <row r="106">
      <c r="A106" s="36">
        <v>309.0</v>
      </c>
      <c r="B106" s="36" t="s">
        <v>64</v>
      </c>
      <c r="C106" s="36" t="s">
        <v>825</v>
      </c>
      <c r="D106" s="37">
        <v>0.75</v>
      </c>
      <c r="E106" s="37">
        <v>0.913043478260869</v>
      </c>
      <c r="F106" s="37">
        <v>0.96078431372549</v>
      </c>
      <c r="G106" s="37">
        <v>-0.892857142857142</v>
      </c>
      <c r="H106" s="37">
        <v>-0.0127551020408163</v>
      </c>
      <c r="I106" s="37">
        <v>0.983277591973244</v>
      </c>
      <c r="J106" s="37">
        <v>0.821428571428571</v>
      </c>
    </row>
    <row r="107">
      <c r="A107" s="33">
        <v>310.0</v>
      </c>
      <c r="B107" s="33" t="s">
        <v>972</v>
      </c>
      <c r="C107" s="33" t="s">
        <v>825</v>
      </c>
      <c r="D107" s="34">
        <v>0.75</v>
      </c>
      <c r="E107" s="34">
        <v>0.913043478260869</v>
      </c>
      <c r="F107" s="34">
        <v>0.96078431372549</v>
      </c>
      <c r="G107" s="34">
        <v>-0.892857142857142</v>
      </c>
      <c r="H107" s="34">
        <v>-0.0127551020408163</v>
      </c>
      <c r="I107" s="34">
        <v>0.983277591973244</v>
      </c>
      <c r="J107" s="34">
        <v>0.821428571428571</v>
      </c>
    </row>
    <row r="108">
      <c r="A108" s="33">
        <v>311.0</v>
      </c>
      <c r="B108" s="33" t="s">
        <v>972</v>
      </c>
      <c r="C108" s="33" t="s">
        <v>837</v>
      </c>
      <c r="D108" s="34">
        <v>0.75</v>
      </c>
      <c r="E108" s="34">
        <v>0.913043478260869</v>
      </c>
      <c r="F108" s="34">
        <v>0.96078431372549</v>
      </c>
      <c r="G108" s="34">
        <v>-0.892857142857142</v>
      </c>
      <c r="H108" s="34">
        <v>-0.00297619047619046</v>
      </c>
      <c r="I108" s="34">
        <v>0.996047430830039</v>
      </c>
      <c r="J108" s="34">
        <v>0.958333333333333</v>
      </c>
    </row>
    <row r="109">
      <c r="A109" s="33">
        <v>312.0</v>
      </c>
      <c r="B109" s="33" t="s">
        <v>990</v>
      </c>
      <c r="C109" s="33" t="s">
        <v>837</v>
      </c>
      <c r="D109" s="34">
        <v>0.75</v>
      </c>
      <c r="E109" s="34">
        <v>0.913043478260869</v>
      </c>
      <c r="F109" s="34">
        <v>0.96078431372549</v>
      </c>
      <c r="G109" s="34">
        <v>-0.892857142857142</v>
      </c>
      <c r="H109" s="34">
        <v>-0.00297619047619046</v>
      </c>
      <c r="I109" s="34">
        <v>0.996047430830039</v>
      </c>
      <c r="J109" s="34">
        <v>0.958333333333333</v>
      </c>
    </row>
    <row r="110">
      <c r="A110" s="33">
        <v>313.0</v>
      </c>
      <c r="B110" s="33" t="s">
        <v>990</v>
      </c>
      <c r="C110" s="33" t="s">
        <v>848</v>
      </c>
      <c r="D110" s="34">
        <v>0.75</v>
      </c>
      <c r="E110" s="34">
        <v>0.913043478260869</v>
      </c>
      <c r="F110" s="34">
        <v>0.96078431372549</v>
      </c>
      <c r="G110" s="34">
        <v>-0.892857142857142</v>
      </c>
      <c r="H110" s="34">
        <v>-0.00297619047619046</v>
      </c>
      <c r="I110" s="34">
        <v>0.996047430830039</v>
      </c>
      <c r="J110" s="34">
        <v>0.958333333333333</v>
      </c>
    </row>
    <row r="111">
      <c r="A111" s="36">
        <v>302.0</v>
      </c>
      <c r="B111" s="36" t="s">
        <v>842</v>
      </c>
      <c r="C111" s="36" t="s">
        <v>837</v>
      </c>
      <c r="D111" s="37">
        <v>0.738095238095238</v>
      </c>
      <c r="E111" s="37">
        <v>0.911764705882352</v>
      </c>
      <c r="F111" s="37">
        <v>0.960526315789473</v>
      </c>
      <c r="G111" s="37">
        <v>-0.88095238095238</v>
      </c>
      <c r="H111" s="37">
        <v>-0.00396825396825395</v>
      </c>
      <c r="I111" s="37">
        <v>0.994652406417112</v>
      </c>
      <c r="J111" s="37">
        <v>0.944444444444444</v>
      </c>
    </row>
    <row r="112">
      <c r="A112" s="33">
        <v>303.0</v>
      </c>
      <c r="B112" s="33" t="s">
        <v>1005</v>
      </c>
      <c r="C112" s="33" t="s">
        <v>825</v>
      </c>
      <c r="D112" s="34">
        <v>0.738095238095238</v>
      </c>
      <c r="E112" s="34">
        <v>0.911764705882352</v>
      </c>
      <c r="F112" s="34">
        <v>0.960526315789473</v>
      </c>
      <c r="G112" s="34">
        <v>-0.88095238095238</v>
      </c>
      <c r="H112" s="34">
        <v>-0.0136054421768707</v>
      </c>
      <c r="I112" s="34">
        <v>0.981900452488687</v>
      </c>
      <c r="J112" s="34">
        <v>0.809523809523809</v>
      </c>
    </row>
    <row r="113">
      <c r="A113" s="33">
        <v>304.0</v>
      </c>
      <c r="B113" s="33" t="s">
        <v>1006</v>
      </c>
      <c r="C113" s="33" t="s">
        <v>826</v>
      </c>
      <c r="D113" s="34">
        <v>0.738095238095238</v>
      </c>
      <c r="E113" s="34">
        <v>0.911764705882352</v>
      </c>
      <c r="F113" s="34">
        <v>0.960526315789473</v>
      </c>
      <c r="G113" s="34">
        <v>-0.88095238095238</v>
      </c>
      <c r="H113" s="34">
        <v>-0.0136054421768707</v>
      </c>
      <c r="I113" s="34">
        <v>0.981900452488687</v>
      </c>
      <c r="J113" s="34">
        <v>0.809523809523809</v>
      </c>
    </row>
    <row r="114">
      <c r="A114" s="33">
        <v>305.0</v>
      </c>
      <c r="B114" s="33" t="s">
        <v>1005</v>
      </c>
      <c r="C114" s="33" t="s">
        <v>837</v>
      </c>
      <c r="D114" s="34">
        <v>0.738095238095238</v>
      </c>
      <c r="E114" s="34">
        <v>0.911764705882352</v>
      </c>
      <c r="F114" s="34">
        <v>0.960526315789473</v>
      </c>
      <c r="G114" s="34">
        <v>-0.88095238095238</v>
      </c>
      <c r="H114" s="34">
        <v>-0.00396825396825395</v>
      </c>
      <c r="I114" s="34">
        <v>0.994652406417112</v>
      </c>
      <c r="J114" s="34">
        <v>0.944444444444444</v>
      </c>
    </row>
    <row r="115">
      <c r="A115" s="33">
        <v>306.0</v>
      </c>
      <c r="B115" s="33" t="s">
        <v>1005</v>
      </c>
      <c r="C115" s="33" t="s">
        <v>848</v>
      </c>
      <c r="D115" s="34">
        <v>0.738095238095238</v>
      </c>
      <c r="E115" s="34">
        <v>0.911764705882352</v>
      </c>
      <c r="F115" s="34">
        <v>0.960526315789473</v>
      </c>
      <c r="G115" s="34">
        <v>-0.88095238095238</v>
      </c>
      <c r="H115" s="34">
        <v>-0.00396825396825395</v>
      </c>
      <c r="I115" s="34">
        <v>0.994652406417112</v>
      </c>
      <c r="J115" s="34">
        <v>0.944444444444444</v>
      </c>
    </row>
    <row r="116">
      <c r="A116" s="33">
        <v>307.0</v>
      </c>
      <c r="B116" s="33" t="s">
        <v>963</v>
      </c>
      <c r="C116" s="33" t="s">
        <v>825</v>
      </c>
      <c r="D116" s="34">
        <v>0.738095238095238</v>
      </c>
      <c r="E116" s="34">
        <v>0.911764705882352</v>
      </c>
      <c r="F116" s="34">
        <v>0.960526315789473</v>
      </c>
      <c r="G116" s="34">
        <v>-0.88095238095238</v>
      </c>
      <c r="H116" s="34">
        <v>-0.0136054421768707</v>
      </c>
      <c r="I116" s="34">
        <v>0.981900452488687</v>
      </c>
      <c r="J116" s="34">
        <v>0.809523809523809</v>
      </c>
    </row>
    <row r="117">
      <c r="A117" s="33">
        <v>297.0</v>
      </c>
      <c r="B117" s="33" t="s">
        <v>1007</v>
      </c>
      <c r="C117" s="33" t="s">
        <v>826</v>
      </c>
      <c r="D117" s="34">
        <v>0.726190476190476</v>
      </c>
      <c r="E117" s="34">
        <v>0.910447761194029</v>
      </c>
      <c r="F117" s="34">
        <v>0.960264900662251</v>
      </c>
      <c r="G117" s="34">
        <v>-0.869047619047619</v>
      </c>
      <c r="H117" s="34">
        <v>-0.0144557823129253</v>
      </c>
      <c r="I117" s="34">
        <v>0.980482204362801</v>
      </c>
      <c r="J117" s="34">
        <v>0.797619047619047</v>
      </c>
    </row>
    <row r="118">
      <c r="A118" s="33">
        <v>298.0</v>
      </c>
      <c r="B118" s="33" t="s">
        <v>991</v>
      </c>
      <c r="C118" s="33" t="s">
        <v>825</v>
      </c>
      <c r="D118" s="34">
        <v>0.726190476190476</v>
      </c>
      <c r="E118" s="34">
        <v>0.910447761194029</v>
      </c>
      <c r="F118" s="34">
        <v>0.960264900662251</v>
      </c>
      <c r="G118" s="34">
        <v>-0.869047619047619</v>
      </c>
      <c r="H118" s="34">
        <v>-0.0144557823129253</v>
      </c>
      <c r="I118" s="34">
        <v>0.980482204362801</v>
      </c>
      <c r="J118" s="34">
        <v>0.797619047619047</v>
      </c>
    </row>
    <row r="119">
      <c r="A119" s="33">
        <v>299.0</v>
      </c>
      <c r="B119" s="33" t="s">
        <v>992</v>
      </c>
      <c r="C119" s="33" t="s">
        <v>825</v>
      </c>
      <c r="D119" s="34">
        <v>0.726190476190476</v>
      </c>
      <c r="E119" s="34">
        <v>0.910447761194029</v>
      </c>
      <c r="F119" s="34">
        <v>0.960264900662251</v>
      </c>
      <c r="G119" s="34">
        <v>-0.869047619047619</v>
      </c>
      <c r="H119" s="34">
        <v>-0.0144557823129253</v>
      </c>
      <c r="I119" s="34">
        <v>0.980482204362801</v>
      </c>
      <c r="J119" s="34">
        <v>0.797619047619047</v>
      </c>
    </row>
    <row r="120">
      <c r="A120" s="33">
        <v>300.0</v>
      </c>
      <c r="B120" s="33" t="s">
        <v>965</v>
      </c>
      <c r="C120" s="33" t="s">
        <v>848</v>
      </c>
      <c r="D120" s="34">
        <v>0.726190476190476</v>
      </c>
      <c r="E120" s="34">
        <v>0.910447761194029</v>
      </c>
      <c r="F120" s="34">
        <v>0.960264900662251</v>
      </c>
      <c r="G120" s="34">
        <v>-0.869047619047619</v>
      </c>
      <c r="H120" s="34">
        <v>-0.00496031746031755</v>
      </c>
      <c r="I120" s="34">
        <v>0.993215739484396</v>
      </c>
      <c r="J120" s="34">
        <v>0.930555555555555</v>
      </c>
    </row>
    <row r="121">
      <c r="A121" s="33">
        <v>301.0</v>
      </c>
      <c r="B121" s="33" t="s">
        <v>974</v>
      </c>
      <c r="C121" s="33" t="s">
        <v>837</v>
      </c>
      <c r="D121" s="34">
        <v>0.726190476190476</v>
      </c>
      <c r="E121" s="34">
        <v>0.910447761194029</v>
      </c>
      <c r="F121" s="34">
        <v>0.960264900662251</v>
      </c>
      <c r="G121" s="34">
        <v>-0.869047619047619</v>
      </c>
      <c r="H121" s="34">
        <v>-0.00496031746031755</v>
      </c>
      <c r="I121" s="34">
        <v>0.993215739484396</v>
      </c>
      <c r="J121" s="34">
        <v>0.930555555555555</v>
      </c>
    </row>
    <row r="122">
      <c r="A122" s="33">
        <v>295.0</v>
      </c>
      <c r="B122" s="33" t="s">
        <v>825</v>
      </c>
      <c r="C122" s="33" t="s">
        <v>837</v>
      </c>
      <c r="D122" s="34">
        <v>0.845238095238095</v>
      </c>
      <c r="E122" s="34">
        <v>0.91025641025641</v>
      </c>
      <c r="F122" s="34">
        <v>0.95679012345679</v>
      </c>
      <c r="G122" s="34">
        <v>-1.01190476190476</v>
      </c>
      <c r="H122" s="34">
        <v>-0.00595238095238093</v>
      </c>
      <c r="I122" s="34">
        <v>0.993006993006993</v>
      </c>
      <c r="J122" s="34">
        <v>0.928571428571428</v>
      </c>
    </row>
    <row r="123">
      <c r="A123" s="33">
        <v>296.0</v>
      </c>
      <c r="B123" s="33" t="s">
        <v>825</v>
      </c>
      <c r="C123" s="33" t="s">
        <v>848</v>
      </c>
      <c r="D123" s="34">
        <v>0.845238095238095</v>
      </c>
      <c r="E123" s="34">
        <v>0.91025641025641</v>
      </c>
      <c r="F123" s="34">
        <v>0.95679012345679</v>
      </c>
      <c r="G123" s="34">
        <v>-1.01190476190476</v>
      </c>
      <c r="H123" s="34">
        <v>-0.00595238095238093</v>
      </c>
      <c r="I123" s="34">
        <v>0.993006993006993</v>
      </c>
      <c r="J123" s="34">
        <v>0.928571428571428</v>
      </c>
    </row>
    <row r="124">
      <c r="A124" s="33">
        <v>281.0</v>
      </c>
      <c r="B124" s="33" t="s">
        <v>837</v>
      </c>
      <c r="C124" s="33" t="s">
        <v>848</v>
      </c>
      <c r="D124" s="34">
        <v>0.833333333333333</v>
      </c>
      <c r="E124" s="34">
        <v>0.909090909090909</v>
      </c>
      <c r="F124" s="34">
        <v>0.956521739130434</v>
      </c>
      <c r="G124" s="34">
        <v>-0.999999999999999</v>
      </c>
      <c r="H124" s="34">
        <v>-0.0069444444444443</v>
      </c>
      <c r="I124" s="34">
        <v>0.991735537190082</v>
      </c>
      <c r="J124" s="34">
        <v>0.916666666666666</v>
      </c>
    </row>
    <row r="125">
      <c r="A125" s="33">
        <v>282.0</v>
      </c>
      <c r="B125" s="33" t="s">
        <v>848</v>
      </c>
      <c r="C125" s="33" t="s">
        <v>837</v>
      </c>
      <c r="D125" s="34">
        <v>0.833333333333333</v>
      </c>
      <c r="E125" s="34">
        <v>0.909090909090909</v>
      </c>
      <c r="F125" s="34">
        <v>0.956521739130434</v>
      </c>
      <c r="G125" s="34">
        <v>-0.999999999999999</v>
      </c>
      <c r="H125" s="34">
        <v>-0.0069444444444443</v>
      </c>
      <c r="I125" s="34">
        <v>0.991735537190082</v>
      </c>
      <c r="J125" s="34">
        <v>0.916666666666666</v>
      </c>
    </row>
    <row r="126">
      <c r="A126" s="33">
        <v>277.0</v>
      </c>
      <c r="B126" s="33" t="s">
        <v>850</v>
      </c>
      <c r="C126" s="33" t="s">
        <v>826</v>
      </c>
      <c r="D126" s="34">
        <v>0.714285714285714</v>
      </c>
      <c r="E126" s="34">
        <v>0.909090909090909</v>
      </c>
      <c r="F126" s="34">
        <v>0.96</v>
      </c>
      <c r="G126" s="34">
        <v>-0.857142857142857</v>
      </c>
      <c r="H126" s="34">
        <v>-0.0153061224489795</v>
      </c>
      <c r="I126" s="34">
        <v>0.979020979020979</v>
      </c>
      <c r="J126" s="34">
        <v>0.785714285714285</v>
      </c>
    </row>
    <row r="127">
      <c r="A127" s="33">
        <v>278.0</v>
      </c>
      <c r="B127" s="33" t="s">
        <v>843</v>
      </c>
      <c r="C127" s="33" t="s">
        <v>826</v>
      </c>
      <c r="D127" s="34">
        <v>0.714285714285714</v>
      </c>
      <c r="E127" s="34">
        <v>0.909090909090909</v>
      </c>
      <c r="F127" s="34">
        <v>0.96</v>
      </c>
      <c r="G127" s="34">
        <v>-0.857142857142857</v>
      </c>
      <c r="H127" s="34">
        <v>-0.0153061224489795</v>
      </c>
      <c r="I127" s="34">
        <v>0.979020979020979</v>
      </c>
      <c r="J127" s="34">
        <v>0.785714285714285</v>
      </c>
    </row>
    <row r="128">
      <c r="A128" s="33">
        <v>279.0</v>
      </c>
      <c r="B128" s="33" t="s">
        <v>59</v>
      </c>
      <c r="C128" s="33" t="s">
        <v>825</v>
      </c>
      <c r="D128" s="34">
        <v>0.714285714285714</v>
      </c>
      <c r="E128" s="34">
        <v>0.909090909090909</v>
      </c>
      <c r="F128" s="34">
        <v>0.96</v>
      </c>
      <c r="G128" s="34">
        <v>-0.857142857142857</v>
      </c>
      <c r="H128" s="34">
        <v>-0.0153061224489795</v>
      </c>
      <c r="I128" s="34">
        <v>0.979020979020979</v>
      </c>
      <c r="J128" s="34">
        <v>0.785714285714285</v>
      </c>
    </row>
    <row r="129">
      <c r="A129" s="33">
        <v>280.0</v>
      </c>
      <c r="B129" s="33" t="s">
        <v>850</v>
      </c>
      <c r="C129" s="33" t="s">
        <v>825</v>
      </c>
      <c r="D129" s="34">
        <v>0.714285714285714</v>
      </c>
      <c r="E129" s="34">
        <v>0.909090909090909</v>
      </c>
      <c r="F129" s="34">
        <v>0.96</v>
      </c>
      <c r="G129" s="34">
        <v>-0.857142857142857</v>
      </c>
      <c r="H129" s="34">
        <v>-0.0153061224489795</v>
      </c>
      <c r="I129" s="34">
        <v>0.979020979020979</v>
      </c>
      <c r="J129" s="34">
        <v>0.785714285714285</v>
      </c>
    </row>
    <row r="130">
      <c r="A130" s="33">
        <v>283.0</v>
      </c>
      <c r="B130" s="33" t="s">
        <v>59</v>
      </c>
      <c r="C130" s="33" t="s">
        <v>837</v>
      </c>
      <c r="D130" s="34">
        <v>0.714285714285714</v>
      </c>
      <c r="E130" s="34">
        <v>0.909090909090909</v>
      </c>
      <c r="F130" s="34">
        <v>0.96</v>
      </c>
      <c r="G130" s="34">
        <v>-0.857142857142857</v>
      </c>
      <c r="H130" s="34">
        <v>-0.00595238095238093</v>
      </c>
      <c r="I130" s="34">
        <v>0.991735537190082</v>
      </c>
      <c r="J130" s="34">
        <v>0.916666666666666</v>
      </c>
    </row>
    <row r="131">
      <c r="A131" s="36">
        <v>284.0</v>
      </c>
      <c r="B131" s="36" t="s">
        <v>843</v>
      </c>
      <c r="C131" s="36" t="s">
        <v>837</v>
      </c>
      <c r="D131" s="37">
        <v>0.714285714285714</v>
      </c>
      <c r="E131" s="37">
        <v>0.909090909090909</v>
      </c>
      <c r="F131" s="37">
        <v>0.96</v>
      </c>
      <c r="G131" s="37">
        <v>-0.857142857142857</v>
      </c>
      <c r="H131" s="37">
        <v>-0.00595238095238093</v>
      </c>
      <c r="I131" s="37">
        <v>0.991735537190082</v>
      </c>
      <c r="J131" s="37">
        <v>0.916666666666666</v>
      </c>
    </row>
    <row r="132">
      <c r="A132" s="33">
        <v>285.0</v>
      </c>
      <c r="B132" s="33" t="s">
        <v>850</v>
      </c>
      <c r="C132" s="33" t="s">
        <v>848</v>
      </c>
      <c r="D132" s="34">
        <v>0.714285714285714</v>
      </c>
      <c r="E132" s="34">
        <v>0.909090909090909</v>
      </c>
      <c r="F132" s="34">
        <v>0.96</v>
      </c>
      <c r="G132" s="34">
        <v>-0.857142857142857</v>
      </c>
      <c r="H132" s="34">
        <v>-0.00595238095238093</v>
      </c>
      <c r="I132" s="34">
        <v>0.991735537190082</v>
      </c>
      <c r="J132" s="34">
        <v>0.916666666666666</v>
      </c>
    </row>
    <row r="133">
      <c r="A133" s="33">
        <v>286.0</v>
      </c>
      <c r="B133" s="33" t="s">
        <v>843</v>
      </c>
      <c r="C133" s="33" t="s">
        <v>848</v>
      </c>
      <c r="D133" s="34">
        <v>0.714285714285714</v>
      </c>
      <c r="E133" s="34">
        <v>0.909090909090909</v>
      </c>
      <c r="F133" s="34">
        <v>0.96</v>
      </c>
      <c r="G133" s="34">
        <v>-0.857142857142857</v>
      </c>
      <c r="H133" s="34">
        <v>-0.00595238095238093</v>
      </c>
      <c r="I133" s="34">
        <v>0.991735537190082</v>
      </c>
      <c r="J133" s="34">
        <v>0.916666666666666</v>
      </c>
    </row>
    <row r="134">
      <c r="A134" s="36">
        <v>287.0</v>
      </c>
      <c r="B134" s="36" t="s">
        <v>843</v>
      </c>
      <c r="C134" s="36" t="s">
        <v>835</v>
      </c>
      <c r="D134" s="37">
        <v>0.714285714285714</v>
      </c>
      <c r="E134" s="37">
        <v>0.909090909090909</v>
      </c>
      <c r="F134" s="37">
        <v>0.96</v>
      </c>
      <c r="G134" s="37">
        <v>-0.857142857142857</v>
      </c>
      <c r="H134" s="37">
        <v>0.0314625850340136</v>
      </c>
      <c r="I134" s="37">
        <v>1.04607721046077</v>
      </c>
      <c r="J134" s="37">
        <v>1.44047619047619</v>
      </c>
    </row>
    <row r="135">
      <c r="A135" s="33">
        <v>288.0</v>
      </c>
      <c r="B135" s="33" t="s">
        <v>1008</v>
      </c>
      <c r="C135" s="33" t="s">
        <v>826</v>
      </c>
      <c r="D135" s="34">
        <v>0.714285714285714</v>
      </c>
      <c r="E135" s="34">
        <v>0.909090909090909</v>
      </c>
      <c r="F135" s="34">
        <v>0.96</v>
      </c>
      <c r="G135" s="34">
        <v>-0.857142857142857</v>
      </c>
      <c r="H135" s="34">
        <v>-0.0153061224489795</v>
      </c>
      <c r="I135" s="34">
        <v>0.979020979020979</v>
      </c>
      <c r="J135" s="34">
        <v>0.785714285714285</v>
      </c>
    </row>
    <row r="136">
      <c r="A136" s="33">
        <v>289.0</v>
      </c>
      <c r="B136" s="33" t="s">
        <v>1008</v>
      </c>
      <c r="C136" s="33" t="s">
        <v>848</v>
      </c>
      <c r="D136" s="34">
        <v>0.714285714285714</v>
      </c>
      <c r="E136" s="34">
        <v>0.909090909090909</v>
      </c>
      <c r="F136" s="34">
        <v>0.96</v>
      </c>
      <c r="G136" s="34">
        <v>-0.857142857142857</v>
      </c>
      <c r="H136" s="34">
        <v>-0.00595238095238093</v>
      </c>
      <c r="I136" s="34">
        <v>0.991735537190082</v>
      </c>
      <c r="J136" s="34">
        <v>0.916666666666666</v>
      </c>
    </row>
    <row r="137">
      <c r="A137" s="33">
        <v>290.0</v>
      </c>
      <c r="B137" s="33" t="s">
        <v>993</v>
      </c>
      <c r="C137" s="33" t="s">
        <v>825</v>
      </c>
      <c r="D137" s="34">
        <v>0.714285714285714</v>
      </c>
      <c r="E137" s="34">
        <v>0.909090909090909</v>
      </c>
      <c r="F137" s="34">
        <v>0.96</v>
      </c>
      <c r="G137" s="34">
        <v>-0.857142857142857</v>
      </c>
      <c r="H137" s="34">
        <v>-0.0153061224489795</v>
      </c>
      <c r="I137" s="34">
        <v>0.979020979020979</v>
      </c>
      <c r="J137" s="34">
        <v>0.785714285714285</v>
      </c>
    </row>
    <row r="138">
      <c r="A138" s="33">
        <v>291.0</v>
      </c>
      <c r="B138" s="33" t="s">
        <v>993</v>
      </c>
      <c r="C138" s="33" t="s">
        <v>837</v>
      </c>
      <c r="D138" s="34">
        <v>0.714285714285714</v>
      </c>
      <c r="E138" s="34">
        <v>0.909090909090909</v>
      </c>
      <c r="F138" s="34">
        <v>0.96</v>
      </c>
      <c r="G138" s="34">
        <v>-0.857142857142857</v>
      </c>
      <c r="H138" s="34">
        <v>-0.00595238095238093</v>
      </c>
      <c r="I138" s="34">
        <v>0.991735537190082</v>
      </c>
      <c r="J138" s="34">
        <v>0.916666666666666</v>
      </c>
    </row>
    <row r="139">
      <c r="A139" s="33">
        <v>292.0</v>
      </c>
      <c r="B139" s="33" t="s">
        <v>1009</v>
      </c>
      <c r="C139" s="33" t="s">
        <v>848</v>
      </c>
      <c r="D139" s="34">
        <v>0.714285714285714</v>
      </c>
      <c r="E139" s="34">
        <v>0.909090909090909</v>
      </c>
      <c r="F139" s="34">
        <v>0.96</v>
      </c>
      <c r="G139" s="34">
        <v>-0.857142857142857</v>
      </c>
      <c r="H139" s="34">
        <v>-0.00595238095238093</v>
      </c>
      <c r="I139" s="34">
        <v>0.991735537190082</v>
      </c>
      <c r="J139" s="34">
        <v>0.916666666666666</v>
      </c>
    </row>
    <row r="140">
      <c r="A140" s="33">
        <v>293.0</v>
      </c>
      <c r="B140" s="33" t="s">
        <v>1010</v>
      </c>
      <c r="C140" s="33" t="s">
        <v>837</v>
      </c>
      <c r="D140" s="34">
        <v>0.714285714285714</v>
      </c>
      <c r="E140" s="34">
        <v>0.909090909090909</v>
      </c>
      <c r="F140" s="34">
        <v>0.96</v>
      </c>
      <c r="G140" s="34">
        <v>-0.857142857142857</v>
      </c>
      <c r="H140" s="34">
        <v>-0.00595238095238093</v>
      </c>
      <c r="I140" s="34">
        <v>0.991735537190082</v>
      </c>
      <c r="J140" s="34">
        <v>0.916666666666666</v>
      </c>
    </row>
    <row r="141">
      <c r="A141" s="33">
        <v>294.0</v>
      </c>
      <c r="B141" s="33" t="s">
        <v>1011</v>
      </c>
      <c r="C141" s="33" t="s">
        <v>825</v>
      </c>
      <c r="D141" s="34">
        <v>0.714285714285714</v>
      </c>
      <c r="E141" s="34">
        <v>0.909090909090909</v>
      </c>
      <c r="F141" s="34">
        <v>0.96</v>
      </c>
      <c r="G141" s="34">
        <v>-0.857142857142857</v>
      </c>
      <c r="H141" s="34">
        <v>-0.0153061224489795</v>
      </c>
      <c r="I141" s="34">
        <v>0.979020979020979</v>
      </c>
      <c r="J141" s="34">
        <v>0.785714285714285</v>
      </c>
    </row>
    <row r="142">
      <c r="A142" s="33">
        <v>265.0</v>
      </c>
      <c r="B142" s="33" t="s">
        <v>975</v>
      </c>
      <c r="C142" s="33" t="s">
        <v>825</v>
      </c>
      <c r="D142" s="34">
        <v>0.702380952380952</v>
      </c>
      <c r="E142" s="34">
        <v>0.907692307692307</v>
      </c>
      <c r="F142" s="34">
        <v>0.959731543624161</v>
      </c>
      <c r="G142" s="34">
        <v>-0.845238095238095</v>
      </c>
      <c r="H142" s="34">
        <v>-0.0161564625850341</v>
      </c>
      <c r="I142" s="34">
        <v>0.977514792899408</v>
      </c>
      <c r="J142" s="34">
        <v>0.773809523809523</v>
      </c>
    </row>
    <row r="143">
      <c r="A143" s="33">
        <v>266.0</v>
      </c>
      <c r="B143" s="33" t="s">
        <v>997</v>
      </c>
      <c r="C143" s="33" t="s">
        <v>826</v>
      </c>
      <c r="D143" s="34">
        <v>0.702380952380952</v>
      </c>
      <c r="E143" s="34">
        <v>0.907692307692307</v>
      </c>
      <c r="F143" s="34">
        <v>0.959731543624161</v>
      </c>
      <c r="G143" s="34">
        <v>-0.845238095238095</v>
      </c>
      <c r="H143" s="34">
        <v>-0.0161564625850341</v>
      </c>
      <c r="I143" s="34">
        <v>0.977514792899408</v>
      </c>
      <c r="J143" s="34">
        <v>0.773809523809523</v>
      </c>
    </row>
    <row r="144">
      <c r="A144" s="33">
        <v>267.0</v>
      </c>
      <c r="B144" s="33" t="s">
        <v>994</v>
      </c>
      <c r="C144" s="33" t="s">
        <v>837</v>
      </c>
      <c r="D144" s="34">
        <v>0.702380952380952</v>
      </c>
      <c r="E144" s="34">
        <v>0.907692307692307</v>
      </c>
      <c r="F144" s="34">
        <v>0.959731543624161</v>
      </c>
      <c r="G144" s="34">
        <v>-0.845238095238095</v>
      </c>
      <c r="H144" s="34">
        <v>-0.00694444444444453</v>
      </c>
      <c r="I144" s="34">
        <v>0.99020979020979</v>
      </c>
      <c r="J144" s="34">
        <v>0.902777777777777</v>
      </c>
    </row>
    <row r="145">
      <c r="A145" s="33">
        <v>268.0</v>
      </c>
      <c r="B145" s="33" t="s">
        <v>975</v>
      </c>
      <c r="C145" s="33" t="s">
        <v>835</v>
      </c>
      <c r="D145" s="34">
        <v>0.702380952380952</v>
      </c>
      <c r="E145" s="34">
        <v>0.907692307692307</v>
      </c>
      <c r="F145" s="34">
        <v>0.959731543624161</v>
      </c>
      <c r="G145" s="34">
        <v>-0.845238095238095</v>
      </c>
      <c r="H145" s="34">
        <v>0.0299036281179136</v>
      </c>
      <c r="I145" s="34">
        <v>1.04446786090621</v>
      </c>
      <c r="J145" s="34">
        <v>1.41865079365079</v>
      </c>
    </row>
    <row r="146">
      <c r="A146" s="33">
        <v>269.0</v>
      </c>
      <c r="B146" s="33" t="s">
        <v>957</v>
      </c>
      <c r="C146" s="33" t="s">
        <v>825</v>
      </c>
      <c r="D146" s="34">
        <v>0.702380952380952</v>
      </c>
      <c r="E146" s="34">
        <v>0.907692307692307</v>
      </c>
      <c r="F146" s="34">
        <v>0.959731543624161</v>
      </c>
      <c r="G146" s="34">
        <v>-0.845238095238095</v>
      </c>
      <c r="H146" s="34">
        <v>-0.0161564625850341</v>
      </c>
      <c r="I146" s="34">
        <v>0.977514792899408</v>
      </c>
      <c r="J146" s="34">
        <v>0.773809523809523</v>
      </c>
    </row>
    <row r="147">
      <c r="A147" s="33">
        <v>270.0</v>
      </c>
      <c r="B147" s="33" t="s">
        <v>997</v>
      </c>
      <c r="C147" s="33" t="s">
        <v>837</v>
      </c>
      <c r="D147" s="34">
        <v>0.702380952380952</v>
      </c>
      <c r="E147" s="34">
        <v>0.907692307692307</v>
      </c>
      <c r="F147" s="34">
        <v>0.959731543624161</v>
      </c>
      <c r="G147" s="34">
        <v>-0.845238095238095</v>
      </c>
      <c r="H147" s="34">
        <v>-0.00694444444444453</v>
      </c>
      <c r="I147" s="34">
        <v>0.99020979020979</v>
      </c>
      <c r="J147" s="34">
        <v>0.902777777777777</v>
      </c>
    </row>
    <row r="148">
      <c r="A148" s="33">
        <v>271.0</v>
      </c>
      <c r="B148" s="33" t="s">
        <v>995</v>
      </c>
      <c r="C148" s="33" t="s">
        <v>825</v>
      </c>
      <c r="D148" s="34">
        <v>0.702380952380952</v>
      </c>
      <c r="E148" s="34">
        <v>0.907692307692307</v>
      </c>
      <c r="F148" s="34">
        <v>0.959731543624161</v>
      </c>
      <c r="G148" s="34">
        <v>-0.845238095238095</v>
      </c>
      <c r="H148" s="34">
        <v>-0.0161564625850341</v>
      </c>
      <c r="I148" s="34">
        <v>0.977514792899408</v>
      </c>
      <c r="J148" s="34">
        <v>0.773809523809523</v>
      </c>
    </row>
    <row r="149">
      <c r="A149" s="33">
        <v>272.0</v>
      </c>
      <c r="B149" s="33" t="s">
        <v>976</v>
      </c>
      <c r="C149" s="33" t="s">
        <v>825</v>
      </c>
      <c r="D149" s="34">
        <v>0.702380952380952</v>
      </c>
      <c r="E149" s="34">
        <v>0.907692307692307</v>
      </c>
      <c r="F149" s="34">
        <v>0.959731543624161</v>
      </c>
      <c r="G149" s="34">
        <v>-0.845238095238095</v>
      </c>
      <c r="H149" s="34">
        <v>-0.0161564625850341</v>
      </c>
      <c r="I149" s="34">
        <v>0.977514792899408</v>
      </c>
      <c r="J149" s="34">
        <v>0.773809523809523</v>
      </c>
    </row>
    <row r="150">
      <c r="A150" s="33">
        <v>273.0</v>
      </c>
      <c r="B150" s="33" t="s">
        <v>995</v>
      </c>
      <c r="C150" s="33" t="s">
        <v>835</v>
      </c>
      <c r="D150" s="34">
        <v>0.702380952380952</v>
      </c>
      <c r="E150" s="34">
        <v>0.907692307692307</v>
      </c>
      <c r="F150" s="34">
        <v>0.959731543624161</v>
      </c>
      <c r="G150" s="34">
        <v>-0.845238095238095</v>
      </c>
      <c r="H150" s="34">
        <v>0.0299036281179136</v>
      </c>
      <c r="I150" s="34">
        <v>1.04446786090621</v>
      </c>
      <c r="J150" s="34">
        <v>1.41865079365079</v>
      </c>
    </row>
    <row r="151">
      <c r="A151" s="33">
        <v>274.0</v>
      </c>
      <c r="B151" s="33" t="s">
        <v>1012</v>
      </c>
      <c r="C151" s="33" t="s">
        <v>825</v>
      </c>
      <c r="D151" s="34">
        <v>0.702380952380952</v>
      </c>
      <c r="E151" s="34">
        <v>0.907692307692307</v>
      </c>
      <c r="F151" s="34">
        <v>0.959731543624161</v>
      </c>
      <c r="G151" s="34">
        <v>-0.845238095238095</v>
      </c>
      <c r="H151" s="34">
        <v>-0.0161564625850341</v>
      </c>
      <c r="I151" s="34">
        <v>0.977514792899408</v>
      </c>
      <c r="J151" s="34">
        <v>0.773809523809523</v>
      </c>
    </row>
    <row r="152">
      <c r="A152" s="33">
        <v>275.0</v>
      </c>
      <c r="B152" s="33" t="s">
        <v>957</v>
      </c>
      <c r="C152" s="33" t="s">
        <v>1004</v>
      </c>
      <c r="D152" s="34">
        <v>0.702380952380952</v>
      </c>
      <c r="E152" s="34">
        <v>0.907692307692307</v>
      </c>
      <c r="F152" s="34">
        <v>0.959731543624161</v>
      </c>
      <c r="G152" s="34">
        <v>-0.845238095238095</v>
      </c>
      <c r="H152" s="34">
        <v>0.0391156462585033</v>
      </c>
      <c r="I152" s="34">
        <v>1.05897435897435</v>
      </c>
      <c r="J152" s="34">
        <v>1.54761904761904</v>
      </c>
    </row>
    <row r="153">
      <c r="A153" s="33">
        <v>276.0</v>
      </c>
      <c r="B153" s="33" t="s">
        <v>1012</v>
      </c>
      <c r="C153" s="33" t="s">
        <v>837</v>
      </c>
      <c r="D153" s="34">
        <v>0.702380952380952</v>
      </c>
      <c r="E153" s="34">
        <v>0.907692307692307</v>
      </c>
      <c r="F153" s="34">
        <v>0.959731543624161</v>
      </c>
      <c r="G153" s="34">
        <v>-0.845238095238095</v>
      </c>
      <c r="H153" s="34">
        <v>-0.00694444444444453</v>
      </c>
      <c r="I153" s="34">
        <v>0.99020979020979</v>
      </c>
      <c r="J153" s="34">
        <v>0.902777777777777</v>
      </c>
    </row>
    <row r="154">
      <c r="A154" s="33">
        <v>263.0</v>
      </c>
      <c r="B154" s="33" t="s">
        <v>836</v>
      </c>
      <c r="C154" s="33" t="s">
        <v>837</v>
      </c>
      <c r="D154" s="34">
        <v>0.797619047619047</v>
      </c>
      <c r="E154" s="34">
        <v>0.905405405405405</v>
      </c>
      <c r="F154" s="34">
        <v>0.955696202531645</v>
      </c>
      <c r="G154" s="34">
        <v>-0.964285714285714</v>
      </c>
      <c r="H154" s="34">
        <v>-0.00992063492063477</v>
      </c>
      <c r="I154" s="34">
        <v>0.987714987714987</v>
      </c>
      <c r="J154" s="34">
        <v>0.88095238095238</v>
      </c>
    </row>
    <row r="155">
      <c r="A155" s="33">
        <v>264.0</v>
      </c>
      <c r="B155" s="33" t="s">
        <v>836</v>
      </c>
      <c r="C155" s="33" t="s">
        <v>848</v>
      </c>
      <c r="D155" s="34">
        <v>0.797619047619047</v>
      </c>
      <c r="E155" s="34">
        <v>0.905405405405405</v>
      </c>
      <c r="F155" s="34">
        <v>0.955696202531645</v>
      </c>
      <c r="G155" s="34">
        <v>-0.964285714285714</v>
      </c>
      <c r="H155" s="34">
        <v>-0.00992063492063477</v>
      </c>
      <c r="I155" s="34">
        <v>0.987714987714987</v>
      </c>
      <c r="J155" s="34">
        <v>0.88095238095238</v>
      </c>
    </row>
    <row r="156">
      <c r="A156" s="33">
        <v>260.0</v>
      </c>
      <c r="B156" s="33" t="s">
        <v>839</v>
      </c>
      <c r="C156" s="33" t="s">
        <v>837</v>
      </c>
      <c r="D156" s="34">
        <v>0.773809523809523</v>
      </c>
      <c r="E156" s="34">
        <v>0.902777777777777</v>
      </c>
      <c r="F156" s="34">
        <v>0.955128205128205</v>
      </c>
      <c r="G156" s="34">
        <v>-0.94047619047619</v>
      </c>
      <c r="H156" s="34">
        <v>-0.0119047619047617</v>
      </c>
      <c r="I156" s="34">
        <v>0.984848484848484</v>
      </c>
      <c r="J156" s="34">
        <v>0.857142857142857</v>
      </c>
    </row>
    <row r="157">
      <c r="A157" s="33">
        <v>261.0</v>
      </c>
      <c r="B157" s="33" t="s">
        <v>1004</v>
      </c>
      <c r="C157" s="33" t="s">
        <v>839</v>
      </c>
      <c r="D157" s="34">
        <v>0.773809523809523</v>
      </c>
      <c r="E157" s="34">
        <v>0.902777777777777</v>
      </c>
      <c r="F157" s="34">
        <v>0.955128205128205</v>
      </c>
      <c r="G157" s="34">
        <v>-0.94047619047619</v>
      </c>
      <c r="H157" s="34">
        <v>0.0391156462585035</v>
      </c>
      <c r="I157" s="34">
        <v>1.05324074074074</v>
      </c>
      <c r="J157" s="34">
        <v>1.46938775510204</v>
      </c>
    </row>
    <row r="158">
      <c r="A158" s="33">
        <v>262.0</v>
      </c>
      <c r="B158" s="33" t="s">
        <v>839</v>
      </c>
      <c r="C158" s="33" t="s">
        <v>1004</v>
      </c>
      <c r="D158" s="34">
        <v>0.773809523809523</v>
      </c>
      <c r="E158" s="34">
        <v>0.902777777777777</v>
      </c>
      <c r="F158" s="34">
        <v>0.955128205128205</v>
      </c>
      <c r="G158" s="34">
        <v>-0.94047619047619</v>
      </c>
      <c r="H158" s="34">
        <v>0.0391156462585035</v>
      </c>
      <c r="I158" s="34">
        <v>1.05324074074074</v>
      </c>
      <c r="J158" s="34">
        <v>1.46938775510204</v>
      </c>
    </row>
    <row r="159">
      <c r="A159" s="36">
        <v>255.0</v>
      </c>
      <c r="B159" s="36" t="s">
        <v>841</v>
      </c>
      <c r="C159" s="36" t="s">
        <v>837</v>
      </c>
      <c r="D159" s="37">
        <v>0.761904761904761</v>
      </c>
      <c r="E159" s="37">
        <v>0.901408450704225</v>
      </c>
      <c r="F159" s="37">
        <v>0.954838709677419</v>
      </c>
      <c r="G159" s="37">
        <v>-0.928571428571428</v>
      </c>
      <c r="H159" s="37">
        <v>-0.0128968253968253</v>
      </c>
      <c r="I159" s="37">
        <v>0.983354673495518</v>
      </c>
      <c r="J159" s="37">
        <v>0.845238095238095</v>
      </c>
    </row>
    <row r="160">
      <c r="A160" s="36">
        <v>256.0</v>
      </c>
      <c r="B160" s="36" t="s">
        <v>841</v>
      </c>
      <c r="C160" s="36" t="s">
        <v>836</v>
      </c>
      <c r="D160" s="37">
        <v>0.761904761904761</v>
      </c>
      <c r="E160" s="37">
        <v>0.901408450704225</v>
      </c>
      <c r="F160" s="37">
        <v>0.954838709677419</v>
      </c>
      <c r="G160" s="37">
        <v>-0.928571428571428</v>
      </c>
      <c r="H160" s="37">
        <v>0.0172902494331065</v>
      </c>
      <c r="I160" s="37">
        <v>1.02322040350209</v>
      </c>
      <c r="J160" s="37">
        <v>1.20748299319727</v>
      </c>
    </row>
    <row r="161">
      <c r="A161" s="36">
        <v>257.0</v>
      </c>
      <c r="B161" s="36" t="s">
        <v>840</v>
      </c>
      <c r="C161" s="36" t="s">
        <v>835</v>
      </c>
      <c r="D161" s="37">
        <v>0.761904761904761</v>
      </c>
      <c r="E161" s="37">
        <v>0.901408450704225</v>
      </c>
      <c r="F161" s="37">
        <v>0.954838709677419</v>
      </c>
      <c r="G161" s="37">
        <v>-0.928571428571428</v>
      </c>
      <c r="H161" s="37">
        <v>0.0273526077097505</v>
      </c>
      <c r="I161" s="37">
        <v>1.03723712135828</v>
      </c>
      <c r="J161" s="37">
        <v>1.328231292517</v>
      </c>
    </row>
    <row r="162">
      <c r="A162" s="33">
        <v>258.0</v>
      </c>
      <c r="B162" s="33" t="s">
        <v>988</v>
      </c>
      <c r="C162" s="33" t="s">
        <v>848</v>
      </c>
      <c r="D162" s="34">
        <v>0.761904761904761</v>
      </c>
      <c r="E162" s="34">
        <v>0.901408450704225</v>
      </c>
      <c r="F162" s="34">
        <v>0.954838709677419</v>
      </c>
      <c r="G162" s="34">
        <v>-0.928571428571428</v>
      </c>
      <c r="H162" s="34">
        <v>-0.0128968253968253</v>
      </c>
      <c r="I162" s="34">
        <v>0.983354673495518</v>
      </c>
      <c r="J162" s="34">
        <v>0.845238095238095</v>
      </c>
    </row>
    <row r="163">
      <c r="A163" s="33">
        <v>259.0</v>
      </c>
      <c r="B163" s="33" t="s">
        <v>989</v>
      </c>
      <c r="C163" s="33" t="s">
        <v>837</v>
      </c>
      <c r="D163" s="34">
        <v>0.761904761904761</v>
      </c>
      <c r="E163" s="34">
        <v>0.901408450704225</v>
      </c>
      <c r="F163" s="34">
        <v>0.954838709677419</v>
      </c>
      <c r="G163" s="34">
        <v>-0.928571428571428</v>
      </c>
      <c r="H163" s="34">
        <v>-0.0128968253968253</v>
      </c>
      <c r="I163" s="34">
        <v>0.983354673495518</v>
      </c>
      <c r="J163" s="34">
        <v>0.845238095238095</v>
      </c>
    </row>
    <row r="164">
      <c r="A164" s="33">
        <v>251.0</v>
      </c>
      <c r="B164" s="33" t="s">
        <v>830</v>
      </c>
      <c r="C164" s="33" t="s">
        <v>837</v>
      </c>
      <c r="D164" s="34">
        <v>0.738095238095238</v>
      </c>
      <c r="E164" s="34">
        <v>0.898550724637681</v>
      </c>
      <c r="F164" s="34">
        <v>0.954248366013072</v>
      </c>
      <c r="G164" s="34">
        <v>-0.904761904761904</v>
      </c>
      <c r="H164" s="34">
        <v>-0.0148809523809523</v>
      </c>
      <c r="I164" s="34">
        <v>0.980237154150197</v>
      </c>
      <c r="J164" s="34">
        <v>0.821428571428571</v>
      </c>
    </row>
    <row r="165">
      <c r="A165" s="33">
        <v>252.0</v>
      </c>
      <c r="B165" s="33" t="s">
        <v>64</v>
      </c>
      <c r="C165" s="33" t="s">
        <v>837</v>
      </c>
      <c r="D165" s="34">
        <v>0.738095238095238</v>
      </c>
      <c r="E165" s="34">
        <v>0.898550724637681</v>
      </c>
      <c r="F165" s="34">
        <v>0.954248366013072</v>
      </c>
      <c r="G165" s="34">
        <v>-0.904761904761904</v>
      </c>
      <c r="H165" s="34">
        <v>-0.0148809523809523</v>
      </c>
      <c r="I165" s="34">
        <v>0.980237154150197</v>
      </c>
      <c r="J165" s="34">
        <v>0.821428571428571</v>
      </c>
    </row>
    <row r="166">
      <c r="A166" s="33">
        <v>253.0</v>
      </c>
      <c r="B166" s="33" t="s">
        <v>830</v>
      </c>
      <c r="C166" s="33" t="s">
        <v>848</v>
      </c>
      <c r="D166" s="34">
        <v>0.738095238095238</v>
      </c>
      <c r="E166" s="34">
        <v>0.898550724637681</v>
      </c>
      <c r="F166" s="34">
        <v>0.954248366013072</v>
      </c>
      <c r="G166" s="34">
        <v>-0.904761904761904</v>
      </c>
      <c r="H166" s="34">
        <v>-0.0148809523809523</v>
      </c>
      <c r="I166" s="34">
        <v>0.980237154150197</v>
      </c>
      <c r="J166" s="34">
        <v>0.821428571428571</v>
      </c>
    </row>
    <row r="167">
      <c r="A167" s="33">
        <v>254.0</v>
      </c>
      <c r="B167" s="33" t="s">
        <v>830</v>
      </c>
      <c r="C167" s="33" t="s">
        <v>835</v>
      </c>
      <c r="D167" s="34">
        <v>0.738095238095238</v>
      </c>
      <c r="E167" s="34">
        <v>0.898550724637681</v>
      </c>
      <c r="F167" s="34">
        <v>0.954248366013072</v>
      </c>
      <c r="G167" s="34">
        <v>-0.904761904761904</v>
      </c>
      <c r="H167" s="34">
        <v>0.024234693877551</v>
      </c>
      <c r="I167" s="34">
        <v>1.03394877903514</v>
      </c>
      <c r="J167" s="34">
        <v>1.29081632653061</v>
      </c>
    </row>
    <row r="168">
      <c r="A168" s="33">
        <v>247.0</v>
      </c>
      <c r="B168" s="33" t="s">
        <v>842</v>
      </c>
      <c r="C168" s="33" t="s">
        <v>848</v>
      </c>
      <c r="D168" s="34">
        <v>0.726190476190476</v>
      </c>
      <c r="E168" s="34">
        <v>0.897058823529411</v>
      </c>
      <c r="F168" s="34">
        <v>0.953947368421052</v>
      </c>
      <c r="G168" s="34">
        <v>-0.892857142857142</v>
      </c>
      <c r="H168" s="34">
        <v>-0.0158730158730159</v>
      </c>
      <c r="I168" s="34">
        <v>0.978609625668449</v>
      </c>
      <c r="J168" s="34">
        <v>0.809523809523809</v>
      </c>
    </row>
    <row r="169">
      <c r="A169" s="33">
        <v>248.0</v>
      </c>
      <c r="B169" s="33" t="s">
        <v>1006</v>
      </c>
      <c r="C169" s="33" t="s">
        <v>837</v>
      </c>
      <c r="D169" s="34">
        <v>0.726190476190476</v>
      </c>
      <c r="E169" s="34">
        <v>0.897058823529411</v>
      </c>
      <c r="F169" s="34">
        <v>0.953947368421052</v>
      </c>
      <c r="G169" s="34">
        <v>-0.892857142857142</v>
      </c>
      <c r="H169" s="34">
        <v>-0.0158730158730159</v>
      </c>
      <c r="I169" s="34">
        <v>0.978609625668449</v>
      </c>
      <c r="J169" s="34">
        <v>0.809523809523809</v>
      </c>
    </row>
    <row r="170">
      <c r="A170" s="33">
        <v>249.0</v>
      </c>
      <c r="B170" s="33" t="s">
        <v>1006</v>
      </c>
      <c r="C170" s="33" t="s">
        <v>848</v>
      </c>
      <c r="D170" s="34">
        <v>0.726190476190476</v>
      </c>
      <c r="E170" s="34">
        <v>0.897058823529411</v>
      </c>
      <c r="F170" s="34">
        <v>0.953947368421052</v>
      </c>
      <c r="G170" s="34">
        <v>-0.892857142857142</v>
      </c>
      <c r="H170" s="34">
        <v>-0.0158730158730159</v>
      </c>
      <c r="I170" s="34">
        <v>0.978609625668449</v>
      </c>
      <c r="J170" s="34">
        <v>0.809523809523809</v>
      </c>
    </row>
    <row r="171">
      <c r="A171" s="33">
        <v>250.0</v>
      </c>
      <c r="B171" s="33" t="s">
        <v>963</v>
      </c>
      <c r="C171" s="33" t="s">
        <v>837</v>
      </c>
      <c r="D171" s="34">
        <v>0.726190476190476</v>
      </c>
      <c r="E171" s="34">
        <v>0.897058823529411</v>
      </c>
      <c r="F171" s="34">
        <v>0.953947368421052</v>
      </c>
      <c r="G171" s="34">
        <v>-0.892857142857142</v>
      </c>
      <c r="H171" s="34">
        <v>-0.0158730158730159</v>
      </c>
      <c r="I171" s="34">
        <v>0.978609625668449</v>
      </c>
      <c r="J171" s="34">
        <v>0.809523809523809</v>
      </c>
    </row>
    <row r="172">
      <c r="A172" s="33">
        <v>242.0</v>
      </c>
      <c r="B172" s="33" t="s">
        <v>1007</v>
      </c>
      <c r="C172" s="33" t="s">
        <v>837</v>
      </c>
      <c r="D172" s="34">
        <v>0.714285714285714</v>
      </c>
      <c r="E172" s="34">
        <v>0.895522388059701</v>
      </c>
      <c r="F172" s="34">
        <v>0.95364238410596</v>
      </c>
      <c r="G172" s="34">
        <v>-0.880952380952381</v>
      </c>
      <c r="H172" s="34">
        <v>-0.0168650793650794</v>
      </c>
      <c r="I172" s="34">
        <v>0.976933514246947</v>
      </c>
      <c r="J172" s="34">
        <v>0.797619047619047</v>
      </c>
    </row>
    <row r="173">
      <c r="A173" s="33">
        <v>243.0</v>
      </c>
      <c r="B173" s="33" t="s">
        <v>1007</v>
      </c>
      <c r="C173" s="33" t="s">
        <v>848</v>
      </c>
      <c r="D173" s="34">
        <v>0.714285714285714</v>
      </c>
      <c r="E173" s="34">
        <v>0.895522388059701</v>
      </c>
      <c r="F173" s="34">
        <v>0.95364238410596</v>
      </c>
      <c r="G173" s="34">
        <v>-0.880952380952381</v>
      </c>
      <c r="H173" s="34">
        <v>-0.0168650793650794</v>
      </c>
      <c r="I173" s="34">
        <v>0.976933514246947</v>
      </c>
      <c r="J173" s="34">
        <v>0.797619047619047</v>
      </c>
    </row>
    <row r="174">
      <c r="A174" s="33">
        <v>244.0</v>
      </c>
      <c r="B174" s="33" t="s">
        <v>1007</v>
      </c>
      <c r="C174" s="33" t="s">
        <v>835</v>
      </c>
      <c r="D174" s="34">
        <v>0.714285714285714</v>
      </c>
      <c r="E174" s="34">
        <v>0.895522388059701</v>
      </c>
      <c r="F174" s="34">
        <v>0.95364238410596</v>
      </c>
      <c r="G174" s="34">
        <v>-0.880952380952381</v>
      </c>
      <c r="H174" s="34">
        <v>0.0211167800453514</v>
      </c>
      <c r="I174" s="34">
        <v>1.03046411776732</v>
      </c>
      <c r="J174" s="34">
        <v>1.25340136054421</v>
      </c>
    </row>
    <row r="175">
      <c r="A175" s="33">
        <v>245.0</v>
      </c>
      <c r="B175" s="33" t="s">
        <v>991</v>
      </c>
      <c r="C175" s="33" t="s">
        <v>848</v>
      </c>
      <c r="D175" s="34">
        <v>0.714285714285714</v>
      </c>
      <c r="E175" s="34">
        <v>0.895522388059701</v>
      </c>
      <c r="F175" s="34">
        <v>0.95364238410596</v>
      </c>
      <c r="G175" s="34">
        <v>-0.880952380952381</v>
      </c>
      <c r="H175" s="34">
        <v>-0.0168650793650794</v>
      </c>
      <c r="I175" s="34">
        <v>0.976933514246947</v>
      </c>
      <c r="J175" s="34">
        <v>0.797619047619047</v>
      </c>
    </row>
    <row r="176">
      <c r="A176" s="33">
        <v>246.0</v>
      </c>
      <c r="B176" s="33" t="s">
        <v>992</v>
      </c>
      <c r="C176" s="33" t="s">
        <v>837</v>
      </c>
      <c r="D176" s="34">
        <v>0.714285714285714</v>
      </c>
      <c r="E176" s="34">
        <v>0.895522388059701</v>
      </c>
      <c r="F176" s="34">
        <v>0.95364238410596</v>
      </c>
      <c r="G176" s="34">
        <v>-0.880952380952381</v>
      </c>
      <c r="H176" s="34">
        <v>-0.0168650793650794</v>
      </c>
      <c r="I176" s="34">
        <v>0.976933514246947</v>
      </c>
      <c r="J176" s="34">
        <v>0.797619047619047</v>
      </c>
    </row>
    <row r="177">
      <c r="A177" s="33">
        <v>231.0</v>
      </c>
      <c r="B177" s="33" t="s">
        <v>850</v>
      </c>
      <c r="C177" s="33" t="s">
        <v>837</v>
      </c>
      <c r="D177" s="34">
        <v>0.702380952380952</v>
      </c>
      <c r="E177" s="34">
        <v>0.893939393939393</v>
      </c>
      <c r="F177" s="34">
        <v>0.953333333333333</v>
      </c>
      <c r="G177" s="34">
        <v>-0.869047619047619</v>
      </c>
      <c r="H177" s="34">
        <v>-0.0178571428571429</v>
      </c>
      <c r="I177" s="34">
        <v>0.975206611570247</v>
      </c>
      <c r="J177" s="34">
        <v>0.785714285714285</v>
      </c>
    </row>
    <row r="178">
      <c r="A178" s="36">
        <v>232.0</v>
      </c>
      <c r="B178" s="36" t="s">
        <v>843</v>
      </c>
      <c r="C178" s="36" t="s">
        <v>839</v>
      </c>
      <c r="D178" s="37">
        <v>0.702380952380952</v>
      </c>
      <c r="E178" s="37">
        <v>0.893939393939393</v>
      </c>
      <c r="F178" s="37">
        <v>0.953333333333333</v>
      </c>
      <c r="G178" s="37">
        <v>-0.869047619047619</v>
      </c>
      <c r="H178" s="37">
        <v>0.0289115646258503</v>
      </c>
      <c r="I178" s="37">
        <v>1.04292929292929</v>
      </c>
      <c r="J178" s="37">
        <v>1.3469387755102</v>
      </c>
    </row>
    <row r="179">
      <c r="A179" s="33">
        <v>233.0</v>
      </c>
      <c r="B179" s="33" t="s">
        <v>964</v>
      </c>
      <c r="C179" s="33" t="s">
        <v>837</v>
      </c>
      <c r="D179" s="34">
        <v>0.702380952380952</v>
      </c>
      <c r="E179" s="34">
        <v>0.893939393939393</v>
      </c>
      <c r="F179" s="34">
        <v>0.953333333333333</v>
      </c>
      <c r="G179" s="34">
        <v>-0.869047619047619</v>
      </c>
      <c r="H179" s="34">
        <v>-0.0178571428571429</v>
      </c>
      <c r="I179" s="34">
        <v>0.975206611570247</v>
      </c>
      <c r="J179" s="34">
        <v>0.785714285714285</v>
      </c>
    </row>
    <row r="180">
      <c r="A180" s="33">
        <v>234.0</v>
      </c>
      <c r="B180" s="33" t="s">
        <v>1008</v>
      </c>
      <c r="C180" s="33" t="s">
        <v>837</v>
      </c>
      <c r="D180" s="34">
        <v>0.702380952380952</v>
      </c>
      <c r="E180" s="34">
        <v>0.893939393939393</v>
      </c>
      <c r="F180" s="34">
        <v>0.953333333333333</v>
      </c>
      <c r="G180" s="34">
        <v>-0.869047619047619</v>
      </c>
      <c r="H180" s="34">
        <v>-0.0178571428571429</v>
      </c>
      <c r="I180" s="34">
        <v>0.975206611570247</v>
      </c>
      <c r="J180" s="34">
        <v>0.785714285714285</v>
      </c>
    </row>
    <row r="181">
      <c r="A181" s="33">
        <v>235.0</v>
      </c>
      <c r="B181" s="33" t="s">
        <v>1008</v>
      </c>
      <c r="C181" s="33" t="s">
        <v>836</v>
      </c>
      <c r="D181" s="34">
        <v>0.702380952380952</v>
      </c>
      <c r="E181" s="34">
        <v>0.893939393939393</v>
      </c>
      <c r="F181" s="34">
        <v>0.953333333333333</v>
      </c>
      <c r="G181" s="34">
        <v>-0.869047619047619</v>
      </c>
      <c r="H181" s="34">
        <v>0.010204081632653</v>
      </c>
      <c r="I181" s="34">
        <v>1.01474201474201</v>
      </c>
      <c r="J181" s="34">
        <v>1.12244897959183</v>
      </c>
    </row>
    <row r="182">
      <c r="A182" s="33">
        <v>236.0</v>
      </c>
      <c r="B182" s="33" t="s">
        <v>993</v>
      </c>
      <c r="C182" s="33" t="s">
        <v>835</v>
      </c>
      <c r="D182" s="34">
        <v>0.702380952380952</v>
      </c>
      <c r="E182" s="34">
        <v>0.893939393939393</v>
      </c>
      <c r="F182" s="34">
        <v>0.953333333333333</v>
      </c>
      <c r="G182" s="34">
        <v>-0.869047619047619</v>
      </c>
      <c r="H182" s="34">
        <v>0.0195578231292516</v>
      </c>
      <c r="I182" s="34">
        <v>1.02864259028642</v>
      </c>
      <c r="J182" s="34">
        <v>1.23469387755102</v>
      </c>
    </row>
    <row r="183">
      <c r="A183" s="33">
        <v>237.0</v>
      </c>
      <c r="B183" s="33" t="s">
        <v>1009</v>
      </c>
      <c r="C183" s="33" t="s">
        <v>835</v>
      </c>
      <c r="D183" s="34">
        <v>0.702380952380952</v>
      </c>
      <c r="E183" s="34">
        <v>0.893939393939393</v>
      </c>
      <c r="F183" s="34">
        <v>0.953333333333333</v>
      </c>
      <c r="G183" s="34">
        <v>-0.869047619047619</v>
      </c>
      <c r="H183" s="34">
        <v>0.0195578231292516</v>
      </c>
      <c r="I183" s="34">
        <v>1.02864259028642</v>
      </c>
      <c r="J183" s="34">
        <v>1.23469387755102</v>
      </c>
    </row>
    <row r="184">
      <c r="A184" s="33">
        <v>238.0</v>
      </c>
      <c r="B184" s="33" t="s">
        <v>1010</v>
      </c>
      <c r="C184" s="33" t="s">
        <v>835</v>
      </c>
      <c r="D184" s="34">
        <v>0.702380952380952</v>
      </c>
      <c r="E184" s="34">
        <v>0.893939393939393</v>
      </c>
      <c r="F184" s="34">
        <v>0.953333333333333</v>
      </c>
      <c r="G184" s="34">
        <v>-0.869047619047619</v>
      </c>
      <c r="H184" s="34">
        <v>0.0195578231292516</v>
      </c>
      <c r="I184" s="34">
        <v>1.02864259028642</v>
      </c>
      <c r="J184" s="34">
        <v>1.23469387755102</v>
      </c>
    </row>
    <row r="185">
      <c r="A185" s="33">
        <v>239.0</v>
      </c>
      <c r="B185" s="33" t="s">
        <v>1010</v>
      </c>
      <c r="C185" s="33" t="s">
        <v>839</v>
      </c>
      <c r="D185" s="34">
        <v>0.702380952380952</v>
      </c>
      <c r="E185" s="34">
        <v>0.893939393939393</v>
      </c>
      <c r="F185" s="34">
        <v>0.953333333333333</v>
      </c>
      <c r="G185" s="34">
        <v>-0.869047619047619</v>
      </c>
      <c r="H185" s="34">
        <v>0.0289115646258503</v>
      </c>
      <c r="I185" s="34">
        <v>1.04292929292929</v>
      </c>
      <c r="J185" s="34">
        <v>1.3469387755102</v>
      </c>
    </row>
    <row r="186">
      <c r="A186" s="33">
        <v>240.0</v>
      </c>
      <c r="B186" s="33" t="s">
        <v>964</v>
      </c>
      <c r="C186" s="33" t="s">
        <v>1004</v>
      </c>
      <c r="D186" s="34">
        <v>0.702380952380952</v>
      </c>
      <c r="E186" s="34">
        <v>0.893939393939393</v>
      </c>
      <c r="F186" s="34">
        <v>0.953333333333333</v>
      </c>
      <c r="G186" s="34">
        <v>-0.869047619047619</v>
      </c>
      <c r="H186" s="34">
        <v>0.0289115646258503</v>
      </c>
      <c r="I186" s="34">
        <v>1.04292929292929</v>
      </c>
      <c r="J186" s="34">
        <v>1.3469387755102</v>
      </c>
    </row>
    <row r="187">
      <c r="A187" s="33">
        <v>241.0</v>
      </c>
      <c r="B187" s="33" t="s">
        <v>1011</v>
      </c>
      <c r="C187" s="33" t="s">
        <v>839</v>
      </c>
      <c r="D187" s="34">
        <v>0.702380952380952</v>
      </c>
      <c r="E187" s="34">
        <v>0.893939393939393</v>
      </c>
      <c r="F187" s="34">
        <v>0.953333333333333</v>
      </c>
      <c r="G187" s="34">
        <v>-0.869047619047619</v>
      </c>
      <c r="H187" s="34">
        <v>0.0289115646258503</v>
      </c>
      <c r="I187" s="34">
        <v>1.04292929292929</v>
      </c>
      <c r="J187" s="34">
        <v>1.3469387755102</v>
      </c>
    </row>
    <row r="188">
      <c r="A188" s="33">
        <v>230.0</v>
      </c>
      <c r="B188" s="33" t="s">
        <v>1002</v>
      </c>
      <c r="C188" s="33" t="s">
        <v>835</v>
      </c>
      <c r="D188" s="34">
        <v>0.761904761904761</v>
      </c>
      <c r="E188" s="34">
        <v>0.888888888888888</v>
      </c>
      <c r="F188" s="34">
        <v>0.948717948717948</v>
      </c>
      <c r="G188" s="34">
        <v>-0.952380952380952</v>
      </c>
      <c r="H188" s="34">
        <v>0.0170068027210884</v>
      </c>
      <c r="I188" s="34">
        <v>1.02283105022831</v>
      </c>
      <c r="J188" s="34">
        <v>1.17857142857142</v>
      </c>
    </row>
    <row r="189">
      <c r="A189" s="33">
        <v>228.0</v>
      </c>
      <c r="B189" s="33" t="s">
        <v>988</v>
      </c>
      <c r="C189" s="33" t="s">
        <v>835</v>
      </c>
      <c r="D189" s="34">
        <v>0.75</v>
      </c>
      <c r="E189" s="34">
        <v>0.887323943661971</v>
      </c>
      <c r="F189" s="34">
        <v>0.948387096774193</v>
      </c>
      <c r="G189" s="34">
        <v>-0.94047619047619</v>
      </c>
      <c r="H189" s="34">
        <v>0.0154478458049887</v>
      </c>
      <c r="I189" s="34">
        <v>1.02103029133706</v>
      </c>
      <c r="J189" s="34">
        <v>1.16220238095238</v>
      </c>
    </row>
    <row r="190">
      <c r="A190" s="33">
        <v>229.0</v>
      </c>
      <c r="B190" s="33" t="s">
        <v>989</v>
      </c>
      <c r="C190" s="33" t="s">
        <v>835</v>
      </c>
      <c r="D190" s="34">
        <v>0.75</v>
      </c>
      <c r="E190" s="34">
        <v>0.887323943661971</v>
      </c>
      <c r="F190" s="34">
        <v>0.948387096774193</v>
      </c>
      <c r="G190" s="34">
        <v>-0.94047619047619</v>
      </c>
      <c r="H190" s="34">
        <v>0.0154478458049887</v>
      </c>
      <c r="I190" s="34">
        <v>1.02103029133706</v>
      </c>
      <c r="J190" s="34">
        <v>1.16220238095238</v>
      </c>
    </row>
    <row r="191">
      <c r="A191" s="33">
        <v>226.0</v>
      </c>
      <c r="B191" s="33" t="s">
        <v>826</v>
      </c>
      <c r="C191" s="33" t="s">
        <v>839</v>
      </c>
      <c r="D191" s="34">
        <v>0.821428571428571</v>
      </c>
      <c r="E191" s="34">
        <v>0.884615384615384</v>
      </c>
      <c r="F191" s="34">
        <v>0.944444444444444</v>
      </c>
      <c r="G191" s="34">
        <v>-1.03571428571428</v>
      </c>
      <c r="H191" s="34">
        <v>0.0255102040816326</v>
      </c>
      <c r="I191" s="34">
        <v>1.03205128205128</v>
      </c>
      <c r="J191" s="34">
        <v>1.23809523809523</v>
      </c>
    </row>
    <row r="192">
      <c r="A192" s="33">
        <v>227.0</v>
      </c>
      <c r="B192" s="33" t="s">
        <v>825</v>
      </c>
      <c r="C192" s="33" t="s">
        <v>835</v>
      </c>
      <c r="D192" s="34">
        <v>0.821428571428571</v>
      </c>
      <c r="E192" s="34">
        <v>0.884615384615384</v>
      </c>
      <c r="F192" s="34">
        <v>0.944444444444444</v>
      </c>
      <c r="G192" s="34">
        <v>-1.03571428571428</v>
      </c>
      <c r="H192" s="34">
        <v>0.0144557823129251</v>
      </c>
      <c r="I192" s="34">
        <v>1.01791359325605</v>
      </c>
      <c r="J192" s="34">
        <v>1.13492063492063</v>
      </c>
    </row>
    <row r="193">
      <c r="A193" s="33">
        <v>223.0</v>
      </c>
      <c r="B193" s="33" t="s">
        <v>64</v>
      </c>
      <c r="C193" s="33" t="s">
        <v>836</v>
      </c>
      <c r="D193" s="34">
        <v>0.726190476190476</v>
      </c>
      <c r="E193" s="34">
        <v>0.884057971014492</v>
      </c>
      <c r="F193" s="34">
        <v>0.947712418300653</v>
      </c>
      <c r="G193" s="34">
        <v>-0.916666666666666</v>
      </c>
      <c r="H193" s="34">
        <v>0.00255102040816324</v>
      </c>
      <c r="I193" s="34">
        <v>1.00352526439482</v>
      </c>
      <c r="J193" s="34">
        <v>1.02678571428571</v>
      </c>
    </row>
    <row r="194">
      <c r="A194" s="33">
        <v>224.0</v>
      </c>
      <c r="B194" s="33" t="s">
        <v>830</v>
      </c>
      <c r="C194" s="33" t="s">
        <v>1002</v>
      </c>
      <c r="D194" s="34">
        <v>0.726190476190476</v>
      </c>
      <c r="E194" s="34">
        <v>0.884057971014492</v>
      </c>
      <c r="F194" s="34">
        <v>0.947712418300653</v>
      </c>
      <c r="G194" s="34">
        <v>-0.916666666666666</v>
      </c>
      <c r="H194" s="34">
        <v>0.022108843537415</v>
      </c>
      <c r="I194" s="34">
        <v>1.03140096618357</v>
      </c>
      <c r="J194" s="34">
        <v>1.23214285714285</v>
      </c>
    </row>
    <row r="195">
      <c r="A195" s="33">
        <v>225.0</v>
      </c>
      <c r="B195" s="33" t="s">
        <v>64</v>
      </c>
      <c r="C195" s="33" t="s">
        <v>1004</v>
      </c>
      <c r="D195" s="34">
        <v>0.726190476190476</v>
      </c>
      <c r="E195" s="34">
        <v>0.884057971014492</v>
      </c>
      <c r="F195" s="34">
        <v>0.947712418300653</v>
      </c>
      <c r="G195" s="34">
        <v>-0.916666666666666</v>
      </c>
      <c r="H195" s="34">
        <v>0.022108843537415</v>
      </c>
      <c r="I195" s="34">
        <v>1.03140096618357</v>
      </c>
      <c r="J195" s="34">
        <v>1.23214285714285</v>
      </c>
    </row>
    <row r="196">
      <c r="A196" s="33">
        <v>222.0</v>
      </c>
      <c r="B196" s="33" t="s">
        <v>848</v>
      </c>
      <c r="C196" s="33" t="s">
        <v>839</v>
      </c>
      <c r="D196" s="34">
        <v>0.809523809523809</v>
      </c>
      <c r="E196" s="34">
        <v>0.883116883116883</v>
      </c>
      <c r="F196" s="34">
        <v>0.944099378881987</v>
      </c>
      <c r="G196" s="34">
        <v>-1.02380952380952</v>
      </c>
      <c r="H196" s="34">
        <v>0.0238095238095239</v>
      </c>
      <c r="I196" s="34">
        <v>1.03030303030303</v>
      </c>
      <c r="J196" s="34">
        <v>1.22222222222222</v>
      </c>
    </row>
    <row r="197">
      <c r="A197" s="33">
        <v>221.0</v>
      </c>
      <c r="B197" s="33" t="s">
        <v>842</v>
      </c>
      <c r="C197" s="33" t="s">
        <v>835</v>
      </c>
      <c r="D197" s="34">
        <v>0.714285714285714</v>
      </c>
      <c r="E197" s="34">
        <v>0.88235294117647</v>
      </c>
      <c r="F197" s="34">
        <v>0.947368421052631</v>
      </c>
      <c r="G197" s="34">
        <v>-0.904761904761904</v>
      </c>
      <c r="H197" s="34">
        <v>0.0107709750566893</v>
      </c>
      <c r="I197" s="34">
        <v>1.01531023368251</v>
      </c>
      <c r="J197" s="34">
        <v>1.11309523809523</v>
      </c>
    </row>
    <row r="198">
      <c r="A198" s="36">
        <v>216.0</v>
      </c>
      <c r="B198" s="36" t="s">
        <v>965</v>
      </c>
      <c r="C198" s="36" t="s">
        <v>840</v>
      </c>
      <c r="D198" s="37">
        <v>0.702380952380952</v>
      </c>
      <c r="E198" s="37">
        <v>0.880597014925373</v>
      </c>
      <c r="F198" s="37">
        <v>0.947019867549668</v>
      </c>
      <c r="G198" s="37">
        <v>-0.892857142857143</v>
      </c>
      <c r="H198" s="37">
        <v>0.0282029478458049</v>
      </c>
      <c r="I198" s="37">
        <v>1.04183308808072</v>
      </c>
      <c r="J198" s="37">
        <v>1.29613095238095</v>
      </c>
    </row>
    <row r="199">
      <c r="A199" s="33">
        <v>217.0</v>
      </c>
      <c r="B199" s="33" t="s">
        <v>974</v>
      </c>
      <c r="C199" s="33" t="s">
        <v>839</v>
      </c>
      <c r="D199" s="34">
        <v>0.702380952380952</v>
      </c>
      <c r="E199" s="34">
        <v>0.880597014925373</v>
      </c>
      <c r="F199" s="34">
        <v>0.947019867549668</v>
      </c>
      <c r="G199" s="34">
        <v>-0.892857142857143</v>
      </c>
      <c r="H199" s="34">
        <v>0.0187074829931972</v>
      </c>
      <c r="I199" s="34">
        <v>1.0273631840796</v>
      </c>
      <c r="J199" s="34">
        <v>1.19642857142857</v>
      </c>
    </row>
    <row r="200">
      <c r="A200" s="33">
        <v>218.0</v>
      </c>
      <c r="B200" s="33" t="s">
        <v>974</v>
      </c>
      <c r="C200" s="33" t="s">
        <v>840</v>
      </c>
      <c r="D200" s="34">
        <v>0.702380952380952</v>
      </c>
      <c r="E200" s="34">
        <v>0.880597014925373</v>
      </c>
      <c r="F200" s="34">
        <v>0.947019867549668</v>
      </c>
      <c r="G200" s="34">
        <v>-0.892857142857143</v>
      </c>
      <c r="H200" s="34">
        <v>0.0282029478458049</v>
      </c>
      <c r="I200" s="34">
        <v>1.04183308808072</v>
      </c>
      <c r="J200" s="34">
        <v>1.29613095238095</v>
      </c>
    </row>
    <row r="201">
      <c r="A201" s="33">
        <v>219.0</v>
      </c>
      <c r="B201" s="33" t="s">
        <v>965</v>
      </c>
      <c r="C201" s="33" t="s">
        <v>1002</v>
      </c>
      <c r="D201" s="34">
        <v>0.702380952380952</v>
      </c>
      <c r="E201" s="34">
        <v>0.880597014925373</v>
      </c>
      <c r="F201" s="34">
        <v>0.947019867549668</v>
      </c>
      <c r="G201" s="34">
        <v>-0.892857142857143</v>
      </c>
      <c r="H201" s="34">
        <v>0.0187074829931972</v>
      </c>
      <c r="I201" s="34">
        <v>1.0273631840796</v>
      </c>
      <c r="J201" s="34">
        <v>1.19642857142857</v>
      </c>
    </row>
    <row r="202">
      <c r="A202" s="33">
        <v>220.0</v>
      </c>
      <c r="B202" s="33" t="s">
        <v>974</v>
      </c>
      <c r="C202" s="33" t="s">
        <v>1002</v>
      </c>
      <c r="D202" s="34">
        <v>0.702380952380952</v>
      </c>
      <c r="E202" s="34">
        <v>0.880597014925373</v>
      </c>
      <c r="F202" s="34">
        <v>0.947019867549668</v>
      </c>
      <c r="G202" s="34">
        <v>-0.892857142857143</v>
      </c>
      <c r="H202" s="34">
        <v>0.0187074829931972</v>
      </c>
      <c r="I202" s="34">
        <v>1.0273631840796</v>
      </c>
      <c r="J202" s="34">
        <v>1.19642857142857</v>
      </c>
    </row>
    <row r="203">
      <c r="A203" s="36">
        <v>214.0</v>
      </c>
      <c r="B203" s="36" t="s">
        <v>835</v>
      </c>
      <c r="C203" s="36" t="s">
        <v>840</v>
      </c>
      <c r="D203" s="37">
        <v>0.761904761904761</v>
      </c>
      <c r="E203" s="37">
        <v>0.876712328767123</v>
      </c>
      <c r="F203" s="37">
        <v>0.942675159235668</v>
      </c>
      <c r="G203" s="37">
        <v>-0.976190476190476</v>
      </c>
      <c r="H203" s="37">
        <v>0.0273526077097505</v>
      </c>
      <c r="I203" s="37">
        <v>1.03723712135828</v>
      </c>
      <c r="J203" s="37">
        <v>1.255291005291</v>
      </c>
    </row>
    <row r="204">
      <c r="A204" s="33">
        <v>215.0</v>
      </c>
      <c r="B204" s="33" t="s">
        <v>835</v>
      </c>
      <c r="C204" s="33" t="s">
        <v>1002</v>
      </c>
      <c r="D204" s="34">
        <v>0.761904761904761</v>
      </c>
      <c r="E204" s="34">
        <v>0.876712328767123</v>
      </c>
      <c r="F204" s="34">
        <v>0.942675159235668</v>
      </c>
      <c r="G204" s="34">
        <v>-0.976190476190476</v>
      </c>
      <c r="H204" s="34">
        <v>0.0170068027210884</v>
      </c>
      <c r="I204" s="34">
        <v>1.02283105022831</v>
      </c>
      <c r="J204" s="34">
        <v>1.15873015873015</v>
      </c>
    </row>
    <row r="205">
      <c r="A205" s="33">
        <v>208.0</v>
      </c>
      <c r="B205" s="33" t="s">
        <v>1002</v>
      </c>
      <c r="C205" s="33" t="s">
        <v>839</v>
      </c>
      <c r="D205" s="34">
        <v>0.75</v>
      </c>
      <c r="E205" s="34">
        <v>0.875</v>
      </c>
      <c r="F205" s="34">
        <v>0.942307692307692</v>
      </c>
      <c r="G205" s="34">
        <v>-0.964285714285714</v>
      </c>
      <c r="H205" s="34">
        <v>0.0153061224489796</v>
      </c>
      <c r="I205" s="34">
        <v>1.02083333333333</v>
      </c>
      <c r="J205" s="34">
        <v>1.14285714285714</v>
      </c>
    </row>
    <row r="206">
      <c r="A206" s="33">
        <v>209.0</v>
      </c>
      <c r="B206" s="33" t="s">
        <v>839</v>
      </c>
      <c r="C206" s="33" t="s">
        <v>1002</v>
      </c>
      <c r="D206" s="34">
        <v>0.75</v>
      </c>
      <c r="E206" s="34">
        <v>0.875</v>
      </c>
      <c r="F206" s="34">
        <v>0.942307692307692</v>
      </c>
      <c r="G206" s="34">
        <v>-0.964285714285714</v>
      </c>
      <c r="H206" s="34">
        <v>0.0153061224489796</v>
      </c>
      <c r="I206" s="34">
        <v>1.02083333333333</v>
      </c>
      <c r="J206" s="34">
        <v>1.14285714285714</v>
      </c>
    </row>
    <row r="207">
      <c r="A207" s="33">
        <v>210.0</v>
      </c>
      <c r="B207" s="33" t="s">
        <v>1003</v>
      </c>
      <c r="C207" s="33" t="s">
        <v>835</v>
      </c>
      <c r="D207" s="34">
        <v>0.75</v>
      </c>
      <c r="E207" s="34">
        <v>0.875</v>
      </c>
      <c r="F207" s="34">
        <v>0.942307692307692</v>
      </c>
      <c r="G207" s="34">
        <v>-0.964285714285714</v>
      </c>
      <c r="H207" s="34">
        <v>0.00510204081632659</v>
      </c>
      <c r="I207" s="34">
        <v>1.00684931506849</v>
      </c>
      <c r="J207" s="34">
        <v>1.04761904761904</v>
      </c>
    </row>
    <row r="208">
      <c r="A208" s="33">
        <v>211.0</v>
      </c>
      <c r="B208" s="33" t="s">
        <v>1003</v>
      </c>
      <c r="C208" s="33" t="s">
        <v>839</v>
      </c>
      <c r="D208" s="34">
        <v>0.75</v>
      </c>
      <c r="E208" s="34">
        <v>0.875</v>
      </c>
      <c r="F208" s="34">
        <v>0.942307692307692</v>
      </c>
      <c r="G208" s="34">
        <v>-0.964285714285714</v>
      </c>
      <c r="H208" s="34">
        <v>0.0153061224489796</v>
      </c>
      <c r="I208" s="34">
        <v>1.02083333333333</v>
      </c>
      <c r="J208" s="34">
        <v>1.14285714285714</v>
      </c>
    </row>
    <row r="209">
      <c r="A209" s="33">
        <v>212.0</v>
      </c>
      <c r="B209" s="33" t="s">
        <v>839</v>
      </c>
      <c r="C209" s="33" t="s">
        <v>1003</v>
      </c>
      <c r="D209" s="34">
        <v>0.75</v>
      </c>
      <c r="E209" s="34">
        <v>0.875</v>
      </c>
      <c r="F209" s="34">
        <v>0.942307692307692</v>
      </c>
      <c r="G209" s="34">
        <v>-0.964285714285714</v>
      </c>
      <c r="H209" s="34">
        <v>0.0153061224489796</v>
      </c>
      <c r="I209" s="34">
        <v>1.02083333333333</v>
      </c>
      <c r="J209" s="34">
        <v>1.14285714285714</v>
      </c>
    </row>
    <row r="210">
      <c r="A210" s="33">
        <v>213.0</v>
      </c>
      <c r="B210" s="33" t="s">
        <v>1004</v>
      </c>
      <c r="C210" s="33" t="s">
        <v>835</v>
      </c>
      <c r="D210" s="34">
        <v>0.75</v>
      </c>
      <c r="E210" s="34">
        <v>0.875</v>
      </c>
      <c r="F210" s="34">
        <v>0.942307692307692</v>
      </c>
      <c r="G210" s="34">
        <v>-0.964285714285714</v>
      </c>
      <c r="H210" s="34">
        <v>0.00510204081632659</v>
      </c>
      <c r="I210" s="34">
        <v>1.00684931506849</v>
      </c>
      <c r="J210" s="34">
        <v>1.04761904761904</v>
      </c>
    </row>
    <row r="211">
      <c r="A211" s="36">
        <v>206.0</v>
      </c>
      <c r="B211" s="36" t="s">
        <v>840</v>
      </c>
      <c r="C211" s="36" t="s">
        <v>836</v>
      </c>
      <c r="D211" s="37">
        <v>0.738095238095238</v>
      </c>
      <c r="E211" s="37">
        <v>0.873239436619718</v>
      </c>
      <c r="F211" s="37">
        <v>0.941935483870967</v>
      </c>
      <c r="G211" s="37">
        <v>-0.952380952380952</v>
      </c>
      <c r="H211" s="37">
        <v>-0.00651927437641719</v>
      </c>
      <c r="I211" s="37">
        <v>0.991244765892653</v>
      </c>
      <c r="J211" s="37">
        <v>0.939153439153439</v>
      </c>
    </row>
    <row r="212">
      <c r="A212" s="33">
        <v>207.0</v>
      </c>
      <c r="B212" s="33" t="s">
        <v>989</v>
      </c>
      <c r="C212" s="33" t="s">
        <v>839</v>
      </c>
      <c r="D212" s="34">
        <v>0.738095238095238</v>
      </c>
      <c r="E212" s="34">
        <v>0.873239436619718</v>
      </c>
      <c r="F212" s="34">
        <v>0.941935483870967</v>
      </c>
      <c r="G212" s="34">
        <v>-0.952380952380952</v>
      </c>
      <c r="H212" s="34">
        <v>0.0136054421768708</v>
      </c>
      <c r="I212" s="34">
        <v>1.018779342723</v>
      </c>
      <c r="J212" s="34">
        <v>1.12698412698412</v>
      </c>
    </row>
    <row r="213">
      <c r="A213" s="33">
        <v>203.0</v>
      </c>
      <c r="B213" s="33" t="s">
        <v>826</v>
      </c>
      <c r="C213" s="33" t="s">
        <v>836</v>
      </c>
      <c r="D213" s="34">
        <v>0.809523809523809</v>
      </c>
      <c r="E213" s="34">
        <v>0.871794871794871</v>
      </c>
      <c r="F213" s="34">
        <v>0.938271604938271</v>
      </c>
      <c r="G213" s="34">
        <v>-1.04761904761904</v>
      </c>
      <c r="H213" s="34">
        <v>-0.00850340136054417</v>
      </c>
      <c r="I213" s="34">
        <v>0.989604989604989</v>
      </c>
      <c r="J213" s="34">
        <v>0.928571428571428</v>
      </c>
    </row>
    <row r="214">
      <c r="A214" s="33">
        <v>204.0</v>
      </c>
      <c r="B214" s="33" t="s">
        <v>826</v>
      </c>
      <c r="C214" s="33" t="s">
        <v>835</v>
      </c>
      <c r="D214" s="34">
        <v>0.809523809523809</v>
      </c>
      <c r="E214" s="34">
        <v>0.871794871794871</v>
      </c>
      <c r="F214" s="34">
        <v>0.938271604938271</v>
      </c>
      <c r="G214" s="34">
        <v>-1.04761904761904</v>
      </c>
      <c r="H214" s="34">
        <v>0.00255102040816324</v>
      </c>
      <c r="I214" s="34">
        <v>1.0031612223393</v>
      </c>
      <c r="J214" s="34">
        <v>1.02142857142857</v>
      </c>
    </row>
    <row r="215">
      <c r="A215" s="33">
        <v>205.0</v>
      </c>
      <c r="B215" s="33" t="s">
        <v>825</v>
      </c>
      <c r="C215" s="33" t="s">
        <v>836</v>
      </c>
      <c r="D215" s="34">
        <v>0.809523809523809</v>
      </c>
      <c r="E215" s="34">
        <v>0.871794871794871</v>
      </c>
      <c r="F215" s="34">
        <v>0.938271604938271</v>
      </c>
      <c r="G215" s="34">
        <v>-1.04761904761904</v>
      </c>
      <c r="H215" s="34">
        <v>-0.00850340136054417</v>
      </c>
      <c r="I215" s="34">
        <v>0.989604989604989</v>
      </c>
      <c r="J215" s="34">
        <v>0.928571428571428</v>
      </c>
    </row>
    <row r="216">
      <c r="A216" s="33">
        <v>201.0</v>
      </c>
      <c r="B216" s="33" t="s">
        <v>971</v>
      </c>
      <c r="C216" s="33" t="s">
        <v>835</v>
      </c>
      <c r="D216" s="34">
        <v>0.726190476190476</v>
      </c>
      <c r="E216" s="34">
        <v>0.871428571428571</v>
      </c>
      <c r="F216" s="34">
        <v>0.941558441558441</v>
      </c>
      <c r="G216" s="34">
        <v>-0.94047619047619</v>
      </c>
      <c r="H216" s="34">
        <v>0.00198412698412686</v>
      </c>
      <c r="I216" s="34">
        <v>1.00273972602739</v>
      </c>
      <c r="J216" s="34">
        <v>1.01851851851851</v>
      </c>
    </row>
    <row r="217">
      <c r="A217" s="33">
        <v>202.0</v>
      </c>
      <c r="B217" s="33" t="s">
        <v>971</v>
      </c>
      <c r="C217" s="33" t="s">
        <v>839</v>
      </c>
      <c r="D217" s="34">
        <v>0.726190476190476</v>
      </c>
      <c r="E217" s="34">
        <v>0.871428571428571</v>
      </c>
      <c r="F217" s="34">
        <v>0.941558441558441</v>
      </c>
      <c r="G217" s="34">
        <v>-0.94047619047619</v>
      </c>
      <c r="H217" s="34">
        <v>0.0119047619047618</v>
      </c>
      <c r="I217" s="34">
        <v>1.01666666666666</v>
      </c>
      <c r="J217" s="34">
        <v>1.11111111111111</v>
      </c>
    </row>
    <row r="218">
      <c r="A218" s="33">
        <v>197.0</v>
      </c>
      <c r="B218" s="33" t="s">
        <v>837</v>
      </c>
      <c r="C218" s="33" t="s">
        <v>836</v>
      </c>
      <c r="D218" s="34">
        <v>0.797619047619047</v>
      </c>
      <c r="E218" s="34">
        <v>0.87012987012987</v>
      </c>
      <c r="F218" s="34">
        <v>0.937888198757764</v>
      </c>
      <c r="G218" s="34">
        <v>-1.03571428571428</v>
      </c>
      <c r="H218" s="34">
        <v>-0.00992063492063477</v>
      </c>
      <c r="I218" s="34">
        <v>0.987714987714987</v>
      </c>
      <c r="J218" s="34">
        <v>0.916666666666666</v>
      </c>
    </row>
    <row r="219">
      <c r="A219" s="33">
        <v>198.0</v>
      </c>
      <c r="B219" s="33" t="s">
        <v>837</v>
      </c>
      <c r="C219" s="33" t="s">
        <v>835</v>
      </c>
      <c r="D219" s="34">
        <v>0.797619047619047</v>
      </c>
      <c r="E219" s="34">
        <v>0.87012987012987</v>
      </c>
      <c r="F219" s="34">
        <v>0.937888198757764</v>
      </c>
      <c r="G219" s="34">
        <v>-1.03571428571428</v>
      </c>
      <c r="H219" s="34">
        <v>9.92063492063599E-4</v>
      </c>
      <c r="I219" s="34">
        <v>1.00124533001245</v>
      </c>
      <c r="J219" s="34">
        <v>1.00833333333333</v>
      </c>
    </row>
    <row r="220">
      <c r="A220" s="33">
        <v>199.0</v>
      </c>
      <c r="B220" s="33" t="s">
        <v>848</v>
      </c>
      <c r="C220" s="33" t="s">
        <v>836</v>
      </c>
      <c r="D220" s="34">
        <v>0.797619047619047</v>
      </c>
      <c r="E220" s="34">
        <v>0.87012987012987</v>
      </c>
      <c r="F220" s="34">
        <v>0.937888198757764</v>
      </c>
      <c r="G220" s="34">
        <v>-1.03571428571428</v>
      </c>
      <c r="H220" s="34">
        <v>-0.00992063492063477</v>
      </c>
      <c r="I220" s="34">
        <v>0.987714987714987</v>
      </c>
      <c r="J220" s="34">
        <v>0.916666666666666</v>
      </c>
    </row>
    <row r="221">
      <c r="A221" s="33">
        <v>200.0</v>
      </c>
      <c r="B221" s="33" t="s">
        <v>848</v>
      </c>
      <c r="C221" s="33" t="s">
        <v>835</v>
      </c>
      <c r="D221" s="34">
        <v>0.797619047619047</v>
      </c>
      <c r="E221" s="34">
        <v>0.87012987012987</v>
      </c>
      <c r="F221" s="34">
        <v>0.937888198757764</v>
      </c>
      <c r="G221" s="34">
        <v>-1.03571428571428</v>
      </c>
      <c r="H221" s="34">
        <v>9.92063492063599E-4</v>
      </c>
      <c r="I221" s="34">
        <v>1.00124533001245</v>
      </c>
      <c r="J221" s="34">
        <v>1.00833333333333</v>
      </c>
    </row>
    <row r="222">
      <c r="A222" s="33">
        <v>190.0</v>
      </c>
      <c r="B222" s="33" t="s">
        <v>64</v>
      </c>
      <c r="C222" s="33" t="s">
        <v>835</v>
      </c>
      <c r="D222" s="34">
        <v>0.714285714285714</v>
      </c>
      <c r="E222" s="34">
        <v>0.869565217391304</v>
      </c>
      <c r="F222" s="34">
        <v>0.941176470588235</v>
      </c>
      <c r="G222" s="34">
        <v>-0.928571428571428</v>
      </c>
      <c r="H222" s="34">
        <v>4.25170068027225E-4</v>
      </c>
      <c r="I222" s="34">
        <v>1.00059559261465</v>
      </c>
      <c r="J222" s="34">
        <v>1.00396825396825</v>
      </c>
    </row>
    <row r="223">
      <c r="A223" s="36">
        <v>191.0</v>
      </c>
      <c r="B223" s="36" t="s">
        <v>64</v>
      </c>
      <c r="C223" s="36" t="s">
        <v>840</v>
      </c>
      <c r="D223" s="37">
        <v>0.714285714285714</v>
      </c>
      <c r="E223" s="37">
        <v>0.869565217391304</v>
      </c>
      <c r="F223" s="37">
        <v>0.941176470588235</v>
      </c>
      <c r="G223" s="37">
        <v>-0.928571428571428</v>
      </c>
      <c r="H223" s="37">
        <v>0.0199829931972789</v>
      </c>
      <c r="I223" s="37">
        <v>1.0287813839559</v>
      </c>
      <c r="J223" s="37">
        <v>1.18650793650793</v>
      </c>
    </row>
    <row r="224">
      <c r="A224" s="33">
        <v>192.0</v>
      </c>
      <c r="B224" s="33" t="s">
        <v>830</v>
      </c>
      <c r="C224" s="33" t="s">
        <v>988</v>
      </c>
      <c r="D224" s="34">
        <v>0.714285714285714</v>
      </c>
      <c r="E224" s="34">
        <v>0.869565217391304</v>
      </c>
      <c r="F224" s="34">
        <v>0.941176470588235</v>
      </c>
      <c r="G224" s="34">
        <v>-0.928571428571428</v>
      </c>
      <c r="H224" s="34">
        <v>0.0199829931972789</v>
      </c>
      <c r="I224" s="34">
        <v>1.0287813839559</v>
      </c>
      <c r="J224" s="34">
        <v>1.18650793650793</v>
      </c>
    </row>
    <row r="225">
      <c r="A225" s="33">
        <v>193.0</v>
      </c>
      <c r="B225" s="33" t="s">
        <v>830</v>
      </c>
      <c r="C225" s="33" t="s">
        <v>989</v>
      </c>
      <c r="D225" s="34">
        <v>0.714285714285714</v>
      </c>
      <c r="E225" s="34">
        <v>0.869565217391304</v>
      </c>
      <c r="F225" s="34">
        <v>0.941176470588235</v>
      </c>
      <c r="G225" s="34">
        <v>-0.928571428571428</v>
      </c>
      <c r="H225" s="34">
        <v>0.0199829931972789</v>
      </c>
      <c r="I225" s="34">
        <v>1.0287813839559</v>
      </c>
      <c r="J225" s="34">
        <v>1.18650793650793</v>
      </c>
    </row>
    <row r="226">
      <c r="A226" s="33">
        <v>194.0</v>
      </c>
      <c r="B226" s="33" t="s">
        <v>990</v>
      </c>
      <c r="C226" s="33" t="s">
        <v>840</v>
      </c>
      <c r="D226" s="34">
        <v>0.714285714285714</v>
      </c>
      <c r="E226" s="34">
        <v>0.869565217391304</v>
      </c>
      <c r="F226" s="34">
        <v>0.941176470588235</v>
      </c>
      <c r="G226" s="34">
        <v>-0.928571428571428</v>
      </c>
      <c r="H226" s="34">
        <v>0.0199829931972789</v>
      </c>
      <c r="I226" s="34">
        <v>1.0287813839559</v>
      </c>
      <c r="J226" s="34">
        <v>1.18650793650793</v>
      </c>
    </row>
    <row r="227">
      <c r="A227" s="33">
        <v>195.0</v>
      </c>
      <c r="B227" s="33" t="s">
        <v>990</v>
      </c>
      <c r="C227" s="33" t="s">
        <v>830</v>
      </c>
      <c r="D227" s="34">
        <v>0.714285714285714</v>
      </c>
      <c r="E227" s="34">
        <v>0.869565217391304</v>
      </c>
      <c r="F227" s="34">
        <v>0.941176470588235</v>
      </c>
      <c r="G227" s="34">
        <v>-0.928571428571428</v>
      </c>
      <c r="H227" s="34">
        <v>0.0395408163265307</v>
      </c>
      <c r="I227" s="34">
        <v>1.0586011342155</v>
      </c>
      <c r="J227" s="34">
        <v>1.36904761904761</v>
      </c>
    </row>
    <row r="228">
      <c r="A228" s="33">
        <v>196.0</v>
      </c>
      <c r="B228" s="33" t="s">
        <v>830</v>
      </c>
      <c r="C228" s="33" t="s">
        <v>990</v>
      </c>
      <c r="D228" s="34">
        <v>0.714285714285714</v>
      </c>
      <c r="E228" s="34">
        <v>0.869565217391304</v>
      </c>
      <c r="F228" s="34">
        <v>0.941176470588235</v>
      </c>
      <c r="G228" s="34">
        <v>-0.928571428571428</v>
      </c>
      <c r="H228" s="34">
        <v>0.0395408163265307</v>
      </c>
      <c r="I228" s="34">
        <v>1.0586011342155</v>
      </c>
      <c r="J228" s="34">
        <v>1.36904761904761</v>
      </c>
    </row>
    <row r="229">
      <c r="A229" s="33">
        <v>177.0</v>
      </c>
      <c r="B229" s="33" t="s">
        <v>842</v>
      </c>
      <c r="C229" s="33" t="s">
        <v>836</v>
      </c>
      <c r="D229" s="34">
        <v>0.702380952380952</v>
      </c>
      <c r="E229" s="34">
        <v>0.867647058823529</v>
      </c>
      <c r="F229" s="34">
        <v>0.94078947368421</v>
      </c>
      <c r="G229" s="34">
        <v>-0.916666666666666</v>
      </c>
      <c r="H229" s="34">
        <v>-0.0107709750566893</v>
      </c>
      <c r="I229" s="34">
        <v>0.984896661367249</v>
      </c>
      <c r="J229" s="34">
        <v>0.899470899470899</v>
      </c>
    </row>
    <row r="230">
      <c r="A230" s="33">
        <v>178.0</v>
      </c>
      <c r="B230" s="33" t="s">
        <v>842</v>
      </c>
      <c r="C230" s="33" t="s">
        <v>1002</v>
      </c>
      <c r="D230" s="34">
        <v>0.702380952380952</v>
      </c>
      <c r="E230" s="34">
        <v>0.867647058823529</v>
      </c>
      <c r="F230" s="34">
        <v>0.94078947368421</v>
      </c>
      <c r="G230" s="34">
        <v>-0.916666666666666</v>
      </c>
      <c r="H230" s="34">
        <v>0.00850340136054417</v>
      </c>
      <c r="I230" s="34">
        <v>1.01225490196078</v>
      </c>
      <c r="J230" s="34">
        <v>1.07936507936507</v>
      </c>
    </row>
    <row r="231">
      <c r="A231" s="33">
        <v>179.0</v>
      </c>
      <c r="B231" s="33" t="s">
        <v>842</v>
      </c>
      <c r="C231" s="33" t="s">
        <v>1003</v>
      </c>
      <c r="D231" s="34">
        <v>0.702380952380952</v>
      </c>
      <c r="E231" s="34">
        <v>0.867647058823529</v>
      </c>
      <c r="F231" s="34">
        <v>0.94078947368421</v>
      </c>
      <c r="G231" s="34">
        <v>-0.916666666666666</v>
      </c>
      <c r="H231" s="34">
        <v>0.00850340136054417</v>
      </c>
      <c r="I231" s="34">
        <v>1.01225490196078</v>
      </c>
      <c r="J231" s="34">
        <v>1.07936507936507</v>
      </c>
    </row>
    <row r="232">
      <c r="A232" s="33">
        <v>180.0</v>
      </c>
      <c r="B232" s="33" t="s">
        <v>1005</v>
      </c>
      <c r="C232" s="33" t="s">
        <v>839</v>
      </c>
      <c r="D232" s="34">
        <v>0.702380952380952</v>
      </c>
      <c r="E232" s="34">
        <v>0.867647058823529</v>
      </c>
      <c r="F232" s="34">
        <v>0.94078947368421</v>
      </c>
      <c r="G232" s="34">
        <v>-0.916666666666666</v>
      </c>
      <c r="H232" s="34">
        <v>0.00850340136054417</v>
      </c>
      <c r="I232" s="34">
        <v>1.01225490196078</v>
      </c>
      <c r="J232" s="34">
        <v>1.07936507936507</v>
      </c>
    </row>
    <row r="233">
      <c r="A233" s="33">
        <v>181.0</v>
      </c>
      <c r="B233" s="33" t="s">
        <v>973</v>
      </c>
      <c r="C233" s="33" t="s">
        <v>839</v>
      </c>
      <c r="D233" s="34">
        <v>0.702380952380952</v>
      </c>
      <c r="E233" s="34">
        <v>0.867647058823529</v>
      </c>
      <c r="F233" s="34">
        <v>0.94078947368421</v>
      </c>
      <c r="G233" s="34">
        <v>-0.916666666666666</v>
      </c>
      <c r="H233" s="34">
        <v>0.00850340136054417</v>
      </c>
      <c r="I233" s="34">
        <v>1.01225490196078</v>
      </c>
      <c r="J233" s="34">
        <v>1.07936507936507</v>
      </c>
    </row>
    <row r="234">
      <c r="A234" s="33">
        <v>182.0</v>
      </c>
      <c r="B234" s="33" t="s">
        <v>973</v>
      </c>
      <c r="C234" s="33" t="s">
        <v>840</v>
      </c>
      <c r="D234" s="34">
        <v>0.702380952380952</v>
      </c>
      <c r="E234" s="34">
        <v>0.867647058823529</v>
      </c>
      <c r="F234" s="34">
        <v>0.94078947368421</v>
      </c>
      <c r="G234" s="34">
        <v>-0.916666666666666</v>
      </c>
      <c r="H234" s="34">
        <v>0.0181405895691609</v>
      </c>
      <c r="I234" s="34">
        <v>1.026512013256</v>
      </c>
      <c r="J234" s="34">
        <v>1.16931216931216</v>
      </c>
    </row>
    <row r="235">
      <c r="A235" s="33">
        <v>183.0</v>
      </c>
      <c r="B235" s="33" t="s">
        <v>1006</v>
      </c>
      <c r="C235" s="33" t="s">
        <v>835</v>
      </c>
      <c r="D235" s="34">
        <v>0.702380952380952</v>
      </c>
      <c r="E235" s="34">
        <v>0.867647058823529</v>
      </c>
      <c r="F235" s="34">
        <v>0.94078947368421</v>
      </c>
      <c r="G235" s="34">
        <v>-0.916666666666666</v>
      </c>
      <c r="H235" s="34">
        <v>-0.00113378684807263</v>
      </c>
      <c r="I235" s="34">
        <v>0.998388396454472</v>
      </c>
      <c r="J235" s="34">
        <v>0.989417989417989</v>
      </c>
    </row>
    <row r="236">
      <c r="A236" s="33">
        <v>184.0</v>
      </c>
      <c r="B236" s="33" t="s">
        <v>1006</v>
      </c>
      <c r="C236" s="33" t="s">
        <v>841</v>
      </c>
      <c r="D236" s="34">
        <v>0.702380952380952</v>
      </c>
      <c r="E236" s="34">
        <v>0.867647058823529</v>
      </c>
      <c r="F236" s="34">
        <v>0.94078947368421</v>
      </c>
      <c r="G236" s="34">
        <v>-0.916666666666666</v>
      </c>
      <c r="H236" s="34">
        <v>0.0181405895691609</v>
      </c>
      <c r="I236" s="34">
        <v>1.026512013256</v>
      </c>
      <c r="J236" s="34">
        <v>1.16931216931216</v>
      </c>
    </row>
    <row r="237">
      <c r="A237" s="33">
        <v>185.0</v>
      </c>
      <c r="B237" s="33" t="s">
        <v>963</v>
      </c>
      <c r="C237" s="33" t="s">
        <v>835</v>
      </c>
      <c r="D237" s="34">
        <v>0.702380952380952</v>
      </c>
      <c r="E237" s="34">
        <v>0.867647058823529</v>
      </c>
      <c r="F237" s="34">
        <v>0.94078947368421</v>
      </c>
      <c r="G237" s="34">
        <v>-0.916666666666666</v>
      </c>
      <c r="H237" s="34">
        <v>-0.00113378684807263</v>
      </c>
      <c r="I237" s="34">
        <v>0.998388396454472</v>
      </c>
      <c r="J237" s="34">
        <v>0.989417989417989</v>
      </c>
    </row>
    <row r="238">
      <c r="A238" s="33">
        <v>186.0</v>
      </c>
      <c r="B238" s="33" t="s">
        <v>973</v>
      </c>
      <c r="C238" s="33" t="s">
        <v>988</v>
      </c>
      <c r="D238" s="34">
        <v>0.702380952380952</v>
      </c>
      <c r="E238" s="34">
        <v>0.867647058823529</v>
      </c>
      <c r="F238" s="34">
        <v>0.94078947368421</v>
      </c>
      <c r="G238" s="34">
        <v>-0.916666666666666</v>
      </c>
      <c r="H238" s="34">
        <v>0.0181405895691609</v>
      </c>
      <c r="I238" s="34">
        <v>1.026512013256</v>
      </c>
      <c r="J238" s="34">
        <v>1.16931216931216</v>
      </c>
    </row>
    <row r="239">
      <c r="A239" s="33">
        <v>187.0</v>
      </c>
      <c r="B239" s="33" t="s">
        <v>973</v>
      </c>
      <c r="C239" s="33" t="s">
        <v>989</v>
      </c>
      <c r="D239" s="34">
        <v>0.702380952380952</v>
      </c>
      <c r="E239" s="34">
        <v>0.867647058823529</v>
      </c>
      <c r="F239" s="34">
        <v>0.94078947368421</v>
      </c>
      <c r="G239" s="34">
        <v>-0.916666666666666</v>
      </c>
      <c r="H239" s="34">
        <v>0.0181405895691609</v>
      </c>
      <c r="I239" s="34">
        <v>1.026512013256</v>
      </c>
      <c r="J239" s="34">
        <v>1.16931216931216</v>
      </c>
    </row>
    <row r="240">
      <c r="A240" s="33">
        <v>188.0</v>
      </c>
      <c r="B240" s="33" t="s">
        <v>963</v>
      </c>
      <c r="C240" s="33" t="s">
        <v>1002</v>
      </c>
      <c r="D240" s="34">
        <v>0.702380952380952</v>
      </c>
      <c r="E240" s="34">
        <v>0.867647058823529</v>
      </c>
      <c r="F240" s="34">
        <v>0.94078947368421</v>
      </c>
      <c r="G240" s="34">
        <v>-0.916666666666666</v>
      </c>
      <c r="H240" s="34">
        <v>0.00850340136054417</v>
      </c>
      <c r="I240" s="34">
        <v>1.01225490196078</v>
      </c>
      <c r="J240" s="34">
        <v>1.07936507936507</v>
      </c>
    </row>
    <row r="241">
      <c r="A241" s="33">
        <v>189.0</v>
      </c>
      <c r="B241" s="33" t="s">
        <v>963</v>
      </c>
      <c r="C241" s="33" t="s">
        <v>1003</v>
      </c>
      <c r="D241" s="34">
        <v>0.702380952380952</v>
      </c>
      <c r="E241" s="34">
        <v>0.867647058823529</v>
      </c>
      <c r="F241" s="34">
        <v>0.94078947368421</v>
      </c>
      <c r="G241" s="34">
        <v>-0.916666666666666</v>
      </c>
      <c r="H241" s="34">
        <v>0.00850340136054417</v>
      </c>
      <c r="I241" s="34">
        <v>1.01225490196078</v>
      </c>
      <c r="J241" s="34">
        <v>1.07936507936507</v>
      </c>
    </row>
    <row r="242">
      <c r="A242" s="36">
        <v>176.0</v>
      </c>
      <c r="B242" s="36" t="s">
        <v>836</v>
      </c>
      <c r="C242" s="36" t="s">
        <v>841</v>
      </c>
      <c r="D242" s="37">
        <v>0.761904761904761</v>
      </c>
      <c r="E242" s="37">
        <v>0.864864864864864</v>
      </c>
      <c r="F242" s="37">
        <v>0.936708860759493</v>
      </c>
      <c r="G242" s="37">
        <v>-1.0</v>
      </c>
      <c r="H242" s="37">
        <v>0.0172902494331065</v>
      </c>
      <c r="I242" s="37">
        <v>1.02322040350209</v>
      </c>
      <c r="J242" s="37">
        <v>1.14523809523809</v>
      </c>
    </row>
    <row r="243">
      <c r="A243" s="33">
        <v>171.0</v>
      </c>
      <c r="B243" s="33" t="s">
        <v>835</v>
      </c>
      <c r="C243" s="33" t="s">
        <v>836</v>
      </c>
      <c r="D243" s="34">
        <v>0.75</v>
      </c>
      <c r="E243" s="34">
        <v>0.863013698630137</v>
      </c>
      <c r="F243" s="34">
        <v>0.936305732484076</v>
      </c>
      <c r="G243" s="34">
        <v>-0.988095238095238</v>
      </c>
      <c r="H243" s="34">
        <v>-0.0155895691609977</v>
      </c>
      <c r="I243" s="34">
        <v>0.979637171417993</v>
      </c>
      <c r="J243" s="34">
        <v>0.869047619047619</v>
      </c>
    </row>
    <row r="244">
      <c r="A244" s="33">
        <v>172.0</v>
      </c>
      <c r="B244" s="33" t="s">
        <v>835</v>
      </c>
      <c r="C244" s="33" t="s">
        <v>1003</v>
      </c>
      <c r="D244" s="34">
        <v>0.75</v>
      </c>
      <c r="E244" s="34">
        <v>0.863013698630137</v>
      </c>
      <c r="F244" s="34">
        <v>0.936305732484076</v>
      </c>
      <c r="G244" s="34">
        <v>-0.988095238095238</v>
      </c>
      <c r="H244" s="34">
        <v>0.00510204081632659</v>
      </c>
      <c r="I244" s="34">
        <v>1.00684931506849</v>
      </c>
      <c r="J244" s="34">
        <v>1.04285714285714</v>
      </c>
    </row>
    <row r="245">
      <c r="A245" s="33">
        <v>173.0</v>
      </c>
      <c r="B245" s="33" t="s">
        <v>835</v>
      </c>
      <c r="C245" s="33" t="s">
        <v>1004</v>
      </c>
      <c r="D245" s="34">
        <v>0.75</v>
      </c>
      <c r="E245" s="34">
        <v>0.863013698630137</v>
      </c>
      <c r="F245" s="34">
        <v>0.936305732484076</v>
      </c>
      <c r="G245" s="34">
        <v>-0.988095238095238</v>
      </c>
      <c r="H245" s="34">
        <v>0.00510204081632659</v>
      </c>
      <c r="I245" s="34">
        <v>1.00684931506849</v>
      </c>
      <c r="J245" s="34">
        <v>1.04285714285714</v>
      </c>
    </row>
    <row r="246">
      <c r="A246" s="33">
        <v>174.0</v>
      </c>
      <c r="B246" s="33" t="s">
        <v>835</v>
      </c>
      <c r="C246" s="33" t="s">
        <v>988</v>
      </c>
      <c r="D246" s="34">
        <v>0.75</v>
      </c>
      <c r="E246" s="34">
        <v>0.863013698630137</v>
      </c>
      <c r="F246" s="34">
        <v>0.936305732484076</v>
      </c>
      <c r="G246" s="34">
        <v>-0.988095238095238</v>
      </c>
      <c r="H246" s="34">
        <v>0.0154478458049887</v>
      </c>
      <c r="I246" s="34">
        <v>1.02103029133706</v>
      </c>
      <c r="J246" s="34">
        <v>1.1297619047619</v>
      </c>
    </row>
    <row r="247">
      <c r="A247" s="33">
        <v>175.0</v>
      </c>
      <c r="B247" s="33" t="s">
        <v>835</v>
      </c>
      <c r="C247" s="33" t="s">
        <v>989</v>
      </c>
      <c r="D247" s="34">
        <v>0.75</v>
      </c>
      <c r="E247" s="34">
        <v>0.863013698630137</v>
      </c>
      <c r="F247" s="34">
        <v>0.936305732484076</v>
      </c>
      <c r="G247" s="34">
        <v>-0.988095238095238</v>
      </c>
      <c r="H247" s="34">
        <v>0.0154478458049887</v>
      </c>
      <c r="I247" s="34">
        <v>1.02103029133706</v>
      </c>
      <c r="J247" s="34">
        <v>1.1297619047619</v>
      </c>
    </row>
    <row r="248">
      <c r="A248" s="33">
        <v>165.0</v>
      </c>
      <c r="B248" s="33" t="s">
        <v>839</v>
      </c>
      <c r="C248" s="33" t="s">
        <v>836</v>
      </c>
      <c r="D248" s="34">
        <v>0.738095238095238</v>
      </c>
      <c r="E248" s="34">
        <v>0.861111111111111</v>
      </c>
      <c r="F248" s="34">
        <v>0.935897435897435</v>
      </c>
      <c r="G248" s="34">
        <v>-0.976190476190476</v>
      </c>
      <c r="H248" s="34">
        <v>-0.0170068027210883</v>
      </c>
      <c r="I248" s="34">
        <v>0.977477477477477</v>
      </c>
      <c r="J248" s="34">
        <v>0.857142857142857</v>
      </c>
    </row>
    <row r="249">
      <c r="A249" s="33">
        <v>166.0</v>
      </c>
      <c r="B249" s="33" t="s">
        <v>839</v>
      </c>
      <c r="C249" s="33" t="s">
        <v>835</v>
      </c>
      <c r="D249" s="34">
        <v>0.738095238095238</v>
      </c>
      <c r="E249" s="34">
        <v>0.861111111111111</v>
      </c>
      <c r="F249" s="34">
        <v>0.935897435897435</v>
      </c>
      <c r="G249" s="34">
        <v>-0.976190476190476</v>
      </c>
      <c r="H249" s="34">
        <v>-0.00680272108843527</v>
      </c>
      <c r="I249" s="34">
        <v>0.990867579908675</v>
      </c>
      <c r="J249" s="34">
        <v>0.942857142857142</v>
      </c>
    </row>
    <row r="250">
      <c r="A250" s="33">
        <v>167.0</v>
      </c>
      <c r="B250" s="33" t="s">
        <v>1002</v>
      </c>
      <c r="C250" s="33" t="s">
        <v>836</v>
      </c>
      <c r="D250" s="34">
        <v>0.738095238095238</v>
      </c>
      <c r="E250" s="34">
        <v>0.861111111111111</v>
      </c>
      <c r="F250" s="34">
        <v>0.935897435897435</v>
      </c>
      <c r="G250" s="34">
        <v>-0.976190476190476</v>
      </c>
      <c r="H250" s="34">
        <v>-0.0170068027210883</v>
      </c>
      <c r="I250" s="34">
        <v>0.977477477477477</v>
      </c>
      <c r="J250" s="34">
        <v>0.857142857142857</v>
      </c>
    </row>
    <row r="251">
      <c r="A251" s="33">
        <v>168.0</v>
      </c>
      <c r="B251" s="33" t="s">
        <v>1003</v>
      </c>
      <c r="C251" s="33" t="s">
        <v>836</v>
      </c>
      <c r="D251" s="34">
        <v>0.738095238095238</v>
      </c>
      <c r="E251" s="34">
        <v>0.861111111111111</v>
      </c>
      <c r="F251" s="34">
        <v>0.935897435897435</v>
      </c>
      <c r="G251" s="34">
        <v>-0.976190476190476</v>
      </c>
      <c r="H251" s="34">
        <v>-0.0170068027210883</v>
      </c>
      <c r="I251" s="34">
        <v>0.977477477477477</v>
      </c>
      <c r="J251" s="34">
        <v>0.857142857142857</v>
      </c>
    </row>
    <row r="252">
      <c r="A252" s="33">
        <v>169.0</v>
      </c>
      <c r="B252" s="33" t="s">
        <v>1004</v>
      </c>
      <c r="C252" s="33" t="s">
        <v>836</v>
      </c>
      <c r="D252" s="34">
        <v>0.738095238095238</v>
      </c>
      <c r="E252" s="34">
        <v>0.861111111111111</v>
      </c>
      <c r="F252" s="34">
        <v>0.935897435897435</v>
      </c>
      <c r="G252" s="34">
        <v>-0.976190476190476</v>
      </c>
      <c r="H252" s="34">
        <v>-0.0170068027210883</v>
      </c>
      <c r="I252" s="34">
        <v>0.977477477477477</v>
      </c>
      <c r="J252" s="34">
        <v>0.857142857142857</v>
      </c>
    </row>
    <row r="253">
      <c r="A253" s="33">
        <v>170.0</v>
      </c>
      <c r="B253" s="33" t="s">
        <v>839</v>
      </c>
      <c r="C253" s="33" t="s">
        <v>989</v>
      </c>
      <c r="D253" s="34">
        <v>0.738095238095238</v>
      </c>
      <c r="E253" s="34">
        <v>0.861111111111111</v>
      </c>
      <c r="F253" s="34">
        <v>0.935897435897435</v>
      </c>
      <c r="G253" s="34">
        <v>-0.976190476190476</v>
      </c>
      <c r="H253" s="34">
        <v>0.0136054421768708</v>
      </c>
      <c r="I253" s="34">
        <v>1.018779342723</v>
      </c>
      <c r="J253" s="34">
        <v>1.11428571428571</v>
      </c>
    </row>
    <row r="254">
      <c r="A254" s="36">
        <v>161.0</v>
      </c>
      <c r="B254" s="36" t="s">
        <v>841</v>
      </c>
      <c r="C254" s="36" t="s">
        <v>839</v>
      </c>
      <c r="D254" s="37">
        <v>0.726190476190476</v>
      </c>
      <c r="E254" s="37">
        <v>0.859154929577464</v>
      </c>
      <c r="F254" s="37">
        <v>0.935483870967741</v>
      </c>
      <c r="G254" s="37">
        <v>-0.964285714285714</v>
      </c>
      <c r="H254" s="37">
        <v>0.0017006802721089</v>
      </c>
      <c r="I254" s="37">
        <v>1.00234741784037</v>
      </c>
      <c r="J254" s="37">
        <v>1.01428571428571</v>
      </c>
    </row>
    <row r="255">
      <c r="A255" s="33">
        <v>162.0</v>
      </c>
      <c r="B255" s="33" t="s">
        <v>840</v>
      </c>
      <c r="C255" s="33" t="s">
        <v>1004</v>
      </c>
      <c r="D255" s="34">
        <v>0.726190476190476</v>
      </c>
      <c r="E255" s="34">
        <v>0.859154929577464</v>
      </c>
      <c r="F255" s="34">
        <v>0.935483870967741</v>
      </c>
      <c r="G255" s="34">
        <v>-0.964285714285714</v>
      </c>
      <c r="H255" s="34">
        <v>0.0017006802721089</v>
      </c>
      <c r="I255" s="34">
        <v>1.00234741784037</v>
      </c>
      <c r="J255" s="34">
        <v>1.01428571428571</v>
      </c>
    </row>
    <row r="256">
      <c r="A256" s="33">
        <v>163.0</v>
      </c>
      <c r="B256" s="33" t="s">
        <v>988</v>
      </c>
      <c r="C256" s="33" t="s">
        <v>836</v>
      </c>
      <c r="D256" s="34">
        <v>0.726190476190476</v>
      </c>
      <c r="E256" s="34">
        <v>0.859154929577464</v>
      </c>
      <c r="F256" s="34">
        <v>0.935483870967741</v>
      </c>
      <c r="G256" s="34">
        <v>-0.964285714285714</v>
      </c>
      <c r="H256" s="34">
        <v>-0.0184240362811791</v>
      </c>
      <c r="I256" s="34">
        <v>0.975256947087933</v>
      </c>
      <c r="J256" s="34">
        <v>0.845238095238095</v>
      </c>
    </row>
    <row r="257">
      <c r="A257" s="33">
        <v>164.0</v>
      </c>
      <c r="B257" s="33" t="s">
        <v>989</v>
      </c>
      <c r="C257" s="33" t="s">
        <v>836</v>
      </c>
      <c r="D257" s="34">
        <v>0.726190476190476</v>
      </c>
      <c r="E257" s="34">
        <v>0.859154929577464</v>
      </c>
      <c r="F257" s="34">
        <v>0.935483870967741</v>
      </c>
      <c r="G257" s="34">
        <v>-0.964285714285714</v>
      </c>
      <c r="H257" s="34">
        <v>-0.0184240362811791</v>
      </c>
      <c r="I257" s="34">
        <v>0.975256947087933</v>
      </c>
      <c r="J257" s="34">
        <v>0.845238095238095</v>
      </c>
    </row>
    <row r="258">
      <c r="A258" s="33">
        <v>160.0</v>
      </c>
      <c r="B258" s="33" t="s">
        <v>825</v>
      </c>
      <c r="C258" s="33" t="s">
        <v>830</v>
      </c>
      <c r="D258" s="34">
        <v>0.797619047619047</v>
      </c>
      <c r="E258" s="34">
        <v>0.858974358974358</v>
      </c>
      <c r="F258" s="34">
        <v>0.932098765432098</v>
      </c>
      <c r="G258" s="34">
        <v>-1.0595238095238</v>
      </c>
      <c r="H258" s="34">
        <v>0.0348639455782313</v>
      </c>
      <c r="I258" s="34">
        <v>1.04570791527313</v>
      </c>
      <c r="J258" s="34">
        <v>1.26623376623376</v>
      </c>
    </row>
    <row r="259">
      <c r="A259" s="33">
        <v>152.0</v>
      </c>
      <c r="B259" s="33" t="s">
        <v>848</v>
      </c>
      <c r="C259" s="33" t="s">
        <v>840</v>
      </c>
      <c r="D259" s="34">
        <v>0.785714285714285</v>
      </c>
      <c r="E259" s="34">
        <v>0.857142857142857</v>
      </c>
      <c r="F259" s="34">
        <v>0.93167701863354</v>
      </c>
      <c r="G259" s="34">
        <v>-1.04761904761904</v>
      </c>
      <c r="H259" s="34">
        <v>0.0109126984126984</v>
      </c>
      <c r="I259" s="34">
        <v>1.01408450704225</v>
      </c>
      <c r="J259" s="34">
        <v>1.08333333333333</v>
      </c>
    </row>
    <row r="260">
      <c r="A260" s="33">
        <v>153.0</v>
      </c>
      <c r="B260" s="33" t="s">
        <v>837</v>
      </c>
      <c r="C260" s="33" t="s">
        <v>1002</v>
      </c>
      <c r="D260" s="34">
        <v>0.785714285714285</v>
      </c>
      <c r="E260" s="34">
        <v>0.857142857142857</v>
      </c>
      <c r="F260" s="34">
        <v>0.93167701863354</v>
      </c>
      <c r="G260" s="34">
        <v>-1.04761904761904</v>
      </c>
      <c r="H260" s="34">
        <v>1.11022302462515E-16</v>
      </c>
      <c r="I260" s="34">
        <v>1.0</v>
      </c>
      <c r="J260" s="34">
        <v>1.0</v>
      </c>
    </row>
    <row r="261">
      <c r="A261" s="33">
        <v>154.0</v>
      </c>
      <c r="B261" s="33" t="s">
        <v>848</v>
      </c>
      <c r="C261" s="33" t="s">
        <v>1002</v>
      </c>
      <c r="D261" s="34">
        <v>0.785714285714285</v>
      </c>
      <c r="E261" s="34">
        <v>0.857142857142857</v>
      </c>
      <c r="F261" s="34">
        <v>0.93167701863354</v>
      </c>
      <c r="G261" s="34">
        <v>-1.04761904761904</v>
      </c>
      <c r="H261" s="34">
        <v>1.11022302462515E-16</v>
      </c>
      <c r="I261" s="34">
        <v>1.0</v>
      </c>
      <c r="J261" s="34">
        <v>1.0</v>
      </c>
    </row>
    <row r="262">
      <c r="A262" s="33">
        <v>155.0</v>
      </c>
      <c r="B262" s="33" t="s">
        <v>837</v>
      </c>
      <c r="C262" s="33" t="s">
        <v>1004</v>
      </c>
      <c r="D262" s="34">
        <v>0.785714285714285</v>
      </c>
      <c r="E262" s="34">
        <v>0.857142857142857</v>
      </c>
      <c r="F262" s="34">
        <v>0.93167701863354</v>
      </c>
      <c r="G262" s="34">
        <v>-1.04761904761904</v>
      </c>
      <c r="H262" s="34">
        <v>1.11022302462515E-16</v>
      </c>
      <c r="I262" s="34">
        <v>1.0</v>
      </c>
      <c r="J262" s="34">
        <v>1.0</v>
      </c>
    </row>
    <row r="263">
      <c r="A263" s="33">
        <v>156.0</v>
      </c>
      <c r="B263" s="33" t="s">
        <v>848</v>
      </c>
      <c r="C263" s="33" t="s">
        <v>1003</v>
      </c>
      <c r="D263" s="34">
        <v>0.785714285714285</v>
      </c>
      <c r="E263" s="34">
        <v>0.857142857142857</v>
      </c>
      <c r="F263" s="34">
        <v>0.93167701863354</v>
      </c>
      <c r="G263" s="34">
        <v>-1.04761904761904</v>
      </c>
      <c r="H263" s="34">
        <v>1.11022302462515E-16</v>
      </c>
      <c r="I263" s="34">
        <v>1.0</v>
      </c>
      <c r="J263" s="34">
        <v>1.0</v>
      </c>
    </row>
    <row r="264">
      <c r="A264" s="33">
        <v>157.0</v>
      </c>
      <c r="B264" s="33" t="s">
        <v>971</v>
      </c>
      <c r="C264" s="33" t="s">
        <v>836</v>
      </c>
      <c r="D264" s="34">
        <v>0.714285714285714</v>
      </c>
      <c r="E264" s="34">
        <v>0.857142857142857</v>
      </c>
      <c r="F264" s="34">
        <v>0.935064935064935</v>
      </c>
      <c r="G264" s="34">
        <v>-0.952380952380952</v>
      </c>
      <c r="H264" s="34">
        <v>-0.0198412698412698</v>
      </c>
      <c r="I264" s="34">
        <v>0.972972972972973</v>
      </c>
      <c r="J264" s="34">
        <v>0.833333333333333</v>
      </c>
    </row>
    <row r="265">
      <c r="A265" s="33">
        <v>158.0</v>
      </c>
      <c r="B265" s="33" t="s">
        <v>971</v>
      </c>
      <c r="C265" s="33" t="s">
        <v>840</v>
      </c>
      <c r="D265" s="34">
        <v>0.714285714285714</v>
      </c>
      <c r="E265" s="34">
        <v>0.857142857142857</v>
      </c>
      <c r="F265" s="34">
        <v>0.935064935064935</v>
      </c>
      <c r="G265" s="34">
        <v>-0.952380952380952</v>
      </c>
      <c r="H265" s="34">
        <v>0.00992063492063488</v>
      </c>
      <c r="I265" s="34">
        <v>1.01408450704225</v>
      </c>
      <c r="J265" s="34">
        <v>1.08333333333333</v>
      </c>
    </row>
    <row r="266">
      <c r="A266" s="33">
        <v>159.0</v>
      </c>
      <c r="B266" s="33" t="s">
        <v>971</v>
      </c>
      <c r="C266" s="33" t="s">
        <v>1002</v>
      </c>
      <c r="D266" s="34">
        <v>0.714285714285714</v>
      </c>
      <c r="E266" s="34">
        <v>0.857142857142857</v>
      </c>
      <c r="F266" s="34">
        <v>0.935064935064935</v>
      </c>
      <c r="G266" s="34">
        <v>-0.952380952380952</v>
      </c>
      <c r="H266" s="34">
        <v>0.0</v>
      </c>
      <c r="I266" s="34">
        <v>1.0</v>
      </c>
      <c r="J266" s="34">
        <v>1.0</v>
      </c>
    </row>
    <row r="267">
      <c r="A267" s="33">
        <v>140.0</v>
      </c>
      <c r="B267" s="33" t="s">
        <v>830</v>
      </c>
      <c r="C267" s="33" t="s">
        <v>836</v>
      </c>
      <c r="D267" s="34">
        <v>0.702380952380952</v>
      </c>
      <c r="E267" s="34">
        <v>0.855072463768116</v>
      </c>
      <c r="F267" s="34">
        <v>0.934640522875817</v>
      </c>
      <c r="G267" s="34">
        <v>-0.94047619047619</v>
      </c>
      <c r="H267" s="34">
        <v>-0.0212585034013605</v>
      </c>
      <c r="I267" s="34">
        <v>0.970622796709753</v>
      </c>
      <c r="J267" s="34">
        <v>0.821428571428571</v>
      </c>
    </row>
    <row r="268">
      <c r="A268" s="33">
        <v>141.0</v>
      </c>
      <c r="B268" s="33" t="s">
        <v>830</v>
      </c>
      <c r="C268" s="33" t="s">
        <v>839</v>
      </c>
      <c r="D268" s="34">
        <v>0.702380952380952</v>
      </c>
      <c r="E268" s="34">
        <v>0.855072463768116</v>
      </c>
      <c r="F268" s="34">
        <v>0.934640522875817</v>
      </c>
      <c r="G268" s="34">
        <v>-0.94047619047619</v>
      </c>
      <c r="H268" s="34">
        <v>-0.00170068027210879</v>
      </c>
      <c r="I268" s="34">
        <v>0.997584541062801</v>
      </c>
      <c r="J268" s="34">
        <v>0.985714285714285</v>
      </c>
    </row>
    <row r="269">
      <c r="A269" s="36">
        <v>142.0</v>
      </c>
      <c r="B269" s="36" t="s">
        <v>64</v>
      </c>
      <c r="C269" s="36" t="s">
        <v>841</v>
      </c>
      <c r="D269" s="37">
        <v>0.702380952380952</v>
      </c>
      <c r="E269" s="37">
        <v>0.855072463768116</v>
      </c>
      <c r="F269" s="37">
        <v>0.934640522875817</v>
      </c>
      <c r="G269" s="37">
        <v>-0.94047619047619</v>
      </c>
      <c r="H269" s="37">
        <v>0.00807823129251694</v>
      </c>
      <c r="I269" s="37">
        <v>1.01163502755664</v>
      </c>
      <c r="J269" s="37">
        <v>1.06785714285714</v>
      </c>
    </row>
    <row r="270">
      <c r="A270" s="33">
        <v>143.0</v>
      </c>
      <c r="B270" s="33" t="s">
        <v>830</v>
      </c>
      <c r="C270" s="33" t="s">
        <v>840</v>
      </c>
      <c r="D270" s="34">
        <v>0.702380952380952</v>
      </c>
      <c r="E270" s="34">
        <v>0.855072463768116</v>
      </c>
      <c r="F270" s="34">
        <v>0.934640522875817</v>
      </c>
      <c r="G270" s="34">
        <v>-0.94047619047619</v>
      </c>
      <c r="H270" s="34">
        <v>0.00807823129251694</v>
      </c>
      <c r="I270" s="34">
        <v>1.01163502755664</v>
      </c>
      <c r="J270" s="34">
        <v>1.06785714285714</v>
      </c>
    </row>
    <row r="271">
      <c r="A271" s="33">
        <v>144.0</v>
      </c>
      <c r="B271" s="33" t="s">
        <v>972</v>
      </c>
      <c r="C271" s="33" t="s">
        <v>836</v>
      </c>
      <c r="D271" s="34">
        <v>0.702380952380952</v>
      </c>
      <c r="E271" s="34">
        <v>0.855072463768116</v>
      </c>
      <c r="F271" s="34">
        <v>0.934640522875817</v>
      </c>
      <c r="G271" s="34">
        <v>-0.94047619047619</v>
      </c>
      <c r="H271" s="34">
        <v>-0.0212585034013605</v>
      </c>
      <c r="I271" s="34">
        <v>0.970622796709753</v>
      </c>
      <c r="J271" s="34">
        <v>0.821428571428571</v>
      </c>
    </row>
    <row r="272">
      <c r="A272" s="33">
        <v>145.0</v>
      </c>
      <c r="B272" s="33" t="s">
        <v>972</v>
      </c>
      <c r="C272" s="33" t="s">
        <v>835</v>
      </c>
      <c r="D272" s="34">
        <v>0.702380952380952</v>
      </c>
      <c r="E272" s="34">
        <v>0.855072463768116</v>
      </c>
      <c r="F272" s="34">
        <v>0.934640522875817</v>
      </c>
      <c r="G272" s="34">
        <v>-0.94047619047619</v>
      </c>
      <c r="H272" s="34">
        <v>-0.0114795918367347</v>
      </c>
      <c r="I272" s="34">
        <v>0.983918999404407</v>
      </c>
      <c r="J272" s="34">
        <v>0.903571428571428</v>
      </c>
    </row>
    <row r="273">
      <c r="A273" s="33">
        <v>146.0</v>
      </c>
      <c r="B273" s="33" t="s">
        <v>64</v>
      </c>
      <c r="C273" s="33" t="s">
        <v>989</v>
      </c>
      <c r="D273" s="34">
        <v>0.702380952380952</v>
      </c>
      <c r="E273" s="34">
        <v>0.855072463768116</v>
      </c>
      <c r="F273" s="34">
        <v>0.934640522875817</v>
      </c>
      <c r="G273" s="34">
        <v>-0.94047619047619</v>
      </c>
      <c r="H273" s="34">
        <v>0.00807823129251694</v>
      </c>
      <c r="I273" s="34">
        <v>1.01163502755664</v>
      </c>
      <c r="J273" s="34">
        <v>1.06785714285714</v>
      </c>
    </row>
    <row r="274">
      <c r="A274" s="33">
        <v>147.0</v>
      </c>
      <c r="B274" s="33" t="s">
        <v>990</v>
      </c>
      <c r="C274" s="33" t="s">
        <v>836</v>
      </c>
      <c r="D274" s="34">
        <v>0.702380952380952</v>
      </c>
      <c r="E274" s="34">
        <v>0.855072463768116</v>
      </c>
      <c r="F274" s="34">
        <v>0.934640522875817</v>
      </c>
      <c r="G274" s="34">
        <v>-0.94047619047619</v>
      </c>
      <c r="H274" s="34">
        <v>-0.0212585034013605</v>
      </c>
      <c r="I274" s="34">
        <v>0.970622796709753</v>
      </c>
      <c r="J274" s="34">
        <v>0.821428571428571</v>
      </c>
    </row>
    <row r="275">
      <c r="A275" s="33">
        <v>148.0</v>
      </c>
      <c r="B275" s="33" t="s">
        <v>990</v>
      </c>
      <c r="C275" s="33" t="s">
        <v>1003</v>
      </c>
      <c r="D275" s="34">
        <v>0.702380952380952</v>
      </c>
      <c r="E275" s="34">
        <v>0.855072463768116</v>
      </c>
      <c r="F275" s="34">
        <v>0.934640522875817</v>
      </c>
      <c r="G275" s="34">
        <v>-0.94047619047619</v>
      </c>
      <c r="H275" s="34">
        <v>-0.00170068027210879</v>
      </c>
      <c r="I275" s="34">
        <v>0.997584541062801</v>
      </c>
      <c r="J275" s="34">
        <v>0.985714285714285</v>
      </c>
    </row>
    <row r="276">
      <c r="A276" s="33">
        <v>149.0</v>
      </c>
      <c r="B276" s="33" t="s">
        <v>990</v>
      </c>
      <c r="C276" s="33" t="s">
        <v>1004</v>
      </c>
      <c r="D276" s="34">
        <v>0.702380952380952</v>
      </c>
      <c r="E276" s="34">
        <v>0.855072463768116</v>
      </c>
      <c r="F276" s="34">
        <v>0.934640522875817</v>
      </c>
      <c r="G276" s="34">
        <v>-0.94047619047619</v>
      </c>
      <c r="H276" s="34">
        <v>-0.00170068027210879</v>
      </c>
      <c r="I276" s="34">
        <v>0.997584541062801</v>
      </c>
      <c r="J276" s="34">
        <v>0.985714285714285</v>
      </c>
    </row>
    <row r="277">
      <c r="A277" s="33">
        <v>150.0</v>
      </c>
      <c r="B277" s="33" t="s">
        <v>972</v>
      </c>
      <c r="C277" s="33" t="s">
        <v>989</v>
      </c>
      <c r="D277" s="34">
        <v>0.702380952380952</v>
      </c>
      <c r="E277" s="34">
        <v>0.855072463768116</v>
      </c>
      <c r="F277" s="34">
        <v>0.934640522875817</v>
      </c>
      <c r="G277" s="34">
        <v>-0.94047619047619</v>
      </c>
      <c r="H277" s="34">
        <v>0.00807823129251694</v>
      </c>
      <c r="I277" s="34">
        <v>1.01163502755664</v>
      </c>
      <c r="J277" s="34">
        <v>1.06785714285714</v>
      </c>
    </row>
    <row r="278">
      <c r="A278" s="33">
        <v>151.0</v>
      </c>
      <c r="B278" s="33" t="s">
        <v>972</v>
      </c>
      <c r="C278" s="33" t="s">
        <v>971</v>
      </c>
      <c r="D278" s="34">
        <v>0.702380952380952</v>
      </c>
      <c r="E278" s="34">
        <v>0.855072463768116</v>
      </c>
      <c r="F278" s="34">
        <v>0.934640522875817</v>
      </c>
      <c r="G278" s="34">
        <v>-0.94047619047619</v>
      </c>
      <c r="H278" s="34">
        <v>0.0178571428571427</v>
      </c>
      <c r="I278" s="34">
        <v>1.02608695652173</v>
      </c>
      <c r="J278" s="34">
        <v>1.15</v>
      </c>
    </row>
    <row r="279">
      <c r="A279" s="33">
        <v>139.0</v>
      </c>
      <c r="B279" s="33" t="s">
        <v>836</v>
      </c>
      <c r="C279" s="33" t="s">
        <v>835</v>
      </c>
      <c r="D279" s="34">
        <v>0.75</v>
      </c>
      <c r="E279" s="34">
        <v>0.851351351351351</v>
      </c>
      <c r="F279" s="34">
        <v>0.930379746835443</v>
      </c>
      <c r="G279" s="34">
        <v>-1.01190476190476</v>
      </c>
      <c r="H279" s="34">
        <v>-0.0155895691609977</v>
      </c>
      <c r="I279" s="34">
        <v>0.979637171417993</v>
      </c>
      <c r="J279" s="34">
        <v>0.88095238095238</v>
      </c>
    </row>
    <row r="280">
      <c r="A280" s="33">
        <v>137.0</v>
      </c>
      <c r="B280" s="33" t="s">
        <v>835</v>
      </c>
      <c r="C280" s="33" t="s">
        <v>839</v>
      </c>
      <c r="D280" s="34">
        <v>0.738095238095238</v>
      </c>
      <c r="E280" s="34">
        <v>0.84931506849315</v>
      </c>
      <c r="F280" s="34">
        <v>0.929936305732484</v>
      </c>
      <c r="G280" s="34">
        <v>-1.0</v>
      </c>
      <c r="H280" s="34">
        <v>-0.00680272108843527</v>
      </c>
      <c r="I280" s="34">
        <v>0.990867579908675</v>
      </c>
      <c r="J280" s="34">
        <v>0.948051948051948</v>
      </c>
    </row>
    <row r="281">
      <c r="A281" s="33">
        <v>138.0</v>
      </c>
      <c r="B281" s="33" t="s">
        <v>835</v>
      </c>
      <c r="C281" s="33" t="s">
        <v>830</v>
      </c>
      <c r="D281" s="34">
        <v>0.738095238095238</v>
      </c>
      <c r="E281" s="34">
        <v>0.84931506849315</v>
      </c>
      <c r="F281" s="34">
        <v>0.929936305732484</v>
      </c>
      <c r="G281" s="34">
        <v>-1.0</v>
      </c>
      <c r="H281" s="34">
        <v>0.024234693877551</v>
      </c>
      <c r="I281" s="34">
        <v>1.03394877903514</v>
      </c>
      <c r="J281" s="34">
        <v>1.18506493506493</v>
      </c>
    </row>
    <row r="282">
      <c r="A282" s="36">
        <v>132.0</v>
      </c>
      <c r="B282" s="36" t="s">
        <v>839</v>
      </c>
      <c r="C282" s="36" t="s">
        <v>841</v>
      </c>
      <c r="D282" s="37">
        <v>0.726190476190476</v>
      </c>
      <c r="E282" s="37">
        <v>0.847222222222222</v>
      </c>
      <c r="F282" s="37">
        <v>0.929487179487179</v>
      </c>
      <c r="G282" s="37">
        <v>-0.988095238095238</v>
      </c>
      <c r="H282" s="37">
        <v>0.0017006802721089</v>
      </c>
      <c r="I282" s="37">
        <v>1.00234741784037</v>
      </c>
      <c r="J282" s="37">
        <v>1.01298701298701</v>
      </c>
    </row>
    <row r="283">
      <c r="A283" s="33">
        <v>133.0</v>
      </c>
      <c r="B283" s="33" t="s">
        <v>1002</v>
      </c>
      <c r="C283" s="33" t="s">
        <v>830</v>
      </c>
      <c r="D283" s="34">
        <v>0.726190476190476</v>
      </c>
      <c r="E283" s="34">
        <v>0.847222222222222</v>
      </c>
      <c r="F283" s="34">
        <v>0.929487179487179</v>
      </c>
      <c r="G283" s="34">
        <v>-0.988095238095238</v>
      </c>
      <c r="H283" s="34">
        <v>0.022108843537415</v>
      </c>
      <c r="I283" s="34">
        <v>1.03140096618357</v>
      </c>
      <c r="J283" s="34">
        <v>1.16883116883116</v>
      </c>
    </row>
    <row r="284">
      <c r="A284" s="33">
        <v>134.0</v>
      </c>
      <c r="B284" s="33" t="s">
        <v>1004</v>
      </c>
      <c r="C284" s="33" t="s">
        <v>840</v>
      </c>
      <c r="D284" s="34">
        <v>0.726190476190476</v>
      </c>
      <c r="E284" s="34">
        <v>0.847222222222222</v>
      </c>
      <c r="F284" s="34">
        <v>0.929487179487179</v>
      </c>
      <c r="G284" s="34">
        <v>-0.988095238095238</v>
      </c>
      <c r="H284" s="34">
        <v>0.0017006802721089</v>
      </c>
      <c r="I284" s="34">
        <v>1.00234741784037</v>
      </c>
      <c r="J284" s="34">
        <v>1.01298701298701</v>
      </c>
    </row>
    <row r="285">
      <c r="A285" s="33">
        <v>135.0</v>
      </c>
      <c r="B285" s="33" t="s">
        <v>1004</v>
      </c>
      <c r="C285" s="33" t="s">
        <v>64</v>
      </c>
      <c r="D285" s="34">
        <v>0.726190476190476</v>
      </c>
      <c r="E285" s="34">
        <v>0.847222222222222</v>
      </c>
      <c r="F285" s="34">
        <v>0.929487179487179</v>
      </c>
      <c r="G285" s="34">
        <v>-0.988095238095238</v>
      </c>
      <c r="H285" s="34">
        <v>0.022108843537415</v>
      </c>
      <c r="I285" s="34">
        <v>1.03140096618357</v>
      </c>
      <c r="J285" s="34">
        <v>1.16883116883116</v>
      </c>
    </row>
    <row r="286">
      <c r="A286" s="33">
        <v>136.0</v>
      </c>
      <c r="B286" s="33" t="s">
        <v>839</v>
      </c>
      <c r="C286" s="33" t="s">
        <v>971</v>
      </c>
      <c r="D286" s="34">
        <v>0.726190476190476</v>
      </c>
      <c r="E286" s="34">
        <v>0.847222222222222</v>
      </c>
      <c r="F286" s="34">
        <v>0.929487179487179</v>
      </c>
      <c r="G286" s="34">
        <v>-0.988095238095238</v>
      </c>
      <c r="H286" s="34">
        <v>0.0119047619047618</v>
      </c>
      <c r="I286" s="34">
        <v>1.01666666666666</v>
      </c>
      <c r="J286" s="34">
        <v>1.09090909090909</v>
      </c>
    </row>
    <row r="287">
      <c r="A287" s="33">
        <v>125.0</v>
      </c>
      <c r="B287" s="33" t="s">
        <v>825</v>
      </c>
      <c r="C287" s="33" t="s">
        <v>839</v>
      </c>
      <c r="D287" s="34">
        <v>0.785714285714285</v>
      </c>
      <c r="E287" s="34">
        <v>0.846153846153846</v>
      </c>
      <c r="F287" s="34">
        <v>0.925925925925925</v>
      </c>
      <c r="G287" s="34">
        <v>-1.07142857142857</v>
      </c>
      <c r="H287" s="34">
        <v>-0.010204081632653</v>
      </c>
      <c r="I287" s="34">
        <v>0.987179487179487</v>
      </c>
      <c r="J287" s="34">
        <v>0.928571428571428</v>
      </c>
    </row>
    <row r="288">
      <c r="A288" s="33">
        <v>126.0</v>
      </c>
      <c r="B288" s="33" t="s">
        <v>825</v>
      </c>
      <c r="C288" s="33" t="s">
        <v>841</v>
      </c>
      <c r="D288" s="34">
        <v>0.785714285714285</v>
      </c>
      <c r="E288" s="34">
        <v>0.846153846153846</v>
      </c>
      <c r="F288" s="34">
        <v>0.925925925925925</v>
      </c>
      <c r="G288" s="34">
        <v>-1.07142857142857</v>
      </c>
      <c r="H288" s="34">
        <v>8.50340136054339E-4</v>
      </c>
      <c r="I288" s="34">
        <v>1.00108342361863</v>
      </c>
      <c r="J288" s="34">
        <v>1.00595238095238</v>
      </c>
    </row>
    <row r="289">
      <c r="A289" s="33">
        <v>127.0</v>
      </c>
      <c r="B289" s="33" t="s">
        <v>826</v>
      </c>
      <c r="C289" s="33" t="s">
        <v>988</v>
      </c>
      <c r="D289" s="34">
        <v>0.785714285714285</v>
      </c>
      <c r="E289" s="34">
        <v>0.846153846153846</v>
      </c>
      <c r="F289" s="34">
        <v>0.925925925925925</v>
      </c>
      <c r="G289" s="34">
        <v>-1.07142857142857</v>
      </c>
      <c r="H289" s="34">
        <v>8.50340136054339E-4</v>
      </c>
      <c r="I289" s="34">
        <v>1.00108342361863</v>
      </c>
      <c r="J289" s="34">
        <v>1.00595238095238</v>
      </c>
    </row>
    <row r="290">
      <c r="A290" s="33">
        <v>128.0</v>
      </c>
      <c r="B290" s="33" t="s">
        <v>825</v>
      </c>
      <c r="C290" s="33" t="s">
        <v>1003</v>
      </c>
      <c r="D290" s="34">
        <v>0.785714285714285</v>
      </c>
      <c r="E290" s="34">
        <v>0.846153846153846</v>
      </c>
      <c r="F290" s="34">
        <v>0.925925925925925</v>
      </c>
      <c r="G290" s="34">
        <v>-1.07142857142857</v>
      </c>
      <c r="H290" s="34">
        <v>-0.010204081632653</v>
      </c>
      <c r="I290" s="34">
        <v>0.987179487179487</v>
      </c>
      <c r="J290" s="34">
        <v>0.928571428571428</v>
      </c>
    </row>
    <row r="291">
      <c r="A291" s="33">
        <v>129.0</v>
      </c>
      <c r="B291" s="33" t="s">
        <v>826</v>
      </c>
      <c r="C291" s="33" t="s">
        <v>989</v>
      </c>
      <c r="D291" s="34">
        <v>0.785714285714285</v>
      </c>
      <c r="E291" s="34">
        <v>0.846153846153846</v>
      </c>
      <c r="F291" s="34">
        <v>0.925925925925925</v>
      </c>
      <c r="G291" s="34">
        <v>-1.07142857142857</v>
      </c>
      <c r="H291" s="34">
        <v>8.50340136054339E-4</v>
      </c>
      <c r="I291" s="34">
        <v>1.00108342361863</v>
      </c>
      <c r="J291" s="34">
        <v>1.00595238095238</v>
      </c>
    </row>
    <row r="292">
      <c r="A292" s="33">
        <v>130.0</v>
      </c>
      <c r="B292" s="33" t="s">
        <v>825</v>
      </c>
      <c r="C292" s="33" t="s">
        <v>1004</v>
      </c>
      <c r="D292" s="34">
        <v>0.785714285714285</v>
      </c>
      <c r="E292" s="34">
        <v>0.846153846153846</v>
      </c>
      <c r="F292" s="34">
        <v>0.925925925925925</v>
      </c>
      <c r="G292" s="34">
        <v>-1.07142857142857</v>
      </c>
      <c r="H292" s="34">
        <v>-0.010204081632653</v>
      </c>
      <c r="I292" s="34">
        <v>0.987179487179487</v>
      </c>
      <c r="J292" s="34">
        <v>0.928571428571428</v>
      </c>
    </row>
    <row r="293">
      <c r="A293" s="33">
        <v>131.0</v>
      </c>
      <c r="B293" s="33" t="s">
        <v>826</v>
      </c>
      <c r="C293" s="33" t="s">
        <v>971</v>
      </c>
      <c r="D293" s="34">
        <v>0.785714285714285</v>
      </c>
      <c r="E293" s="34">
        <v>0.846153846153846</v>
      </c>
      <c r="F293" s="34">
        <v>0.925925925925925</v>
      </c>
      <c r="G293" s="34">
        <v>-1.07142857142857</v>
      </c>
      <c r="H293" s="34">
        <v>0.0119047619047618</v>
      </c>
      <c r="I293" s="34">
        <v>1.01538461538461</v>
      </c>
      <c r="J293" s="34">
        <v>1.08333333333333</v>
      </c>
    </row>
    <row r="294">
      <c r="A294" s="36">
        <v>110.0</v>
      </c>
      <c r="B294" s="36" t="s">
        <v>841</v>
      </c>
      <c r="C294" s="36" t="s">
        <v>835</v>
      </c>
      <c r="D294" s="37">
        <v>0.714285714285714</v>
      </c>
      <c r="E294" s="37">
        <v>0.845070422535211</v>
      </c>
      <c r="F294" s="37">
        <v>0.929032258064516</v>
      </c>
      <c r="G294" s="37">
        <v>-0.976190476190476</v>
      </c>
      <c r="H294" s="37">
        <v>-0.0202664399092969</v>
      </c>
      <c r="I294" s="37">
        <v>0.972409801273393</v>
      </c>
      <c r="J294" s="37">
        <v>0.845238095238095</v>
      </c>
    </row>
    <row r="295">
      <c r="A295" s="36">
        <v>111.0</v>
      </c>
      <c r="B295" s="36" t="s">
        <v>840</v>
      </c>
      <c r="C295" s="36" t="s">
        <v>64</v>
      </c>
      <c r="D295" s="37">
        <v>0.714285714285714</v>
      </c>
      <c r="E295" s="37">
        <v>0.845070422535211</v>
      </c>
      <c r="F295" s="37">
        <v>0.929032258064516</v>
      </c>
      <c r="G295" s="37">
        <v>-0.976190476190476</v>
      </c>
      <c r="H295" s="37">
        <v>0.0199829931972789</v>
      </c>
      <c r="I295" s="37">
        <v>1.0287813839559</v>
      </c>
      <c r="J295" s="37">
        <v>1.1525974025974</v>
      </c>
    </row>
    <row r="296">
      <c r="A296" s="33">
        <v>112.0</v>
      </c>
      <c r="B296" s="33" t="s">
        <v>841</v>
      </c>
      <c r="C296" s="33" t="s">
        <v>1002</v>
      </c>
      <c r="D296" s="34">
        <v>0.714285714285714</v>
      </c>
      <c r="E296" s="34">
        <v>0.845070422535211</v>
      </c>
      <c r="F296" s="34">
        <v>0.929032258064516</v>
      </c>
      <c r="G296" s="34">
        <v>-0.976190476190476</v>
      </c>
      <c r="H296" s="34">
        <v>-0.0102040816326529</v>
      </c>
      <c r="I296" s="34">
        <v>0.985915492957746</v>
      </c>
      <c r="J296" s="34">
        <v>0.922077922077922</v>
      </c>
    </row>
    <row r="297">
      <c r="A297" s="33">
        <v>113.0</v>
      </c>
      <c r="B297" s="33" t="s">
        <v>840</v>
      </c>
      <c r="C297" s="33" t="s">
        <v>1003</v>
      </c>
      <c r="D297" s="34">
        <v>0.714285714285714</v>
      </c>
      <c r="E297" s="34">
        <v>0.845070422535211</v>
      </c>
      <c r="F297" s="34">
        <v>0.929032258064516</v>
      </c>
      <c r="G297" s="34">
        <v>-0.976190476190476</v>
      </c>
      <c r="H297" s="34">
        <v>-0.0102040816326529</v>
      </c>
      <c r="I297" s="34">
        <v>0.985915492957746</v>
      </c>
      <c r="J297" s="34">
        <v>0.922077922077922</v>
      </c>
    </row>
    <row r="298">
      <c r="A298" s="33">
        <v>114.0</v>
      </c>
      <c r="B298" s="33" t="s">
        <v>841</v>
      </c>
      <c r="C298" s="33" t="s">
        <v>1004</v>
      </c>
      <c r="D298" s="34">
        <v>0.714285714285714</v>
      </c>
      <c r="E298" s="34">
        <v>0.845070422535211</v>
      </c>
      <c r="F298" s="34">
        <v>0.929032258064516</v>
      </c>
      <c r="G298" s="34">
        <v>-0.976190476190476</v>
      </c>
      <c r="H298" s="34">
        <v>-0.0102040816326529</v>
      </c>
      <c r="I298" s="34">
        <v>0.985915492957746</v>
      </c>
      <c r="J298" s="34">
        <v>0.922077922077922</v>
      </c>
    </row>
    <row r="299">
      <c r="A299" s="33">
        <v>115.0</v>
      </c>
      <c r="B299" s="33" t="s">
        <v>988</v>
      </c>
      <c r="C299" s="33" t="s">
        <v>830</v>
      </c>
      <c r="D299" s="34">
        <v>0.714285714285714</v>
      </c>
      <c r="E299" s="34">
        <v>0.845070422535211</v>
      </c>
      <c r="F299" s="34">
        <v>0.929032258064516</v>
      </c>
      <c r="G299" s="34">
        <v>-0.976190476190476</v>
      </c>
      <c r="H299" s="34">
        <v>0.0199829931972789</v>
      </c>
      <c r="I299" s="34">
        <v>1.0287813839559</v>
      </c>
      <c r="J299" s="34">
        <v>1.1525974025974</v>
      </c>
    </row>
    <row r="300">
      <c r="A300" s="33">
        <v>116.0</v>
      </c>
      <c r="B300" s="33" t="s">
        <v>989</v>
      </c>
      <c r="C300" s="33" t="s">
        <v>841</v>
      </c>
      <c r="D300" s="34">
        <v>0.714285714285714</v>
      </c>
      <c r="E300" s="34">
        <v>0.845070422535211</v>
      </c>
      <c r="F300" s="34">
        <v>0.929032258064516</v>
      </c>
      <c r="G300" s="34">
        <v>-0.976190476190476</v>
      </c>
      <c r="H300" s="34">
        <v>-1.41723356009038E-4</v>
      </c>
      <c r="I300" s="34">
        <v>0.999801626661376</v>
      </c>
      <c r="J300" s="34">
        <v>0.998917748917748</v>
      </c>
    </row>
    <row r="301">
      <c r="A301" s="33">
        <v>117.0</v>
      </c>
      <c r="B301" s="33" t="s">
        <v>841</v>
      </c>
      <c r="C301" s="33" t="s">
        <v>989</v>
      </c>
      <c r="D301" s="34">
        <v>0.714285714285714</v>
      </c>
      <c r="E301" s="34">
        <v>0.845070422535211</v>
      </c>
      <c r="F301" s="34">
        <v>0.929032258064516</v>
      </c>
      <c r="G301" s="34">
        <v>-0.976190476190476</v>
      </c>
      <c r="H301" s="34">
        <v>-1.41723356009038E-4</v>
      </c>
      <c r="I301" s="34">
        <v>0.999801626661376</v>
      </c>
      <c r="J301" s="34">
        <v>0.998917748917748</v>
      </c>
    </row>
    <row r="302">
      <c r="A302" s="33">
        <v>118.0</v>
      </c>
      <c r="B302" s="33" t="s">
        <v>989</v>
      </c>
      <c r="C302" s="33" t="s">
        <v>840</v>
      </c>
      <c r="D302" s="34">
        <v>0.714285714285714</v>
      </c>
      <c r="E302" s="34">
        <v>0.845070422535211</v>
      </c>
      <c r="F302" s="34">
        <v>0.929032258064516</v>
      </c>
      <c r="G302" s="34">
        <v>-0.976190476190476</v>
      </c>
      <c r="H302" s="34">
        <v>-1.41723356009038E-4</v>
      </c>
      <c r="I302" s="34">
        <v>0.999801626661376</v>
      </c>
      <c r="J302" s="34">
        <v>0.998917748917748</v>
      </c>
    </row>
    <row r="303">
      <c r="A303" s="33">
        <v>119.0</v>
      </c>
      <c r="B303" s="33" t="s">
        <v>840</v>
      </c>
      <c r="C303" s="33" t="s">
        <v>989</v>
      </c>
      <c r="D303" s="34">
        <v>0.714285714285714</v>
      </c>
      <c r="E303" s="34">
        <v>0.845070422535211</v>
      </c>
      <c r="F303" s="34">
        <v>0.929032258064516</v>
      </c>
      <c r="G303" s="34">
        <v>-0.976190476190476</v>
      </c>
      <c r="H303" s="34">
        <v>-1.41723356009038E-4</v>
      </c>
      <c r="I303" s="34">
        <v>0.999801626661376</v>
      </c>
      <c r="J303" s="34">
        <v>0.998917748917748</v>
      </c>
    </row>
    <row r="304">
      <c r="A304" s="33">
        <v>120.0</v>
      </c>
      <c r="B304" s="33" t="s">
        <v>989</v>
      </c>
      <c r="C304" s="33" t="s">
        <v>830</v>
      </c>
      <c r="D304" s="34">
        <v>0.714285714285714</v>
      </c>
      <c r="E304" s="34">
        <v>0.845070422535211</v>
      </c>
      <c r="F304" s="34">
        <v>0.929032258064516</v>
      </c>
      <c r="G304" s="34">
        <v>-0.976190476190476</v>
      </c>
      <c r="H304" s="34">
        <v>0.0199829931972789</v>
      </c>
      <c r="I304" s="34">
        <v>1.0287813839559</v>
      </c>
      <c r="J304" s="34">
        <v>1.1525974025974</v>
      </c>
    </row>
    <row r="305">
      <c r="A305" s="33">
        <v>121.0</v>
      </c>
      <c r="B305" s="33" t="s">
        <v>840</v>
      </c>
      <c r="C305" s="33" t="s">
        <v>990</v>
      </c>
      <c r="D305" s="34">
        <v>0.714285714285714</v>
      </c>
      <c r="E305" s="34">
        <v>0.845070422535211</v>
      </c>
      <c r="F305" s="34">
        <v>0.929032258064516</v>
      </c>
      <c r="G305" s="34">
        <v>-0.976190476190476</v>
      </c>
      <c r="H305" s="34">
        <v>0.0199829931972789</v>
      </c>
      <c r="I305" s="34">
        <v>1.0287813839559</v>
      </c>
      <c r="J305" s="34">
        <v>1.1525974025974</v>
      </c>
    </row>
    <row r="306">
      <c r="A306" s="33">
        <v>122.0</v>
      </c>
      <c r="B306" s="33" t="s">
        <v>840</v>
      </c>
      <c r="C306" s="33" t="s">
        <v>971</v>
      </c>
      <c r="D306" s="34">
        <v>0.714285714285714</v>
      </c>
      <c r="E306" s="34">
        <v>0.845070422535211</v>
      </c>
      <c r="F306" s="34">
        <v>0.929032258064516</v>
      </c>
      <c r="G306" s="34">
        <v>-0.976190476190476</v>
      </c>
      <c r="H306" s="34">
        <v>0.00992063492063488</v>
      </c>
      <c r="I306" s="34">
        <v>1.01408450704225</v>
      </c>
      <c r="J306" s="34">
        <v>1.07575757575757</v>
      </c>
    </row>
    <row r="307">
      <c r="A307" s="33">
        <v>123.0</v>
      </c>
      <c r="B307" s="33" t="s">
        <v>988</v>
      </c>
      <c r="C307" s="33" t="s">
        <v>1004</v>
      </c>
      <c r="D307" s="34">
        <v>0.714285714285714</v>
      </c>
      <c r="E307" s="34">
        <v>0.845070422535211</v>
      </c>
      <c r="F307" s="34">
        <v>0.929032258064516</v>
      </c>
      <c r="G307" s="34">
        <v>-0.976190476190476</v>
      </c>
      <c r="H307" s="34">
        <v>-0.0102040816326529</v>
      </c>
      <c r="I307" s="34">
        <v>0.985915492957746</v>
      </c>
      <c r="J307" s="34">
        <v>0.922077922077922</v>
      </c>
    </row>
    <row r="308">
      <c r="A308" s="33">
        <v>124.0</v>
      </c>
      <c r="B308" s="33" t="s">
        <v>989</v>
      </c>
      <c r="C308" s="33" t="s">
        <v>1003</v>
      </c>
      <c r="D308" s="34">
        <v>0.714285714285714</v>
      </c>
      <c r="E308" s="34">
        <v>0.845070422535211</v>
      </c>
      <c r="F308" s="34">
        <v>0.929032258064516</v>
      </c>
      <c r="G308" s="34">
        <v>-0.976190476190476</v>
      </c>
      <c r="H308" s="34">
        <v>-0.0102040816326529</v>
      </c>
      <c r="I308" s="34">
        <v>0.985915492957746</v>
      </c>
      <c r="J308" s="34">
        <v>0.922077922077922</v>
      </c>
    </row>
    <row r="309">
      <c r="A309" s="33">
        <v>105.0</v>
      </c>
      <c r="B309" s="33" t="s">
        <v>837</v>
      </c>
      <c r="C309" s="33" t="s">
        <v>839</v>
      </c>
      <c r="D309" s="34">
        <v>0.773809523809523</v>
      </c>
      <c r="E309" s="34">
        <v>0.844155844155844</v>
      </c>
      <c r="F309" s="34">
        <v>0.925465838509316</v>
      </c>
      <c r="G309" s="34">
        <v>-1.0595238095238</v>
      </c>
      <c r="H309" s="34">
        <v>-0.0119047619047617</v>
      </c>
      <c r="I309" s="34">
        <v>0.984848484848484</v>
      </c>
      <c r="J309" s="34">
        <v>0.916666666666666</v>
      </c>
    </row>
    <row r="310">
      <c r="A310" s="36">
        <v>106.0</v>
      </c>
      <c r="B310" s="36" t="s">
        <v>837</v>
      </c>
      <c r="C310" s="36" t="s">
        <v>840</v>
      </c>
      <c r="D310" s="37">
        <v>0.773809523809523</v>
      </c>
      <c r="E310" s="37">
        <v>0.844155844155844</v>
      </c>
      <c r="F310" s="37">
        <v>0.925465838509316</v>
      </c>
      <c r="G310" s="37">
        <v>-1.0595238095238</v>
      </c>
      <c r="H310" s="37">
        <v>-9.92063492063377E-4</v>
      </c>
      <c r="I310" s="37">
        <v>0.998719590268886</v>
      </c>
      <c r="J310" s="37">
        <v>0.993055555555555</v>
      </c>
    </row>
    <row r="311">
      <c r="A311" s="33">
        <v>107.0</v>
      </c>
      <c r="B311" s="33" t="s">
        <v>848</v>
      </c>
      <c r="C311" s="33" t="s">
        <v>841</v>
      </c>
      <c r="D311" s="34">
        <v>0.773809523809523</v>
      </c>
      <c r="E311" s="34">
        <v>0.844155844155844</v>
      </c>
      <c r="F311" s="34">
        <v>0.925465838509316</v>
      </c>
      <c r="G311" s="34">
        <v>-1.0595238095238</v>
      </c>
      <c r="H311" s="34">
        <v>-9.92063492063377E-4</v>
      </c>
      <c r="I311" s="34">
        <v>0.998719590268886</v>
      </c>
      <c r="J311" s="34">
        <v>0.993055555555555</v>
      </c>
    </row>
    <row r="312">
      <c r="A312" s="33">
        <v>108.0</v>
      </c>
      <c r="B312" s="33" t="s">
        <v>848</v>
      </c>
      <c r="C312" s="33" t="s">
        <v>64</v>
      </c>
      <c r="D312" s="34">
        <v>0.773809523809523</v>
      </c>
      <c r="E312" s="34">
        <v>0.844155844155844</v>
      </c>
      <c r="F312" s="34">
        <v>0.925465838509316</v>
      </c>
      <c r="G312" s="34">
        <v>-1.0595238095238</v>
      </c>
      <c r="H312" s="34">
        <v>0.0208333333333333</v>
      </c>
      <c r="I312" s="34">
        <v>1.02766798418972</v>
      </c>
      <c r="J312" s="34">
        <v>1.14583333333333</v>
      </c>
    </row>
    <row r="313">
      <c r="A313" s="33">
        <v>109.0</v>
      </c>
      <c r="B313" s="33" t="s">
        <v>848</v>
      </c>
      <c r="C313" s="33" t="s">
        <v>972</v>
      </c>
      <c r="D313" s="34">
        <v>0.773809523809523</v>
      </c>
      <c r="E313" s="34">
        <v>0.844155844155844</v>
      </c>
      <c r="F313" s="34">
        <v>0.925465838509316</v>
      </c>
      <c r="G313" s="34">
        <v>-1.0595238095238</v>
      </c>
      <c r="H313" s="34">
        <v>0.0208333333333333</v>
      </c>
      <c r="I313" s="34">
        <v>1.02766798418972</v>
      </c>
      <c r="J313" s="34">
        <v>1.14583333333333</v>
      </c>
    </row>
    <row r="314">
      <c r="A314" s="33">
        <v>104.0</v>
      </c>
      <c r="B314" s="33" t="s">
        <v>971</v>
      </c>
      <c r="C314" s="33" t="s">
        <v>972</v>
      </c>
      <c r="D314" s="34">
        <v>0.702380952380952</v>
      </c>
      <c r="E314" s="34">
        <v>0.842857142857142</v>
      </c>
      <c r="F314" s="34">
        <v>0.928571428571428</v>
      </c>
      <c r="G314" s="34">
        <v>-0.964285714285714</v>
      </c>
      <c r="H314" s="34">
        <v>0.0178571428571427</v>
      </c>
      <c r="I314" s="34">
        <v>1.02608695652173</v>
      </c>
      <c r="J314" s="34">
        <v>1.13636363636363</v>
      </c>
    </row>
    <row r="315">
      <c r="A315" s="33">
        <v>99.0</v>
      </c>
      <c r="B315" s="33" t="s">
        <v>836</v>
      </c>
      <c r="C315" s="33" t="s">
        <v>839</v>
      </c>
      <c r="D315" s="34">
        <v>0.738095238095238</v>
      </c>
      <c r="E315" s="34">
        <v>0.837837837837837</v>
      </c>
      <c r="F315" s="34">
        <v>0.924050632911392</v>
      </c>
      <c r="G315" s="34">
        <v>-1.02380952380952</v>
      </c>
      <c r="H315" s="34">
        <v>-0.0170068027210883</v>
      </c>
      <c r="I315" s="34">
        <v>0.977477477477477</v>
      </c>
      <c r="J315" s="34">
        <v>0.88095238095238</v>
      </c>
    </row>
    <row r="316">
      <c r="A316" s="36">
        <v>100.0</v>
      </c>
      <c r="B316" s="36" t="s">
        <v>836</v>
      </c>
      <c r="C316" s="36" t="s">
        <v>840</v>
      </c>
      <c r="D316" s="37">
        <v>0.738095238095238</v>
      </c>
      <c r="E316" s="37">
        <v>0.837837837837837</v>
      </c>
      <c r="F316" s="37">
        <v>0.924050632911392</v>
      </c>
      <c r="G316" s="37">
        <v>-1.02380952380952</v>
      </c>
      <c r="H316" s="37">
        <v>-0.00651927437641719</v>
      </c>
      <c r="I316" s="37">
        <v>0.991244765892653</v>
      </c>
      <c r="J316" s="37">
        <v>0.954365079365079</v>
      </c>
    </row>
    <row r="317">
      <c r="A317" s="33">
        <v>101.0</v>
      </c>
      <c r="B317" s="33" t="s">
        <v>836</v>
      </c>
      <c r="C317" s="33" t="s">
        <v>1002</v>
      </c>
      <c r="D317" s="34">
        <v>0.738095238095238</v>
      </c>
      <c r="E317" s="34">
        <v>0.837837837837837</v>
      </c>
      <c r="F317" s="34">
        <v>0.924050632911392</v>
      </c>
      <c r="G317" s="34">
        <v>-1.02380952380952</v>
      </c>
      <c r="H317" s="34">
        <v>-0.0170068027210883</v>
      </c>
      <c r="I317" s="34">
        <v>0.977477477477477</v>
      </c>
      <c r="J317" s="34">
        <v>0.88095238095238</v>
      </c>
    </row>
    <row r="318">
      <c r="A318" s="33">
        <v>102.0</v>
      </c>
      <c r="B318" s="33" t="s">
        <v>836</v>
      </c>
      <c r="C318" s="33" t="s">
        <v>1003</v>
      </c>
      <c r="D318" s="34">
        <v>0.738095238095238</v>
      </c>
      <c r="E318" s="34">
        <v>0.837837837837837</v>
      </c>
      <c r="F318" s="34">
        <v>0.924050632911392</v>
      </c>
      <c r="G318" s="34">
        <v>-1.02380952380952</v>
      </c>
      <c r="H318" s="34">
        <v>-0.0170068027210883</v>
      </c>
      <c r="I318" s="34">
        <v>0.977477477477477</v>
      </c>
      <c r="J318" s="34">
        <v>0.88095238095238</v>
      </c>
    </row>
    <row r="319">
      <c r="A319" s="33">
        <v>103.0</v>
      </c>
      <c r="B319" s="33" t="s">
        <v>836</v>
      </c>
      <c r="C319" s="33" t="s">
        <v>1004</v>
      </c>
      <c r="D319" s="34">
        <v>0.738095238095238</v>
      </c>
      <c r="E319" s="34">
        <v>0.837837837837837</v>
      </c>
      <c r="F319" s="34">
        <v>0.924050632911392</v>
      </c>
      <c r="G319" s="34">
        <v>-1.02380952380952</v>
      </c>
      <c r="H319" s="34">
        <v>-0.0170068027210883</v>
      </c>
      <c r="I319" s="34">
        <v>0.977477477477477</v>
      </c>
      <c r="J319" s="34">
        <v>0.88095238095238</v>
      </c>
    </row>
    <row r="320">
      <c r="A320" s="33">
        <v>98.0</v>
      </c>
      <c r="B320" s="33" t="s">
        <v>835</v>
      </c>
      <c r="C320" s="33" t="s">
        <v>971</v>
      </c>
      <c r="D320" s="34">
        <v>0.726190476190476</v>
      </c>
      <c r="E320" s="34">
        <v>0.835616438356164</v>
      </c>
      <c r="F320" s="34">
        <v>0.923566878980891</v>
      </c>
      <c r="G320" s="34">
        <v>-1.01190476190476</v>
      </c>
      <c r="H320" s="34">
        <v>0.00198412698412686</v>
      </c>
      <c r="I320" s="34">
        <v>1.00273972602739</v>
      </c>
      <c r="J320" s="34">
        <v>1.01388888888888</v>
      </c>
    </row>
    <row r="321">
      <c r="A321" s="33">
        <v>88.0</v>
      </c>
      <c r="B321" s="33" t="s">
        <v>826</v>
      </c>
      <c r="C321" s="33" t="s">
        <v>841</v>
      </c>
      <c r="D321" s="34">
        <v>0.773809523809523</v>
      </c>
      <c r="E321" s="34">
        <v>0.833333333333333</v>
      </c>
      <c r="F321" s="34">
        <v>0.919753086419753</v>
      </c>
      <c r="G321" s="34">
        <v>-1.08333333333333</v>
      </c>
      <c r="H321" s="34">
        <v>-0.0110544217687075</v>
      </c>
      <c r="I321" s="34">
        <v>0.985915492957746</v>
      </c>
      <c r="J321" s="34">
        <v>0.928571428571428</v>
      </c>
    </row>
    <row r="322">
      <c r="A322" s="33">
        <v>89.0</v>
      </c>
      <c r="B322" s="33" t="s">
        <v>826</v>
      </c>
      <c r="C322" s="33" t="s">
        <v>840</v>
      </c>
      <c r="D322" s="34">
        <v>0.773809523809523</v>
      </c>
      <c r="E322" s="34">
        <v>0.833333333333333</v>
      </c>
      <c r="F322" s="34">
        <v>0.919753086419753</v>
      </c>
      <c r="G322" s="34">
        <v>-1.08333333333333</v>
      </c>
      <c r="H322" s="34">
        <v>-0.0110544217687075</v>
      </c>
      <c r="I322" s="34">
        <v>0.985915492957746</v>
      </c>
      <c r="J322" s="34">
        <v>0.928571428571428</v>
      </c>
    </row>
    <row r="323">
      <c r="A323" s="33">
        <v>90.0</v>
      </c>
      <c r="B323" s="33" t="s">
        <v>825</v>
      </c>
      <c r="C323" s="33" t="s">
        <v>840</v>
      </c>
      <c r="D323" s="34">
        <v>0.773809523809523</v>
      </c>
      <c r="E323" s="34">
        <v>0.833333333333333</v>
      </c>
      <c r="F323" s="34">
        <v>0.919753086419753</v>
      </c>
      <c r="G323" s="34">
        <v>-1.08333333333333</v>
      </c>
      <c r="H323" s="34">
        <v>-0.0110544217687075</v>
      </c>
      <c r="I323" s="34">
        <v>0.985915492957746</v>
      </c>
      <c r="J323" s="34">
        <v>0.928571428571428</v>
      </c>
    </row>
    <row r="324">
      <c r="A324" s="33">
        <v>93.0</v>
      </c>
      <c r="B324" s="33" t="s">
        <v>826</v>
      </c>
      <c r="C324" s="33" t="s">
        <v>963</v>
      </c>
      <c r="D324" s="34">
        <v>0.773809523809523</v>
      </c>
      <c r="E324" s="34">
        <v>0.833333333333333</v>
      </c>
      <c r="F324" s="34">
        <v>0.919753086419753</v>
      </c>
      <c r="G324" s="34">
        <v>-1.08333333333333</v>
      </c>
      <c r="H324" s="34">
        <v>0.0221088435374149</v>
      </c>
      <c r="I324" s="34">
        <v>1.02941176470588</v>
      </c>
      <c r="J324" s="34">
        <v>1.14285714285714</v>
      </c>
    </row>
    <row r="325">
      <c r="A325" s="33">
        <v>91.0</v>
      </c>
      <c r="B325" s="33" t="s">
        <v>1002</v>
      </c>
      <c r="C325" s="33" t="s">
        <v>841</v>
      </c>
      <c r="D325" s="34">
        <v>0.714285714285714</v>
      </c>
      <c r="E325" s="34">
        <v>0.833333333333333</v>
      </c>
      <c r="F325" s="34">
        <v>0.923076923076923</v>
      </c>
      <c r="G325" s="34">
        <v>-0.999999999999999</v>
      </c>
      <c r="H325" s="34">
        <v>-0.0102040816326529</v>
      </c>
      <c r="I325" s="34">
        <v>0.985915492957746</v>
      </c>
      <c r="J325" s="34">
        <v>0.928571428571428</v>
      </c>
    </row>
    <row r="326">
      <c r="A326" s="33">
        <v>92.0</v>
      </c>
      <c r="B326" s="33" t="s">
        <v>1003</v>
      </c>
      <c r="C326" s="33" t="s">
        <v>840</v>
      </c>
      <c r="D326" s="34">
        <v>0.714285714285714</v>
      </c>
      <c r="E326" s="34">
        <v>0.833333333333333</v>
      </c>
      <c r="F326" s="34">
        <v>0.923076923076923</v>
      </c>
      <c r="G326" s="34">
        <v>-0.999999999999999</v>
      </c>
      <c r="H326" s="34">
        <v>-0.0102040816326529</v>
      </c>
      <c r="I326" s="34">
        <v>0.985915492957746</v>
      </c>
      <c r="J326" s="34">
        <v>0.928571428571428</v>
      </c>
    </row>
    <row r="327">
      <c r="A327" s="33">
        <v>94.0</v>
      </c>
      <c r="B327" s="33" t="s">
        <v>1004</v>
      </c>
      <c r="C327" s="33" t="s">
        <v>841</v>
      </c>
      <c r="D327" s="34">
        <v>0.714285714285714</v>
      </c>
      <c r="E327" s="34">
        <v>0.833333333333333</v>
      </c>
      <c r="F327" s="34">
        <v>0.923076923076923</v>
      </c>
      <c r="G327" s="34">
        <v>-0.999999999999999</v>
      </c>
      <c r="H327" s="34">
        <v>-0.0102040816326529</v>
      </c>
      <c r="I327" s="34">
        <v>0.985915492957746</v>
      </c>
      <c r="J327" s="34">
        <v>0.928571428571428</v>
      </c>
    </row>
    <row r="328">
      <c r="A328" s="33">
        <v>95.0</v>
      </c>
      <c r="B328" s="33" t="s">
        <v>1002</v>
      </c>
      <c r="C328" s="33" t="s">
        <v>971</v>
      </c>
      <c r="D328" s="34">
        <v>0.714285714285714</v>
      </c>
      <c r="E328" s="34">
        <v>0.833333333333333</v>
      </c>
      <c r="F328" s="34">
        <v>0.923076923076923</v>
      </c>
      <c r="G328" s="34">
        <v>-0.999999999999999</v>
      </c>
      <c r="H328" s="34">
        <v>0.0</v>
      </c>
      <c r="I328" s="34">
        <v>1.0</v>
      </c>
      <c r="J328" s="34">
        <v>1.0</v>
      </c>
    </row>
    <row r="329">
      <c r="A329" s="33">
        <v>96.0</v>
      </c>
      <c r="B329" s="33" t="s">
        <v>1003</v>
      </c>
      <c r="C329" s="33" t="s">
        <v>989</v>
      </c>
      <c r="D329" s="34">
        <v>0.714285714285714</v>
      </c>
      <c r="E329" s="34">
        <v>0.833333333333333</v>
      </c>
      <c r="F329" s="34">
        <v>0.923076923076923</v>
      </c>
      <c r="G329" s="34">
        <v>-0.999999999999999</v>
      </c>
      <c r="H329" s="34">
        <v>-0.0102040816326529</v>
      </c>
      <c r="I329" s="34">
        <v>0.985915492957746</v>
      </c>
      <c r="J329" s="34">
        <v>0.928571428571428</v>
      </c>
    </row>
    <row r="330">
      <c r="A330" s="33">
        <v>97.0</v>
      </c>
      <c r="B330" s="33" t="s">
        <v>1004</v>
      </c>
      <c r="C330" s="33" t="s">
        <v>988</v>
      </c>
      <c r="D330" s="34">
        <v>0.714285714285714</v>
      </c>
      <c r="E330" s="34">
        <v>0.833333333333333</v>
      </c>
      <c r="F330" s="34">
        <v>0.923076923076923</v>
      </c>
      <c r="G330" s="34">
        <v>-0.999999999999999</v>
      </c>
      <c r="H330" s="34">
        <v>-0.0102040816326529</v>
      </c>
      <c r="I330" s="34">
        <v>0.985915492957746</v>
      </c>
      <c r="J330" s="34">
        <v>0.928571428571428</v>
      </c>
    </row>
    <row r="331">
      <c r="A331" s="36">
        <v>85.0</v>
      </c>
      <c r="B331" s="36" t="s">
        <v>837</v>
      </c>
      <c r="C331" s="36" t="s">
        <v>841</v>
      </c>
      <c r="D331" s="37">
        <v>0.761904761904761</v>
      </c>
      <c r="E331" s="37">
        <v>0.831168831168831</v>
      </c>
      <c r="F331" s="37">
        <v>0.919254658385093</v>
      </c>
      <c r="G331" s="37">
        <v>-1.07142857142857</v>
      </c>
      <c r="H331" s="37">
        <v>-0.0128968253968253</v>
      </c>
      <c r="I331" s="37">
        <v>0.983354673495518</v>
      </c>
      <c r="J331" s="37">
        <v>0.916666666666666</v>
      </c>
    </row>
    <row r="332">
      <c r="A332" s="33">
        <v>86.0</v>
      </c>
      <c r="B332" s="33" t="s">
        <v>837</v>
      </c>
      <c r="C332" s="33" t="s">
        <v>989</v>
      </c>
      <c r="D332" s="34">
        <v>0.761904761904761</v>
      </c>
      <c r="E332" s="34">
        <v>0.831168831168831</v>
      </c>
      <c r="F332" s="34">
        <v>0.919254658385093</v>
      </c>
      <c r="G332" s="34">
        <v>-1.07142857142857</v>
      </c>
      <c r="H332" s="34">
        <v>-0.0128968253968253</v>
      </c>
      <c r="I332" s="34">
        <v>0.983354673495518</v>
      </c>
      <c r="J332" s="34">
        <v>0.916666666666666</v>
      </c>
    </row>
    <row r="333">
      <c r="A333" s="33">
        <v>87.0</v>
      </c>
      <c r="B333" s="33" t="s">
        <v>848</v>
      </c>
      <c r="C333" s="33" t="s">
        <v>988</v>
      </c>
      <c r="D333" s="34">
        <v>0.761904761904761</v>
      </c>
      <c r="E333" s="34">
        <v>0.831168831168831</v>
      </c>
      <c r="F333" s="34">
        <v>0.919254658385093</v>
      </c>
      <c r="G333" s="34">
        <v>-1.07142857142857</v>
      </c>
      <c r="H333" s="34">
        <v>-0.0128968253968253</v>
      </c>
      <c r="I333" s="34">
        <v>0.983354673495518</v>
      </c>
      <c r="J333" s="34">
        <v>0.916666666666666</v>
      </c>
    </row>
    <row r="334">
      <c r="A334" s="36">
        <v>67.0</v>
      </c>
      <c r="B334" s="36" t="s">
        <v>840</v>
      </c>
      <c r="C334" s="36" t="s">
        <v>839</v>
      </c>
      <c r="D334" s="37">
        <v>0.702380952380952</v>
      </c>
      <c r="E334" s="37">
        <v>0.830985915492957</v>
      </c>
      <c r="F334" s="37">
        <v>0.92258064516129</v>
      </c>
      <c r="G334" s="37">
        <v>-0.988095238095238</v>
      </c>
      <c r="H334" s="37">
        <v>-0.0221088435374149</v>
      </c>
      <c r="I334" s="37">
        <v>0.969483568075117</v>
      </c>
      <c r="J334" s="37">
        <v>0.845238095238095</v>
      </c>
    </row>
    <row r="335">
      <c r="A335" s="36">
        <v>68.0</v>
      </c>
      <c r="B335" s="36" t="s">
        <v>841</v>
      </c>
      <c r="C335" s="36" t="s">
        <v>64</v>
      </c>
      <c r="D335" s="37">
        <v>0.702380952380952</v>
      </c>
      <c r="E335" s="37">
        <v>0.830985915492957</v>
      </c>
      <c r="F335" s="37">
        <v>0.92258064516129</v>
      </c>
      <c r="G335" s="37">
        <v>-0.988095238095238</v>
      </c>
      <c r="H335" s="37">
        <v>0.00807823129251694</v>
      </c>
      <c r="I335" s="37">
        <v>1.01163502755664</v>
      </c>
      <c r="J335" s="37">
        <v>1.05654761904761</v>
      </c>
    </row>
    <row r="336">
      <c r="A336" s="33">
        <v>69.0</v>
      </c>
      <c r="B336" s="33" t="s">
        <v>840</v>
      </c>
      <c r="C336" s="33" t="s">
        <v>830</v>
      </c>
      <c r="D336" s="34">
        <v>0.702380952380952</v>
      </c>
      <c r="E336" s="34">
        <v>0.830985915492957</v>
      </c>
      <c r="F336" s="34">
        <v>0.92258064516129</v>
      </c>
      <c r="G336" s="34">
        <v>-0.988095238095238</v>
      </c>
      <c r="H336" s="34">
        <v>0.00807823129251694</v>
      </c>
      <c r="I336" s="34">
        <v>1.01163502755664</v>
      </c>
      <c r="J336" s="34">
        <v>1.05654761904761</v>
      </c>
    </row>
    <row r="337">
      <c r="A337" s="33">
        <v>70.0</v>
      </c>
      <c r="B337" s="33" t="s">
        <v>840</v>
      </c>
      <c r="C337" s="33" t="s">
        <v>1002</v>
      </c>
      <c r="D337" s="34">
        <v>0.702380952380952</v>
      </c>
      <c r="E337" s="34">
        <v>0.830985915492957</v>
      </c>
      <c r="F337" s="34">
        <v>0.92258064516129</v>
      </c>
      <c r="G337" s="34">
        <v>-0.988095238095238</v>
      </c>
      <c r="H337" s="34">
        <v>-0.0221088435374149</v>
      </c>
      <c r="I337" s="34">
        <v>0.969483568075117</v>
      </c>
      <c r="J337" s="34">
        <v>0.845238095238095</v>
      </c>
    </row>
    <row r="338">
      <c r="A338" s="33">
        <v>71.0</v>
      </c>
      <c r="B338" s="33" t="s">
        <v>841</v>
      </c>
      <c r="C338" s="33" t="s">
        <v>1003</v>
      </c>
      <c r="D338" s="34">
        <v>0.702380952380952</v>
      </c>
      <c r="E338" s="34">
        <v>0.830985915492957</v>
      </c>
      <c r="F338" s="34">
        <v>0.92258064516129</v>
      </c>
      <c r="G338" s="34">
        <v>-0.988095238095238</v>
      </c>
      <c r="H338" s="34">
        <v>-0.0221088435374149</v>
      </c>
      <c r="I338" s="34">
        <v>0.969483568075117</v>
      </c>
      <c r="J338" s="34">
        <v>0.845238095238095</v>
      </c>
    </row>
    <row r="339">
      <c r="A339" s="33">
        <v>72.0</v>
      </c>
      <c r="B339" s="33" t="s">
        <v>840</v>
      </c>
      <c r="C339" s="33" t="s">
        <v>973</v>
      </c>
      <c r="D339" s="34">
        <v>0.702380952380952</v>
      </c>
      <c r="E339" s="34">
        <v>0.830985915492957</v>
      </c>
      <c r="F339" s="34">
        <v>0.92258064516129</v>
      </c>
      <c r="G339" s="34">
        <v>-0.988095238095238</v>
      </c>
      <c r="H339" s="34">
        <v>0.0181405895691609</v>
      </c>
      <c r="I339" s="34">
        <v>1.026512013256</v>
      </c>
      <c r="J339" s="34">
        <v>1.12698412698412</v>
      </c>
    </row>
    <row r="340">
      <c r="A340" s="33">
        <v>73.0</v>
      </c>
      <c r="B340" s="33" t="s">
        <v>988</v>
      </c>
      <c r="C340" s="33" t="s">
        <v>839</v>
      </c>
      <c r="D340" s="34">
        <v>0.702380952380952</v>
      </c>
      <c r="E340" s="34">
        <v>0.830985915492957</v>
      </c>
      <c r="F340" s="34">
        <v>0.92258064516129</v>
      </c>
      <c r="G340" s="34">
        <v>-0.988095238095238</v>
      </c>
      <c r="H340" s="34">
        <v>-0.0221088435374149</v>
      </c>
      <c r="I340" s="34">
        <v>0.969483568075117</v>
      </c>
      <c r="J340" s="34">
        <v>0.845238095238095</v>
      </c>
    </row>
    <row r="341">
      <c r="A341" s="33">
        <v>74.0</v>
      </c>
      <c r="B341" s="33" t="s">
        <v>988</v>
      </c>
      <c r="C341" s="33" t="s">
        <v>841</v>
      </c>
      <c r="D341" s="34">
        <v>0.702380952380952</v>
      </c>
      <c r="E341" s="34">
        <v>0.830985915492957</v>
      </c>
      <c r="F341" s="34">
        <v>0.92258064516129</v>
      </c>
      <c r="G341" s="34">
        <v>-0.988095238095238</v>
      </c>
      <c r="H341" s="34">
        <v>-0.012046485260771</v>
      </c>
      <c r="I341" s="34">
        <v>0.98313826621702</v>
      </c>
      <c r="J341" s="34">
        <v>0.915674603174603</v>
      </c>
    </row>
    <row r="342">
      <c r="A342" s="33">
        <v>75.0</v>
      </c>
      <c r="B342" s="33" t="s">
        <v>841</v>
      </c>
      <c r="C342" s="33" t="s">
        <v>988</v>
      </c>
      <c r="D342" s="34">
        <v>0.702380952380952</v>
      </c>
      <c r="E342" s="34">
        <v>0.830985915492957</v>
      </c>
      <c r="F342" s="34">
        <v>0.92258064516129</v>
      </c>
      <c r="G342" s="34">
        <v>-0.988095238095238</v>
      </c>
      <c r="H342" s="34">
        <v>-0.012046485260771</v>
      </c>
      <c r="I342" s="34">
        <v>0.98313826621702</v>
      </c>
      <c r="J342" s="34">
        <v>0.915674603174603</v>
      </c>
    </row>
    <row r="343">
      <c r="A343" s="33">
        <v>76.0</v>
      </c>
      <c r="B343" s="33" t="s">
        <v>988</v>
      </c>
      <c r="C343" s="33" t="s">
        <v>840</v>
      </c>
      <c r="D343" s="34">
        <v>0.702380952380952</v>
      </c>
      <c r="E343" s="34">
        <v>0.830985915492957</v>
      </c>
      <c r="F343" s="34">
        <v>0.92258064516129</v>
      </c>
      <c r="G343" s="34">
        <v>-0.988095238095238</v>
      </c>
      <c r="H343" s="34">
        <v>-0.012046485260771</v>
      </c>
      <c r="I343" s="34">
        <v>0.98313826621702</v>
      </c>
      <c r="J343" s="34">
        <v>0.915674603174603</v>
      </c>
    </row>
    <row r="344">
      <c r="A344" s="33">
        <v>77.0</v>
      </c>
      <c r="B344" s="33" t="s">
        <v>840</v>
      </c>
      <c r="C344" s="33" t="s">
        <v>988</v>
      </c>
      <c r="D344" s="34">
        <v>0.702380952380952</v>
      </c>
      <c r="E344" s="34">
        <v>0.830985915492957</v>
      </c>
      <c r="F344" s="34">
        <v>0.92258064516129</v>
      </c>
      <c r="G344" s="34">
        <v>-0.988095238095238</v>
      </c>
      <c r="H344" s="34">
        <v>-0.012046485260771</v>
      </c>
      <c r="I344" s="34">
        <v>0.98313826621702</v>
      </c>
      <c r="J344" s="34">
        <v>0.915674603174603</v>
      </c>
    </row>
    <row r="345">
      <c r="A345" s="33">
        <v>78.0</v>
      </c>
      <c r="B345" s="33" t="s">
        <v>989</v>
      </c>
      <c r="C345" s="33" t="s">
        <v>64</v>
      </c>
      <c r="D345" s="34">
        <v>0.702380952380952</v>
      </c>
      <c r="E345" s="34">
        <v>0.830985915492957</v>
      </c>
      <c r="F345" s="34">
        <v>0.92258064516129</v>
      </c>
      <c r="G345" s="34">
        <v>-0.988095238095238</v>
      </c>
      <c r="H345" s="34">
        <v>0.00807823129251694</v>
      </c>
      <c r="I345" s="34">
        <v>1.01163502755664</v>
      </c>
      <c r="J345" s="34">
        <v>1.05654761904761</v>
      </c>
    </row>
    <row r="346">
      <c r="A346" s="33">
        <v>79.0</v>
      </c>
      <c r="B346" s="33" t="s">
        <v>841</v>
      </c>
      <c r="C346" s="33" t="s">
        <v>1006</v>
      </c>
      <c r="D346" s="34">
        <v>0.702380952380952</v>
      </c>
      <c r="E346" s="34">
        <v>0.830985915492957</v>
      </c>
      <c r="F346" s="34">
        <v>0.92258064516129</v>
      </c>
      <c r="G346" s="34">
        <v>-0.988095238095238</v>
      </c>
      <c r="H346" s="34">
        <v>0.0181405895691609</v>
      </c>
      <c r="I346" s="34">
        <v>1.026512013256</v>
      </c>
      <c r="J346" s="34">
        <v>1.12698412698412</v>
      </c>
    </row>
    <row r="347">
      <c r="A347" s="33">
        <v>80.0</v>
      </c>
      <c r="B347" s="33" t="s">
        <v>840</v>
      </c>
      <c r="C347" s="33" t="s">
        <v>965</v>
      </c>
      <c r="D347" s="34">
        <v>0.702380952380952</v>
      </c>
      <c r="E347" s="34">
        <v>0.830985915492957</v>
      </c>
      <c r="F347" s="34">
        <v>0.92258064516129</v>
      </c>
      <c r="G347" s="34">
        <v>-0.988095238095238</v>
      </c>
      <c r="H347" s="34">
        <v>0.0282029478458049</v>
      </c>
      <c r="I347" s="34">
        <v>1.04183308808072</v>
      </c>
      <c r="J347" s="34">
        <v>1.19742063492063</v>
      </c>
    </row>
    <row r="348">
      <c r="A348" s="33">
        <v>81.0</v>
      </c>
      <c r="B348" s="33" t="s">
        <v>840</v>
      </c>
      <c r="C348" s="33" t="s">
        <v>974</v>
      </c>
      <c r="D348" s="34">
        <v>0.702380952380952</v>
      </c>
      <c r="E348" s="34">
        <v>0.830985915492957</v>
      </c>
      <c r="F348" s="34">
        <v>0.92258064516129</v>
      </c>
      <c r="G348" s="34">
        <v>-0.988095238095238</v>
      </c>
      <c r="H348" s="34">
        <v>0.0282029478458049</v>
      </c>
      <c r="I348" s="34">
        <v>1.04183308808072</v>
      </c>
      <c r="J348" s="34">
        <v>1.19742063492063</v>
      </c>
    </row>
    <row r="349">
      <c r="A349" s="33">
        <v>82.0</v>
      </c>
      <c r="B349" s="33" t="s">
        <v>988</v>
      </c>
      <c r="C349" s="33" t="s">
        <v>973</v>
      </c>
      <c r="D349" s="34">
        <v>0.702380952380952</v>
      </c>
      <c r="E349" s="34">
        <v>0.830985915492957</v>
      </c>
      <c r="F349" s="34">
        <v>0.92258064516129</v>
      </c>
      <c r="G349" s="34">
        <v>-0.988095238095238</v>
      </c>
      <c r="H349" s="34">
        <v>0.0181405895691609</v>
      </c>
      <c r="I349" s="34">
        <v>1.026512013256</v>
      </c>
      <c r="J349" s="34">
        <v>1.12698412698412</v>
      </c>
    </row>
    <row r="350">
      <c r="A350" s="33">
        <v>83.0</v>
      </c>
      <c r="B350" s="33" t="s">
        <v>989</v>
      </c>
      <c r="C350" s="33" t="s">
        <v>973</v>
      </c>
      <c r="D350" s="34">
        <v>0.702380952380952</v>
      </c>
      <c r="E350" s="34">
        <v>0.830985915492957</v>
      </c>
      <c r="F350" s="34">
        <v>0.92258064516129</v>
      </c>
      <c r="G350" s="34">
        <v>-0.988095238095238</v>
      </c>
      <c r="H350" s="34">
        <v>0.0181405895691609</v>
      </c>
      <c r="I350" s="34">
        <v>1.026512013256</v>
      </c>
      <c r="J350" s="34">
        <v>1.12698412698412</v>
      </c>
    </row>
    <row r="351">
      <c r="A351" s="33">
        <v>84.0</v>
      </c>
      <c r="B351" s="33" t="s">
        <v>989</v>
      </c>
      <c r="C351" s="33" t="s">
        <v>972</v>
      </c>
      <c r="D351" s="34">
        <v>0.702380952380952</v>
      </c>
      <c r="E351" s="34">
        <v>0.830985915492957</v>
      </c>
      <c r="F351" s="34">
        <v>0.92258064516129</v>
      </c>
      <c r="G351" s="34">
        <v>-0.988095238095238</v>
      </c>
      <c r="H351" s="34">
        <v>0.00807823129251694</v>
      </c>
      <c r="I351" s="34">
        <v>1.01163502755664</v>
      </c>
      <c r="J351" s="34">
        <v>1.05654761904761</v>
      </c>
    </row>
    <row r="352">
      <c r="A352" s="33">
        <v>64.0</v>
      </c>
      <c r="B352" s="33" t="s">
        <v>836</v>
      </c>
      <c r="C352" s="33" t="s">
        <v>64</v>
      </c>
      <c r="D352" s="34">
        <v>0.726190476190476</v>
      </c>
      <c r="E352" s="34">
        <v>0.824324324324324</v>
      </c>
      <c r="F352" s="34">
        <v>0.917721518987341</v>
      </c>
      <c r="G352" s="34">
        <v>-1.03571428571428</v>
      </c>
      <c r="H352" s="34">
        <v>0.00255102040816324</v>
      </c>
      <c r="I352" s="34">
        <v>1.00352526439482</v>
      </c>
      <c r="J352" s="34">
        <v>1.01648351648351</v>
      </c>
    </row>
    <row r="353">
      <c r="A353" s="33">
        <v>65.0</v>
      </c>
      <c r="B353" s="33" t="s">
        <v>836</v>
      </c>
      <c r="C353" s="33" t="s">
        <v>988</v>
      </c>
      <c r="D353" s="34">
        <v>0.726190476190476</v>
      </c>
      <c r="E353" s="34">
        <v>0.824324324324324</v>
      </c>
      <c r="F353" s="34">
        <v>0.917721518987341</v>
      </c>
      <c r="G353" s="34">
        <v>-1.03571428571428</v>
      </c>
      <c r="H353" s="34">
        <v>-0.0184240362811791</v>
      </c>
      <c r="I353" s="34">
        <v>0.975256947087933</v>
      </c>
      <c r="J353" s="34">
        <v>0.88095238095238</v>
      </c>
    </row>
    <row r="354">
      <c r="A354" s="33">
        <v>66.0</v>
      </c>
      <c r="B354" s="33" t="s">
        <v>836</v>
      </c>
      <c r="C354" s="33" t="s">
        <v>989</v>
      </c>
      <c r="D354" s="34">
        <v>0.726190476190476</v>
      </c>
      <c r="E354" s="34">
        <v>0.824324324324324</v>
      </c>
      <c r="F354" s="34">
        <v>0.917721518987341</v>
      </c>
      <c r="G354" s="34">
        <v>-1.03571428571428</v>
      </c>
      <c r="H354" s="34">
        <v>-0.0184240362811791</v>
      </c>
      <c r="I354" s="34">
        <v>0.975256947087933</v>
      </c>
      <c r="J354" s="34">
        <v>0.88095238095238</v>
      </c>
    </row>
    <row r="355">
      <c r="A355" s="36">
        <v>58.0</v>
      </c>
      <c r="B355" s="36" t="s">
        <v>835</v>
      </c>
      <c r="C355" s="36" t="s">
        <v>841</v>
      </c>
      <c r="D355" s="37">
        <v>0.714285714285714</v>
      </c>
      <c r="E355" s="37">
        <v>0.821917808219178</v>
      </c>
      <c r="F355" s="37">
        <v>0.917197452229299</v>
      </c>
      <c r="G355" s="37">
        <v>-1.02380952380952</v>
      </c>
      <c r="H355" s="37">
        <v>-0.0202664399092969</v>
      </c>
      <c r="I355" s="37">
        <v>0.972409801273393</v>
      </c>
      <c r="J355" s="37">
        <v>0.869047619047619</v>
      </c>
    </row>
    <row r="356">
      <c r="A356" s="36">
        <v>59.0</v>
      </c>
      <c r="B356" s="36" t="s">
        <v>835</v>
      </c>
      <c r="C356" s="36" t="s">
        <v>64</v>
      </c>
      <c r="D356" s="37">
        <v>0.714285714285714</v>
      </c>
      <c r="E356" s="37">
        <v>0.821917808219178</v>
      </c>
      <c r="F356" s="37">
        <v>0.917197452229299</v>
      </c>
      <c r="G356" s="37">
        <v>-1.02380952380952</v>
      </c>
      <c r="H356" s="37">
        <v>4.25170068027225E-4</v>
      </c>
      <c r="I356" s="37">
        <v>1.00059559261465</v>
      </c>
      <c r="J356" s="37">
        <v>1.00274725274725</v>
      </c>
    </row>
    <row r="357">
      <c r="A357" s="36">
        <v>60.0</v>
      </c>
      <c r="B357" s="36" t="s">
        <v>835</v>
      </c>
      <c r="C357" s="36" t="s">
        <v>842</v>
      </c>
      <c r="D357" s="37">
        <v>0.714285714285714</v>
      </c>
      <c r="E357" s="37">
        <v>0.821917808219178</v>
      </c>
      <c r="F357" s="37">
        <v>0.917197452229299</v>
      </c>
      <c r="G357" s="37">
        <v>-1.02380952380952</v>
      </c>
      <c r="H357" s="37">
        <v>0.0107709750566893</v>
      </c>
      <c r="I357" s="37">
        <v>1.01531023368251</v>
      </c>
      <c r="J357" s="37">
        <v>1.06959706959706</v>
      </c>
    </row>
    <row r="358">
      <c r="A358" s="36">
        <v>61.0</v>
      </c>
      <c r="B358" s="36" t="s">
        <v>835</v>
      </c>
      <c r="C358" s="36" t="s">
        <v>843</v>
      </c>
      <c r="D358" s="37">
        <v>0.714285714285714</v>
      </c>
      <c r="E358" s="37">
        <v>0.821917808219178</v>
      </c>
      <c r="F358" s="37">
        <v>0.917197452229299</v>
      </c>
      <c r="G358" s="37">
        <v>-1.02380952380952</v>
      </c>
      <c r="H358" s="37">
        <v>0.0314625850340136</v>
      </c>
      <c r="I358" s="37">
        <v>1.04607721046077</v>
      </c>
      <c r="J358" s="37">
        <v>1.2032967032967</v>
      </c>
    </row>
    <row r="359">
      <c r="A359" s="33">
        <v>62.0</v>
      </c>
      <c r="B359" s="33" t="s">
        <v>835</v>
      </c>
      <c r="C359" s="33" t="s">
        <v>997</v>
      </c>
      <c r="D359" s="34">
        <v>0.714285714285714</v>
      </c>
      <c r="E359" s="34">
        <v>0.821917808219178</v>
      </c>
      <c r="F359" s="34">
        <v>0.917197452229299</v>
      </c>
      <c r="G359" s="34">
        <v>-1.02380952380952</v>
      </c>
      <c r="H359" s="34">
        <v>0.0418083900226756</v>
      </c>
      <c r="I359" s="34">
        <v>1.06217070600632</v>
      </c>
      <c r="J359" s="34">
        <v>1.27014652014652</v>
      </c>
    </row>
    <row r="360">
      <c r="A360" s="33">
        <v>63.0</v>
      </c>
      <c r="B360" s="33" t="s">
        <v>835</v>
      </c>
      <c r="C360" s="33" t="s">
        <v>1007</v>
      </c>
      <c r="D360" s="34">
        <v>0.714285714285714</v>
      </c>
      <c r="E360" s="34">
        <v>0.821917808219178</v>
      </c>
      <c r="F360" s="34">
        <v>0.917197452229299</v>
      </c>
      <c r="G360" s="34">
        <v>-1.02380952380952</v>
      </c>
      <c r="H360" s="34">
        <v>0.0211167800453514</v>
      </c>
      <c r="I360" s="34">
        <v>1.03046411776732</v>
      </c>
      <c r="J360" s="34">
        <v>1.13644688644688</v>
      </c>
    </row>
    <row r="361">
      <c r="A361" s="33">
        <v>53.0</v>
      </c>
      <c r="B361" s="33" t="s">
        <v>826</v>
      </c>
      <c r="C361" s="33" t="s">
        <v>64</v>
      </c>
      <c r="D361" s="34">
        <v>0.761904761904761</v>
      </c>
      <c r="E361" s="34">
        <v>0.82051282051282</v>
      </c>
      <c r="F361" s="34">
        <v>0.91358024691358</v>
      </c>
      <c r="G361" s="34">
        <v>-1.09523809523809</v>
      </c>
      <c r="H361" s="34">
        <v>-8.5034013605445E-4</v>
      </c>
      <c r="I361" s="34">
        <v>0.998885172798216</v>
      </c>
      <c r="J361" s="34">
        <v>0.994897959183673</v>
      </c>
    </row>
    <row r="362">
      <c r="A362" s="33">
        <v>54.0</v>
      </c>
      <c r="B362" s="33" t="s">
        <v>826</v>
      </c>
      <c r="C362" s="33" t="s">
        <v>842</v>
      </c>
      <c r="D362" s="34">
        <v>0.761904761904761</v>
      </c>
      <c r="E362" s="34">
        <v>0.82051282051282</v>
      </c>
      <c r="F362" s="34">
        <v>0.91358024691358</v>
      </c>
      <c r="G362" s="34">
        <v>-1.09523809523809</v>
      </c>
      <c r="H362" s="34">
        <v>0.0102040816326529</v>
      </c>
      <c r="I362" s="34">
        <v>1.01357466063348</v>
      </c>
      <c r="J362" s="34">
        <v>1.06122448979591</v>
      </c>
    </row>
    <row r="363">
      <c r="A363" s="33">
        <v>55.0</v>
      </c>
      <c r="B363" s="33" t="s">
        <v>826</v>
      </c>
      <c r="C363" s="33" t="s">
        <v>990</v>
      </c>
      <c r="D363" s="34">
        <v>0.761904761904761</v>
      </c>
      <c r="E363" s="34">
        <v>0.82051282051282</v>
      </c>
      <c r="F363" s="34">
        <v>0.91358024691358</v>
      </c>
      <c r="G363" s="34">
        <v>-1.09523809523809</v>
      </c>
      <c r="H363" s="34">
        <v>-8.5034013605445E-4</v>
      </c>
      <c r="I363" s="34">
        <v>0.998885172798216</v>
      </c>
      <c r="J363" s="34">
        <v>0.994897959183673</v>
      </c>
    </row>
    <row r="364">
      <c r="A364" s="33">
        <v>56.0</v>
      </c>
      <c r="B364" s="33" t="s">
        <v>825</v>
      </c>
      <c r="C364" s="33" t="s">
        <v>973</v>
      </c>
      <c r="D364" s="34">
        <v>0.761904761904761</v>
      </c>
      <c r="E364" s="34">
        <v>0.82051282051282</v>
      </c>
      <c r="F364" s="34">
        <v>0.91358024691358</v>
      </c>
      <c r="G364" s="34">
        <v>-1.09523809523809</v>
      </c>
      <c r="H364" s="34">
        <v>0.0102040816326529</v>
      </c>
      <c r="I364" s="34">
        <v>1.01357466063348</v>
      </c>
      <c r="J364" s="34">
        <v>1.06122448979591</v>
      </c>
    </row>
    <row r="365">
      <c r="A365" s="33">
        <v>57.0</v>
      </c>
      <c r="B365" s="33" t="s">
        <v>825</v>
      </c>
      <c r="C365" s="33" t="s">
        <v>971</v>
      </c>
      <c r="D365" s="34">
        <v>0.761904761904761</v>
      </c>
      <c r="E365" s="34">
        <v>0.82051282051282</v>
      </c>
      <c r="F365" s="34">
        <v>0.91358024691358</v>
      </c>
      <c r="G365" s="34">
        <v>-1.09523809523809</v>
      </c>
      <c r="H365" s="34">
        <v>-0.0119047619047619</v>
      </c>
      <c r="I365" s="34">
        <v>0.984615384615384</v>
      </c>
      <c r="J365" s="34">
        <v>0.928571428571428</v>
      </c>
    </row>
    <row r="366">
      <c r="A366" s="36">
        <v>32.0</v>
      </c>
      <c r="B366" s="36" t="s">
        <v>839</v>
      </c>
      <c r="C366" s="36" t="s">
        <v>840</v>
      </c>
      <c r="D366" s="37">
        <v>0.702380952380952</v>
      </c>
      <c r="E366" s="37">
        <v>0.819444444444444</v>
      </c>
      <c r="F366" s="37">
        <v>0.916666666666666</v>
      </c>
      <c r="G366" s="37">
        <v>-1.01190476190476</v>
      </c>
      <c r="H366" s="37">
        <v>-0.0221088435374149</v>
      </c>
      <c r="I366" s="37">
        <v>0.969483568075117</v>
      </c>
      <c r="J366" s="37">
        <v>0.857142857142857</v>
      </c>
    </row>
    <row r="367">
      <c r="A367" s="33">
        <v>33.0</v>
      </c>
      <c r="B367" s="33" t="s">
        <v>839</v>
      </c>
      <c r="C367" s="33" t="s">
        <v>830</v>
      </c>
      <c r="D367" s="34">
        <v>0.702380952380952</v>
      </c>
      <c r="E367" s="34">
        <v>0.819444444444444</v>
      </c>
      <c r="F367" s="34">
        <v>0.916666666666666</v>
      </c>
      <c r="G367" s="34">
        <v>-1.01190476190476</v>
      </c>
      <c r="H367" s="34">
        <v>-0.00170068027210879</v>
      </c>
      <c r="I367" s="34">
        <v>0.997584541062801</v>
      </c>
      <c r="J367" s="34">
        <v>0.989010989010989</v>
      </c>
    </row>
    <row r="368">
      <c r="A368" s="36">
        <v>34.0</v>
      </c>
      <c r="B368" s="36" t="s">
        <v>839</v>
      </c>
      <c r="C368" s="36" t="s">
        <v>843</v>
      </c>
      <c r="D368" s="37">
        <v>0.702380952380952</v>
      </c>
      <c r="E368" s="37">
        <v>0.819444444444444</v>
      </c>
      <c r="F368" s="37">
        <v>0.916666666666666</v>
      </c>
      <c r="G368" s="37">
        <v>-1.01190476190476</v>
      </c>
      <c r="H368" s="37">
        <v>0.0289115646258503</v>
      </c>
      <c r="I368" s="37">
        <v>1.04292929292929</v>
      </c>
      <c r="J368" s="37">
        <v>1.18681318681318</v>
      </c>
    </row>
    <row r="369">
      <c r="A369" s="33">
        <v>35.0</v>
      </c>
      <c r="B369" s="33" t="s">
        <v>1002</v>
      </c>
      <c r="C369" s="33" t="s">
        <v>840</v>
      </c>
      <c r="D369" s="34">
        <v>0.702380952380952</v>
      </c>
      <c r="E369" s="34">
        <v>0.819444444444444</v>
      </c>
      <c r="F369" s="34">
        <v>0.916666666666666</v>
      </c>
      <c r="G369" s="34">
        <v>-1.01190476190476</v>
      </c>
      <c r="H369" s="34">
        <v>-0.0221088435374149</v>
      </c>
      <c r="I369" s="34">
        <v>0.969483568075117</v>
      </c>
      <c r="J369" s="34">
        <v>0.857142857142857</v>
      </c>
    </row>
    <row r="370">
      <c r="A370" s="33">
        <v>36.0</v>
      </c>
      <c r="B370" s="33" t="s">
        <v>1002</v>
      </c>
      <c r="C370" s="33" t="s">
        <v>842</v>
      </c>
      <c r="D370" s="34">
        <v>0.702380952380952</v>
      </c>
      <c r="E370" s="34">
        <v>0.819444444444444</v>
      </c>
      <c r="F370" s="34">
        <v>0.916666666666666</v>
      </c>
      <c r="G370" s="34">
        <v>-1.01190476190476</v>
      </c>
      <c r="H370" s="34">
        <v>0.00850340136054417</v>
      </c>
      <c r="I370" s="34">
        <v>1.01225490196078</v>
      </c>
      <c r="J370" s="34">
        <v>1.05494505494505</v>
      </c>
    </row>
    <row r="371">
      <c r="A371" s="33">
        <v>37.0</v>
      </c>
      <c r="B371" s="33" t="s">
        <v>1003</v>
      </c>
      <c r="C371" s="33" t="s">
        <v>841</v>
      </c>
      <c r="D371" s="34">
        <v>0.702380952380952</v>
      </c>
      <c r="E371" s="34">
        <v>0.819444444444444</v>
      </c>
      <c r="F371" s="34">
        <v>0.916666666666666</v>
      </c>
      <c r="G371" s="34">
        <v>-1.01190476190476</v>
      </c>
      <c r="H371" s="34">
        <v>-0.0221088435374149</v>
      </c>
      <c r="I371" s="34">
        <v>0.969483568075117</v>
      </c>
      <c r="J371" s="34">
        <v>0.857142857142857</v>
      </c>
    </row>
    <row r="372">
      <c r="A372" s="33">
        <v>38.0</v>
      </c>
      <c r="B372" s="33" t="s">
        <v>1003</v>
      </c>
      <c r="C372" s="33" t="s">
        <v>842</v>
      </c>
      <c r="D372" s="34">
        <v>0.702380952380952</v>
      </c>
      <c r="E372" s="34">
        <v>0.819444444444444</v>
      </c>
      <c r="F372" s="34">
        <v>0.916666666666666</v>
      </c>
      <c r="G372" s="34">
        <v>-1.01190476190476</v>
      </c>
      <c r="H372" s="34">
        <v>0.00850340136054417</v>
      </c>
      <c r="I372" s="34">
        <v>1.01225490196078</v>
      </c>
      <c r="J372" s="34">
        <v>1.05494505494505</v>
      </c>
    </row>
    <row r="373">
      <c r="A373" s="33">
        <v>39.0</v>
      </c>
      <c r="B373" s="33" t="s">
        <v>839</v>
      </c>
      <c r="C373" s="33" t="s">
        <v>1005</v>
      </c>
      <c r="D373" s="34">
        <v>0.702380952380952</v>
      </c>
      <c r="E373" s="34">
        <v>0.819444444444444</v>
      </c>
      <c r="F373" s="34">
        <v>0.916666666666666</v>
      </c>
      <c r="G373" s="34">
        <v>-1.01190476190476</v>
      </c>
      <c r="H373" s="34">
        <v>0.00850340136054417</v>
      </c>
      <c r="I373" s="34">
        <v>1.01225490196078</v>
      </c>
      <c r="J373" s="34">
        <v>1.05494505494505</v>
      </c>
    </row>
    <row r="374">
      <c r="A374" s="33">
        <v>40.0</v>
      </c>
      <c r="B374" s="33" t="s">
        <v>839</v>
      </c>
      <c r="C374" s="33" t="s">
        <v>973</v>
      </c>
      <c r="D374" s="34">
        <v>0.702380952380952</v>
      </c>
      <c r="E374" s="34">
        <v>0.819444444444444</v>
      </c>
      <c r="F374" s="34">
        <v>0.916666666666666</v>
      </c>
      <c r="G374" s="34">
        <v>-1.01190476190476</v>
      </c>
      <c r="H374" s="34">
        <v>0.00850340136054417</v>
      </c>
      <c r="I374" s="34">
        <v>1.01225490196078</v>
      </c>
      <c r="J374" s="34">
        <v>1.05494505494505</v>
      </c>
    </row>
    <row r="375">
      <c r="A375" s="33">
        <v>41.0</v>
      </c>
      <c r="B375" s="33" t="s">
        <v>839</v>
      </c>
      <c r="C375" s="33" t="s">
        <v>988</v>
      </c>
      <c r="D375" s="34">
        <v>0.702380952380952</v>
      </c>
      <c r="E375" s="34">
        <v>0.819444444444444</v>
      </c>
      <c r="F375" s="34">
        <v>0.916666666666666</v>
      </c>
      <c r="G375" s="34">
        <v>-1.01190476190476</v>
      </c>
      <c r="H375" s="34">
        <v>-0.0221088435374149</v>
      </c>
      <c r="I375" s="34">
        <v>0.969483568075117</v>
      </c>
      <c r="J375" s="34">
        <v>0.857142857142857</v>
      </c>
    </row>
    <row r="376">
      <c r="A376" s="33">
        <v>42.0</v>
      </c>
      <c r="B376" s="33" t="s">
        <v>839</v>
      </c>
      <c r="C376" s="33" t="s">
        <v>974</v>
      </c>
      <c r="D376" s="34">
        <v>0.702380952380952</v>
      </c>
      <c r="E376" s="34">
        <v>0.819444444444444</v>
      </c>
      <c r="F376" s="34">
        <v>0.916666666666666</v>
      </c>
      <c r="G376" s="34">
        <v>-1.01190476190476</v>
      </c>
      <c r="H376" s="34">
        <v>0.0187074829931972</v>
      </c>
      <c r="I376" s="34">
        <v>1.0273631840796</v>
      </c>
      <c r="J376" s="34">
        <v>1.12087912087912</v>
      </c>
    </row>
    <row r="377">
      <c r="A377" s="33">
        <v>43.0</v>
      </c>
      <c r="B377" s="33" t="s">
        <v>1002</v>
      </c>
      <c r="C377" s="33" t="s">
        <v>965</v>
      </c>
      <c r="D377" s="34">
        <v>0.702380952380952</v>
      </c>
      <c r="E377" s="34">
        <v>0.819444444444444</v>
      </c>
      <c r="F377" s="34">
        <v>0.916666666666666</v>
      </c>
      <c r="G377" s="34">
        <v>-1.01190476190476</v>
      </c>
      <c r="H377" s="34">
        <v>0.0187074829931972</v>
      </c>
      <c r="I377" s="34">
        <v>1.0273631840796</v>
      </c>
      <c r="J377" s="34">
        <v>1.12087912087912</v>
      </c>
    </row>
    <row r="378">
      <c r="A378" s="33">
        <v>44.0</v>
      </c>
      <c r="B378" s="33" t="s">
        <v>1003</v>
      </c>
      <c r="C378" s="33" t="s">
        <v>990</v>
      </c>
      <c r="D378" s="34">
        <v>0.702380952380952</v>
      </c>
      <c r="E378" s="34">
        <v>0.819444444444444</v>
      </c>
      <c r="F378" s="34">
        <v>0.916666666666666</v>
      </c>
      <c r="G378" s="34">
        <v>-1.01190476190476</v>
      </c>
      <c r="H378" s="34">
        <v>-0.00170068027210879</v>
      </c>
      <c r="I378" s="34">
        <v>0.997584541062801</v>
      </c>
      <c r="J378" s="34">
        <v>0.989010989010989</v>
      </c>
    </row>
    <row r="379">
      <c r="A379" s="33">
        <v>45.0</v>
      </c>
      <c r="B379" s="33" t="s">
        <v>1002</v>
      </c>
      <c r="C379" s="33" t="s">
        <v>974</v>
      </c>
      <c r="D379" s="34">
        <v>0.702380952380952</v>
      </c>
      <c r="E379" s="34">
        <v>0.819444444444444</v>
      </c>
      <c r="F379" s="34">
        <v>0.916666666666666</v>
      </c>
      <c r="G379" s="34">
        <v>-1.01190476190476</v>
      </c>
      <c r="H379" s="34">
        <v>0.0187074829931972</v>
      </c>
      <c r="I379" s="34">
        <v>1.0273631840796</v>
      </c>
      <c r="J379" s="34">
        <v>1.12087912087912</v>
      </c>
    </row>
    <row r="380">
      <c r="A380" s="33">
        <v>46.0</v>
      </c>
      <c r="B380" s="33" t="s">
        <v>1004</v>
      </c>
      <c r="C380" s="33" t="s">
        <v>990</v>
      </c>
      <c r="D380" s="34">
        <v>0.702380952380952</v>
      </c>
      <c r="E380" s="34">
        <v>0.819444444444444</v>
      </c>
      <c r="F380" s="34">
        <v>0.916666666666666</v>
      </c>
      <c r="G380" s="34">
        <v>-1.01190476190476</v>
      </c>
      <c r="H380" s="34">
        <v>-0.00170068027210879</v>
      </c>
      <c r="I380" s="34">
        <v>0.997584541062801</v>
      </c>
      <c r="J380" s="34">
        <v>0.989010989010989</v>
      </c>
    </row>
    <row r="381">
      <c r="A381" s="33">
        <v>47.0</v>
      </c>
      <c r="B381" s="33" t="s">
        <v>1002</v>
      </c>
      <c r="C381" s="33" t="s">
        <v>963</v>
      </c>
      <c r="D381" s="34">
        <v>0.702380952380952</v>
      </c>
      <c r="E381" s="34">
        <v>0.819444444444444</v>
      </c>
      <c r="F381" s="34">
        <v>0.916666666666666</v>
      </c>
      <c r="G381" s="34">
        <v>-1.01190476190476</v>
      </c>
      <c r="H381" s="34">
        <v>0.00850340136054417</v>
      </c>
      <c r="I381" s="34">
        <v>1.01225490196078</v>
      </c>
      <c r="J381" s="34">
        <v>1.05494505494505</v>
      </c>
    </row>
    <row r="382">
      <c r="A382" s="33">
        <v>48.0</v>
      </c>
      <c r="B382" s="33" t="s">
        <v>1004</v>
      </c>
      <c r="C382" s="33" t="s">
        <v>964</v>
      </c>
      <c r="D382" s="34">
        <v>0.702380952380952</v>
      </c>
      <c r="E382" s="34">
        <v>0.819444444444444</v>
      </c>
      <c r="F382" s="34">
        <v>0.916666666666666</v>
      </c>
      <c r="G382" s="34">
        <v>-1.01190476190476</v>
      </c>
      <c r="H382" s="34">
        <v>0.0289115646258503</v>
      </c>
      <c r="I382" s="34">
        <v>1.04292929292929</v>
      </c>
      <c r="J382" s="34">
        <v>1.18681318681318</v>
      </c>
    </row>
    <row r="383">
      <c r="A383" s="33">
        <v>49.0</v>
      </c>
      <c r="B383" s="33" t="s">
        <v>839</v>
      </c>
      <c r="C383" s="33" t="s">
        <v>1010</v>
      </c>
      <c r="D383" s="34">
        <v>0.702380952380952</v>
      </c>
      <c r="E383" s="34">
        <v>0.819444444444444</v>
      </c>
      <c r="F383" s="34">
        <v>0.916666666666666</v>
      </c>
      <c r="G383" s="34">
        <v>-1.01190476190476</v>
      </c>
      <c r="H383" s="34">
        <v>0.0289115646258503</v>
      </c>
      <c r="I383" s="34">
        <v>1.04292929292929</v>
      </c>
      <c r="J383" s="34">
        <v>1.18681318681318</v>
      </c>
    </row>
    <row r="384">
      <c r="A384" s="33">
        <v>50.0</v>
      </c>
      <c r="B384" s="33" t="s">
        <v>1003</v>
      </c>
      <c r="C384" s="33" t="s">
        <v>963</v>
      </c>
      <c r="D384" s="34">
        <v>0.702380952380952</v>
      </c>
      <c r="E384" s="34">
        <v>0.819444444444444</v>
      </c>
      <c r="F384" s="34">
        <v>0.916666666666666</v>
      </c>
      <c r="G384" s="34">
        <v>-1.01190476190476</v>
      </c>
      <c r="H384" s="34">
        <v>0.00850340136054417</v>
      </c>
      <c r="I384" s="34">
        <v>1.01225490196078</v>
      </c>
      <c r="J384" s="34">
        <v>1.05494505494505</v>
      </c>
    </row>
    <row r="385">
      <c r="A385" s="33">
        <v>51.0</v>
      </c>
      <c r="B385" s="33" t="s">
        <v>1004</v>
      </c>
      <c r="C385" s="33" t="s">
        <v>957</v>
      </c>
      <c r="D385" s="34">
        <v>0.702380952380952</v>
      </c>
      <c r="E385" s="34">
        <v>0.819444444444444</v>
      </c>
      <c r="F385" s="34">
        <v>0.916666666666666</v>
      </c>
      <c r="G385" s="34">
        <v>-1.01190476190476</v>
      </c>
      <c r="H385" s="34">
        <v>0.0391156462585033</v>
      </c>
      <c r="I385" s="34">
        <v>1.05897435897435</v>
      </c>
      <c r="J385" s="34">
        <v>1.25274725274725</v>
      </c>
    </row>
    <row r="386">
      <c r="A386" s="33">
        <v>52.0</v>
      </c>
      <c r="B386" s="33" t="s">
        <v>839</v>
      </c>
      <c r="C386" s="33" t="s">
        <v>1011</v>
      </c>
      <c r="D386" s="34">
        <v>0.702380952380952</v>
      </c>
      <c r="E386" s="34">
        <v>0.819444444444444</v>
      </c>
      <c r="F386" s="34">
        <v>0.916666666666666</v>
      </c>
      <c r="G386" s="34">
        <v>-1.01190476190476</v>
      </c>
      <c r="H386" s="34">
        <v>0.0289115646258503</v>
      </c>
      <c r="I386" s="34">
        <v>1.04292929292929</v>
      </c>
      <c r="J386" s="34">
        <v>1.18681318681318</v>
      </c>
    </row>
    <row r="387">
      <c r="A387" s="33">
        <v>27.0</v>
      </c>
      <c r="B387" s="33" t="s">
        <v>837</v>
      </c>
      <c r="C387" s="33" t="s">
        <v>973</v>
      </c>
      <c r="D387" s="34">
        <v>0.75</v>
      </c>
      <c r="E387" s="34">
        <v>0.818181818181818</v>
      </c>
      <c r="F387" s="34">
        <v>0.913043478260869</v>
      </c>
      <c r="G387" s="34">
        <v>-1.08333333333333</v>
      </c>
      <c r="H387" s="34">
        <v>0.0079365079365079</v>
      </c>
      <c r="I387" s="34">
        <v>1.01069518716577</v>
      </c>
      <c r="J387" s="34">
        <v>1.04761904761904</v>
      </c>
    </row>
    <row r="388">
      <c r="A388" s="33">
        <v>28.0</v>
      </c>
      <c r="B388" s="33" t="s">
        <v>837</v>
      </c>
      <c r="C388" s="33" t="s">
        <v>972</v>
      </c>
      <c r="D388" s="34">
        <v>0.75</v>
      </c>
      <c r="E388" s="34">
        <v>0.818181818181818</v>
      </c>
      <c r="F388" s="34">
        <v>0.913043478260869</v>
      </c>
      <c r="G388" s="34">
        <v>-1.08333333333333</v>
      </c>
      <c r="H388" s="34">
        <v>-0.00297619047619046</v>
      </c>
      <c r="I388" s="34">
        <v>0.996047430830039</v>
      </c>
      <c r="J388" s="34">
        <v>0.982142857142857</v>
      </c>
    </row>
    <row r="389">
      <c r="A389" s="33">
        <v>29.0</v>
      </c>
      <c r="B389" s="33" t="s">
        <v>848</v>
      </c>
      <c r="C389" s="33" t="s">
        <v>973</v>
      </c>
      <c r="D389" s="34">
        <v>0.75</v>
      </c>
      <c r="E389" s="34">
        <v>0.818181818181818</v>
      </c>
      <c r="F389" s="34">
        <v>0.913043478260869</v>
      </c>
      <c r="G389" s="34">
        <v>-1.08333333333333</v>
      </c>
      <c r="H389" s="34">
        <v>0.0079365079365079</v>
      </c>
      <c r="I389" s="34">
        <v>1.01069518716577</v>
      </c>
      <c r="J389" s="34">
        <v>1.04761904761904</v>
      </c>
    </row>
    <row r="390">
      <c r="A390" s="33">
        <v>30.0</v>
      </c>
      <c r="B390" s="33" t="s">
        <v>837</v>
      </c>
      <c r="C390" s="33" t="s">
        <v>990</v>
      </c>
      <c r="D390" s="34">
        <v>0.75</v>
      </c>
      <c r="E390" s="34">
        <v>0.818181818181818</v>
      </c>
      <c r="F390" s="34">
        <v>0.913043478260869</v>
      </c>
      <c r="G390" s="34">
        <v>-1.08333333333333</v>
      </c>
      <c r="H390" s="34">
        <v>-0.00297619047619046</v>
      </c>
      <c r="I390" s="34">
        <v>0.996047430830039</v>
      </c>
      <c r="J390" s="34">
        <v>0.982142857142857</v>
      </c>
    </row>
    <row r="391">
      <c r="A391" s="33">
        <v>31.0</v>
      </c>
      <c r="B391" s="33" t="s">
        <v>848</v>
      </c>
      <c r="C391" s="33" t="s">
        <v>990</v>
      </c>
      <c r="D391" s="34">
        <v>0.75</v>
      </c>
      <c r="E391" s="34">
        <v>0.818181818181818</v>
      </c>
      <c r="F391" s="34">
        <v>0.913043478260869</v>
      </c>
      <c r="G391" s="34">
        <v>-1.08333333333333</v>
      </c>
      <c r="H391" s="34">
        <v>-0.00297619047619046</v>
      </c>
      <c r="I391" s="34">
        <v>0.996047430830039</v>
      </c>
      <c r="J391" s="34">
        <v>0.982142857142857</v>
      </c>
    </row>
    <row r="392">
      <c r="A392" s="33">
        <v>26.0</v>
      </c>
      <c r="B392" s="33" t="s">
        <v>836</v>
      </c>
      <c r="C392" s="33" t="s">
        <v>971</v>
      </c>
      <c r="D392" s="34">
        <v>0.714285714285714</v>
      </c>
      <c r="E392" s="34">
        <v>0.81081081081081</v>
      </c>
      <c r="F392" s="34">
        <v>0.911392405063291</v>
      </c>
      <c r="G392" s="34">
        <v>-1.04761904761904</v>
      </c>
      <c r="H392" s="34">
        <v>-0.0198412698412698</v>
      </c>
      <c r="I392" s="34">
        <v>0.972972972972973</v>
      </c>
      <c r="J392" s="34">
        <v>0.88095238095238</v>
      </c>
    </row>
    <row r="393">
      <c r="A393" s="33">
        <v>18.0</v>
      </c>
      <c r="B393" s="33" t="s">
        <v>835</v>
      </c>
      <c r="C393" s="33" t="s">
        <v>972</v>
      </c>
      <c r="D393" s="34">
        <v>0.702380952380952</v>
      </c>
      <c r="E393" s="34">
        <v>0.808219178082191</v>
      </c>
      <c r="F393" s="34">
        <v>0.910828025477706</v>
      </c>
      <c r="G393" s="34">
        <v>-1.03571428571428</v>
      </c>
      <c r="H393" s="34">
        <v>-0.0114795918367347</v>
      </c>
      <c r="I393" s="34">
        <v>0.983918999404407</v>
      </c>
      <c r="J393" s="34">
        <v>0.931122448979591</v>
      </c>
    </row>
    <row r="394">
      <c r="A394" s="33">
        <v>19.0</v>
      </c>
      <c r="B394" s="33" t="s">
        <v>835</v>
      </c>
      <c r="C394" s="33" t="s">
        <v>975</v>
      </c>
      <c r="D394" s="34">
        <v>0.702380952380952</v>
      </c>
      <c r="E394" s="34">
        <v>0.808219178082191</v>
      </c>
      <c r="F394" s="34">
        <v>0.910828025477706</v>
      </c>
      <c r="G394" s="34">
        <v>-1.03571428571428</v>
      </c>
      <c r="H394" s="34">
        <v>0.0299036281179136</v>
      </c>
      <c r="I394" s="34">
        <v>1.04446786090621</v>
      </c>
      <c r="J394" s="34">
        <v>1.17942176870748</v>
      </c>
    </row>
    <row r="395">
      <c r="A395" s="33">
        <v>20.0</v>
      </c>
      <c r="B395" s="33" t="s">
        <v>835</v>
      </c>
      <c r="C395" s="33" t="s">
        <v>1006</v>
      </c>
      <c r="D395" s="34">
        <v>0.702380952380952</v>
      </c>
      <c r="E395" s="34">
        <v>0.808219178082191</v>
      </c>
      <c r="F395" s="34">
        <v>0.910828025477706</v>
      </c>
      <c r="G395" s="34">
        <v>-1.03571428571428</v>
      </c>
      <c r="H395" s="34">
        <v>-0.00113378684807263</v>
      </c>
      <c r="I395" s="34">
        <v>0.998388396454472</v>
      </c>
      <c r="J395" s="34">
        <v>0.993197278911564</v>
      </c>
    </row>
    <row r="396">
      <c r="A396" s="33">
        <v>21.0</v>
      </c>
      <c r="B396" s="33" t="s">
        <v>835</v>
      </c>
      <c r="C396" s="33" t="s">
        <v>995</v>
      </c>
      <c r="D396" s="34">
        <v>0.702380952380952</v>
      </c>
      <c r="E396" s="34">
        <v>0.808219178082191</v>
      </c>
      <c r="F396" s="34">
        <v>0.910828025477706</v>
      </c>
      <c r="G396" s="34">
        <v>-1.03571428571428</v>
      </c>
      <c r="H396" s="34">
        <v>0.0299036281179136</v>
      </c>
      <c r="I396" s="34">
        <v>1.04446786090621</v>
      </c>
      <c r="J396" s="34">
        <v>1.17942176870748</v>
      </c>
    </row>
    <row r="397">
      <c r="A397" s="33">
        <v>22.0</v>
      </c>
      <c r="B397" s="33" t="s">
        <v>835</v>
      </c>
      <c r="C397" s="33" t="s">
        <v>963</v>
      </c>
      <c r="D397" s="34">
        <v>0.702380952380952</v>
      </c>
      <c r="E397" s="34">
        <v>0.808219178082191</v>
      </c>
      <c r="F397" s="34">
        <v>0.910828025477706</v>
      </c>
      <c r="G397" s="34">
        <v>-1.03571428571428</v>
      </c>
      <c r="H397" s="34">
        <v>-0.00113378684807263</v>
      </c>
      <c r="I397" s="34">
        <v>0.998388396454472</v>
      </c>
      <c r="J397" s="34">
        <v>0.993197278911564</v>
      </c>
    </row>
    <row r="398">
      <c r="A398" s="33">
        <v>23.0</v>
      </c>
      <c r="B398" s="33" t="s">
        <v>835</v>
      </c>
      <c r="C398" s="33" t="s">
        <v>993</v>
      </c>
      <c r="D398" s="34">
        <v>0.702380952380952</v>
      </c>
      <c r="E398" s="34">
        <v>0.808219178082191</v>
      </c>
      <c r="F398" s="34">
        <v>0.910828025477706</v>
      </c>
      <c r="G398" s="34">
        <v>-1.03571428571428</v>
      </c>
      <c r="H398" s="34">
        <v>0.0195578231292516</v>
      </c>
      <c r="I398" s="34">
        <v>1.02864259028642</v>
      </c>
      <c r="J398" s="34">
        <v>1.11734693877551</v>
      </c>
    </row>
    <row r="399">
      <c r="A399" s="33">
        <v>24.0</v>
      </c>
      <c r="B399" s="33" t="s">
        <v>835</v>
      </c>
      <c r="C399" s="33" t="s">
        <v>1009</v>
      </c>
      <c r="D399" s="34">
        <v>0.702380952380952</v>
      </c>
      <c r="E399" s="34">
        <v>0.808219178082191</v>
      </c>
      <c r="F399" s="34">
        <v>0.910828025477706</v>
      </c>
      <c r="G399" s="34">
        <v>-1.03571428571428</v>
      </c>
      <c r="H399" s="34">
        <v>0.0195578231292516</v>
      </c>
      <c r="I399" s="34">
        <v>1.02864259028642</v>
      </c>
      <c r="J399" s="34">
        <v>1.11734693877551</v>
      </c>
    </row>
    <row r="400">
      <c r="A400" s="33">
        <v>25.0</v>
      </c>
      <c r="B400" s="33" t="s">
        <v>835</v>
      </c>
      <c r="C400" s="33" t="s">
        <v>1010</v>
      </c>
      <c r="D400" s="34">
        <v>0.702380952380952</v>
      </c>
      <c r="E400" s="34">
        <v>0.808219178082191</v>
      </c>
      <c r="F400" s="34">
        <v>0.910828025477706</v>
      </c>
      <c r="G400" s="34">
        <v>-1.03571428571428</v>
      </c>
      <c r="H400" s="34">
        <v>0.0195578231292516</v>
      </c>
      <c r="I400" s="34">
        <v>1.02864259028642</v>
      </c>
      <c r="J400" s="34">
        <v>1.11734693877551</v>
      </c>
    </row>
    <row r="401">
      <c r="A401" s="33">
        <v>8.0</v>
      </c>
      <c r="B401" s="33" t="s">
        <v>826</v>
      </c>
      <c r="C401" s="33" t="s">
        <v>830</v>
      </c>
      <c r="D401" s="34">
        <v>0.75</v>
      </c>
      <c r="E401" s="34">
        <v>0.807692307692307</v>
      </c>
      <c r="F401" s="34">
        <v>0.907407407407407</v>
      </c>
      <c r="G401" s="34">
        <v>-1.10714285714285</v>
      </c>
      <c r="H401" s="34">
        <v>-0.0127551020408163</v>
      </c>
      <c r="I401" s="34">
        <v>0.983277591973244</v>
      </c>
      <c r="J401" s="34">
        <v>0.928571428571428</v>
      </c>
    </row>
    <row r="402">
      <c r="A402" s="36">
        <v>9.0</v>
      </c>
      <c r="B402" s="36" t="s">
        <v>825</v>
      </c>
      <c r="C402" s="36" t="s">
        <v>64</v>
      </c>
      <c r="D402" s="37">
        <v>0.75</v>
      </c>
      <c r="E402" s="37">
        <v>0.807692307692307</v>
      </c>
      <c r="F402" s="37">
        <v>0.907407407407407</v>
      </c>
      <c r="G402" s="37">
        <v>-1.10714285714285</v>
      </c>
      <c r="H402" s="37">
        <v>-0.0127551020408163</v>
      </c>
      <c r="I402" s="37">
        <v>0.983277591973244</v>
      </c>
      <c r="J402" s="37">
        <v>0.928571428571428</v>
      </c>
    </row>
    <row r="403">
      <c r="A403" s="33">
        <v>10.0</v>
      </c>
      <c r="B403" s="33" t="s">
        <v>825</v>
      </c>
      <c r="C403" s="33" t="s">
        <v>842</v>
      </c>
      <c r="D403" s="34">
        <v>0.75</v>
      </c>
      <c r="E403" s="34">
        <v>0.807692307692307</v>
      </c>
      <c r="F403" s="34">
        <v>0.907407407407407</v>
      </c>
      <c r="G403" s="34">
        <v>-1.10714285714285</v>
      </c>
      <c r="H403" s="34">
        <v>-0.0017006802721089</v>
      </c>
      <c r="I403" s="34">
        <v>0.997737556561086</v>
      </c>
      <c r="J403" s="34">
        <v>0.99047619047619</v>
      </c>
    </row>
    <row r="404">
      <c r="A404" s="33">
        <v>11.0</v>
      </c>
      <c r="B404" s="33" t="s">
        <v>826</v>
      </c>
      <c r="C404" s="33" t="s">
        <v>964</v>
      </c>
      <c r="D404" s="34">
        <v>0.75</v>
      </c>
      <c r="E404" s="34">
        <v>0.807692307692307</v>
      </c>
      <c r="F404" s="34">
        <v>0.907407407407407</v>
      </c>
      <c r="G404" s="34">
        <v>-1.10714285714285</v>
      </c>
      <c r="H404" s="34">
        <v>0.0204081632653061</v>
      </c>
      <c r="I404" s="34">
        <v>1.02797202797202</v>
      </c>
      <c r="J404" s="34">
        <v>1.11428571428571</v>
      </c>
    </row>
    <row r="405">
      <c r="A405" s="33">
        <v>12.0</v>
      </c>
      <c r="B405" s="33" t="s">
        <v>825</v>
      </c>
      <c r="C405" s="33" t="s">
        <v>972</v>
      </c>
      <c r="D405" s="34">
        <v>0.75</v>
      </c>
      <c r="E405" s="34">
        <v>0.807692307692307</v>
      </c>
      <c r="F405" s="34">
        <v>0.907407407407407</v>
      </c>
      <c r="G405" s="34">
        <v>-1.10714285714285</v>
      </c>
      <c r="H405" s="34">
        <v>-0.0127551020408163</v>
      </c>
      <c r="I405" s="34">
        <v>0.983277591973244</v>
      </c>
      <c r="J405" s="34">
        <v>0.928571428571428</v>
      </c>
    </row>
    <row r="406">
      <c r="A406" s="33">
        <v>13.0</v>
      </c>
      <c r="B406" s="33" t="s">
        <v>826</v>
      </c>
      <c r="C406" s="33" t="s">
        <v>965</v>
      </c>
      <c r="D406" s="34">
        <v>0.75</v>
      </c>
      <c r="E406" s="34">
        <v>0.807692307692307</v>
      </c>
      <c r="F406" s="34">
        <v>0.907407407407407</v>
      </c>
      <c r="G406" s="34">
        <v>-1.10714285714285</v>
      </c>
      <c r="H406" s="34">
        <v>0.00935374149659851</v>
      </c>
      <c r="I406" s="34">
        <v>1.01262916188289</v>
      </c>
      <c r="J406" s="34">
        <v>1.05238095238095</v>
      </c>
    </row>
    <row r="407">
      <c r="A407" s="33">
        <v>14.0</v>
      </c>
      <c r="B407" s="33" t="s">
        <v>826</v>
      </c>
      <c r="C407" s="33" t="s">
        <v>957</v>
      </c>
      <c r="D407" s="34">
        <v>0.75</v>
      </c>
      <c r="E407" s="34">
        <v>0.807692307692307</v>
      </c>
      <c r="F407" s="34">
        <v>0.907407407407407</v>
      </c>
      <c r="G407" s="34">
        <v>-1.10714285714285</v>
      </c>
      <c r="H407" s="34">
        <v>0.0314625850340135</v>
      </c>
      <c r="I407" s="34">
        <v>1.04378698224852</v>
      </c>
      <c r="J407" s="34">
        <v>1.17619047619047</v>
      </c>
    </row>
    <row r="408">
      <c r="A408" s="33">
        <v>15.0</v>
      </c>
      <c r="B408" s="33" t="s">
        <v>826</v>
      </c>
      <c r="C408" s="33" t="s">
        <v>974</v>
      </c>
      <c r="D408" s="34">
        <v>0.75</v>
      </c>
      <c r="E408" s="34">
        <v>0.807692307692307</v>
      </c>
      <c r="F408" s="34">
        <v>0.907407407407407</v>
      </c>
      <c r="G408" s="34">
        <v>-1.10714285714285</v>
      </c>
      <c r="H408" s="34">
        <v>0.00935374149659851</v>
      </c>
      <c r="I408" s="34">
        <v>1.01262916188289</v>
      </c>
      <c r="J408" s="34">
        <v>1.05238095238095</v>
      </c>
    </row>
    <row r="409">
      <c r="A409" s="33">
        <v>16.0</v>
      </c>
      <c r="B409" s="33" t="s">
        <v>825</v>
      </c>
      <c r="C409" s="33" t="s">
        <v>965</v>
      </c>
      <c r="D409" s="34">
        <v>0.75</v>
      </c>
      <c r="E409" s="34">
        <v>0.807692307692307</v>
      </c>
      <c r="F409" s="34">
        <v>0.907407407407407</v>
      </c>
      <c r="G409" s="34">
        <v>-1.10714285714285</v>
      </c>
      <c r="H409" s="34">
        <v>0.00935374149659851</v>
      </c>
      <c r="I409" s="34">
        <v>1.01262916188289</v>
      </c>
      <c r="J409" s="34">
        <v>1.05238095238095</v>
      </c>
    </row>
    <row r="410">
      <c r="A410" s="33">
        <v>17.0</v>
      </c>
      <c r="B410" s="33" t="s">
        <v>825</v>
      </c>
      <c r="C410" s="33" t="s">
        <v>974</v>
      </c>
      <c r="D410" s="34">
        <v>0.75</v>
      </c>
      <c r="E410" s="34">
        <v>0.807692307692307</v>
      </c>
      <c r="F410" s="34">
        <v>0.907407407407407</v>
      </c>
      <c r="G410" s="34">
        <v>-1.10714285714285</v>
      </c>
      <c r="H410" s="34">
        <v>0.00935374149659851</v>
      </c>
      <c r="I410" s="34">
        <v>1.01262916188289</v>
      </c>
      <c r="J410" s="34">
        <v>1.05238095238095</v>
      </c>
    </row>
    <row r="411">
      <c r="A411" s="33">
        <v>1.0</v>
      </c>
      <c r="B411" s="33" t="s">
        <v>837</v>
      </c>
      <c r="C411" s="33" t="s">
        <v>830</v>
      </c>
      <c r="D411" s="34">
        <v>0.738095238095238</v>
      </c>
      <c r="E411" s="34">
        <v>0.805194805194805</v>
      </c>
      <c r="F411" s="34">
        <v>0.906832298136646</v>
      </c>
      <c r="G411" s="34">
        <v>-1.09523809523809</v>
      </c>
      <c r="H411" s="34">
        <v>-0.0148809523809523</v>
      </c>
      <c r="I411" s="34">
        <v>0.980237154150197</v>
      </c>
      <c r="J411" s="34">
        <v>0.916666666666666</v>
      </c>
    </row>
    <row r="412">
      <c r="A412" s="33">
        <v>2.0</v>
      </c>
      <c r="B412" s="33" t="s">
        <v>837</v>
      </c>
      <c r="C412" s="33" t="s">
        <v>64</v>
      </c>
      <c r="D412" s="34">
        <v>0.738095238095238</v>
      </c>
      <c r="E412" s="34">
        <v>0.805194805194805</v>
      </c>
      <c r="F412" s="34">
        <v>0.906832298136646</v>
      </c>
      <c r="G412" s="34">
        <v>-1.09523809523809</v>
      </c>
      <c r="H412" s="34">
        <v>-0.0148809523809523</v>
      </c>
      <c r="I412" s="34">
        <v>0.980237154150197</v>
      </c>
      <c r="J412" s="34">
        <v>0.916666666666666</v>
      </c>
    </row>
    <row r="413">
      <c r="A413" s="36">
        <v>3.0</v>
      </c>
      <c r="B413" s="36" t="s">
        <v>837</v>
      </c>
      <c r="C413" s="36" t="s">
        <v>842</v>
      </c>
      <c r="D413" s="37">
        <v>0.738095238095238</v>
      </c>
      <c r="E413" s="37">
        <v>0.805194805194805</v>
      </c>
      <c r="F413" s="37">
        <v>0.906832298136646</v>
      </c>
      <c r="G413" s="37">
        <v>-1.09523809523809</v>
      </c>
      <c r="H413" s="37">
        <v>-0.00396825396825395</v>
      </c>
      <c r="I413" s="37">
        <v>0.994652406417112</v>
      </c>
      <c r="J413" s="37">
        <v>0.977777777777777</v>
      </c>
    </row>
    <row r="414">
      <c r="A414" s="33">
        <v>4.0</v>
      </c>
      <c r="B414" s="33" t="s">
        <v>848</v>
      </c>
      <c r="C414" s="33" t="s">
        <v>830</v>
      </c>
      <c r="D414" s="34">
        <v>0.738095238095238</v>
      </c>
      <c r="E414" s="34">
        <v>0.805194805194805</v>
      </c>
      <c r="F414" s="34">
        <v>0.906832298136646</v>
      </c>
      <c r="G414" s="34">
        <v>-1.09523809523809</v>
      </c>
      <c r="H414" s="34">
        <v>-0.0148809523809523</v>
      </c>
      <c r="I414" s="34">
        <v>0.980237154150197</v>
      </c>
      <c r="J414" s="34">
        <v>0.916666666666666</v>
      </c>
    </row>
    <row r="415">
      <c r="A415" s="33">
        <v>5.0</v>
      </c>
      <c r="B415" s="33" t="s">
        <v>837</v>
      </c>
      <c r="C415" s="33" t="s">
        <v>1005</v>
      </c>
      <c r="D415" s="34">
        <v>0.738095238095238</v>
      </c>
      <c r="E415" s="34">
        <v>0.805194805194805</v>
      </c>
      <c r="F415" s="34">
        <v>0.906832298136646</v>
      </c>
      <c r="G415" s="34">
        <v>-1.09523809523809</v>
      </c>
      <c r="H415" s="34">
        <v>-0.00396825396825395</v>
      </c>
      <c r="I415" s="34">
        <v>0.994652406417112</v>
      </c>
      <c r="J415" s="34">
        <v>0.977777777777777</v>
      </c>
    </row>
    <row r="416">
      <c r="A416" s="33">
        <v>6.0</v>
      </c>
      <c r="B416" s="33" t="s">
        <v>848</v>
      </c>
      <c r="C416" s="33" t="s">
        <v>1005</v>
      </c>
      <c r="D416" s="34">
        <v>0.738095238095238</v>
      </c>
      <c r="E416" s="34">
        <v>0.805194805194805</v>
      </c>
      <c r="F416" s="34">
        <v>0.906832298136646</v>
      </c>
      <c r="G416" s="34">
        <v>-1.09523809523809</v>
      </c>
      <c r="H416" s="34">
        <v>-0.00396825396825395</v>
      </c>
      <c r="I416" s="34">
        <v>0.994652406417112</v>
      </c>
      <c r="J416" s="34">
        <v>0.977777777777777</v>
      </c>
    </row>
    <row r="417">
      <c r="A417" s="33">
        <v>7.0</v>
      </c>
      <c r="B417" s="33" t="s">
        <v>848</v>
      </c>
      <c r="C417" s="33" t="s">
        <v>964</v>
      </c>
      <c r="D417" s="34">
        <v>0.738095238095238</v>
      </c>
      <c r="E417" s="34">
        <v>0.805194805194805</v>
      </c>
      <c r="F417" s="34">
        <v>0.906832298136646</v>
      </c>
      <c r="G417" s="34">
        <v>-1.09523809523809</v>
      </c>
      <c r="H417" s="34">
        <v>0.0178571428571429</v>
      </c>
      <c r="I417" s="34">
        <v>1.02479338842975</v>
      </c>
      <c r="J417" s="34">
        <v>1.1</v>
      </c>
    </row>
    <row r="418">
      <c r="D418" s="38"/>
      <c r="E418" s="38"/>
      <c r="F418" s="38"/>
      <c r="G418" s="38"/>
      <c r="H418" s="38"/>
      <c r="I418" s="38"/>
      <c r="J418" s="38"/>
    </row>
    <row r="419">
      <c r="D419" s="38"/>
      <c r="E419" s="38"/>
      <c r="F419" s="38"/>
      <c r="G419" s="38"/>
      <c r="H419" s="38"/>
      <c r="I419" s="38"/>
      <c r="J419" s="38"/>
    </row>
    <row r="420">
      <c r="D420" s="38"/>
      <c r="E420" s="38"/>
      <c r="F420" s="38"/>
      <c r="G420" s="38"/>
      <c r="H420" s="38"/>
      <c r="I420" s="38"/>
      <c r="J420" s="38"/>
    </row>
    <row r="421">
      <c r="D421" s="38"/>
      <c r="E421" s="38"/>
      <c r="F421" s="38"/>
      <c r="G421" s="38"/>
      <c r="H421" s="38"/>
      <c r="I421" s="38"/>
      <c r="J421" s="38"/>
    </row>
    <row r="422">
      <c r="D422" s="38"/>
      <c r="E422" s="38"/>
      <c r="F422" s="38"/>
      <c r="G422" s="38"/>
      <c r="H422" s="38"/>
      <c r="I422" s="38"/>
      <c r="J422" s="38"/>
    </row>
    <row r="423">
      <c r="D423" s="38"/>
      <c r="E423" s="38"/>
      <c r="F423" s="38"/>
      <c r="G423" s="38"/>
      <c r="H423" s="38"/>
      <c r="I423" s="38"/>
      <c r="J423" s="38"/>
    </row>
    <row r="424">
      <c r="D424" s="38"/>
      <c r="E424" s="38"/>
      <c r="F424" s="38"/>
      <c r="G424" s="38"/>
      <c r="H424" s="38"/>
      <c r="I424" s="38"/>
      <c r="J424" s="38"/>
    </row>
    <row r="425">
      <c r="D425" s="38"/>
      <c r="E425" s="38"/>
      <c r="F425" s="38"/>
      <c r="G425" s="38"/>
      <c r="H425" s="38"/>
      <c r="I425" s="38"/>
      <c r="J425" s="38"/>
    </row>
    <row r="426">
      <c r="D426" s="38"/>
      <c r="E426" s="38"/>
      <c r="F426" s="38"/>
      <c r="G426" s="38"/>
      <c r="H426" s="38"/>
      <c r="I426" s="38"/>
      <c r="J426" s="38"/>
    </row>
    <row r="427">
      <c r="D427" s="38"/>
      <c r="E427" s="38"/>
      <c r="F427" s="38"/>
      <c r="G427" s="38"/>
      <c r="H427" s="38"/>
      <c r="I427" s="38"/>
      <c r="J427" s="38"/>
    </row>
    <row r="428">
      <c r="D428" s="38"/>
      <c r="E428" s="38"/>
      <c r="F428" s="38"/>
      <c r="G428" s="38"/>
      <c r="H428" s="38"/>
      <c r="I428" s="38"/>
      <c r="J428" s="38"/>
    </row>
    <row r="429">
      <c r="D429" s="38"/>
      <c r="E429" s="38"/>
      <c r="F429" s="38"/>
      <c r="G429" s="38"/>
      <c r="H429" s="38"/>
      <c r="I429" s="38"/>
      <c r="J429" s="38"/>
    </row>
    <row r="430">
      <c r="D430" s="38"/>
      <c r="E430" s="38"/>
      <c r="F430" s="38"/>
      <c r="G430" s="38"/>
      <c r="H430" s="38"/>
      <c r="I430" s="38"/>
      <c r="J430" s="38"/>
    </row>
    <row r="431">
      <c r="D431" s="38"/>
      <c r="E431" s="38"/>
      <c r="F431" s="38"/>
      <c r="G431" s="38"/>
      <c r="H431" s="38"/>
      <c r="I431" s="38"/>
      <c r="J431" s="38"/>
    </row>
    <row r="432">
      <c r="D432" s="38"/>
      <c r="E432" s="38"/>
      <c r="F432" s="38"/>
      <c r="G432" s="38"/>
      <c r="H432" s="38"/>
      <c r="I432" s="38"/>
      <c r="J432" s="38"/>
    </row>
    <row r="433">
      <c r="D433" s="38"/>
      <c r="E433" s="38"/>
      <c r="F433" s="38"/>
      <c r="G433" s="38"/>
      <c r="H433" s="38"/>
      <c r="I433" s="38"/>
      <c r="J433" s="38"/>
    </row>
    <row r="434">
      <c r="D434" s="38"/>
      <c r="E434" s="38"/>
      <c r="F434" s="38"/>
      <c r="G434" s="38"/>
      <c r="H434" s="38"/>
      <c r="I434" s="38"/>
      <c r="J434" s="38"/>
    </row>
    <row r="435">
      <c r="D435" s="38"/>
      <c r="E435" s="38"/>
      <c r="F435" s="38"/>
      <c r="G435" s="38"/>
      <c r="H435" s="38"/>
      <c r="I435" s="38"/>
      <c r="J435" s="38"/>
    </row>
    <row r="436">
      <c r="D436" s="38"/>
      <c r="E436" s="38"/>
      <c r="F436" s="38"/>
      <c r="G436" s="38"/>
      <c r="H436" s="38"/>
      <c r="I436" s="38"/>
      <c r="J436" s="38"/>
    </row>
    <row r="437">
      <c r="D437" s="38"/>
      <c r="E437" s="38"/>
      <c r="F437" s="38"/>
      <c r="G437" s="38"/>
      <c r="H437" s="38"/>
      <c r="I437" s="38"/>
      <c r="J437" s="38"/>
    </row>
    <row r="438">
      <c r="D438" s="38"/>
      <c r="E438" s="38"/>
      <c r="F438" s="38"/>
      <c r="G438" s="38"/>
      <c r="H438" s="38"/>
      <c r="I438" s="38"/>
      <c r="J438" s="38"/>
    </row>
    <row r="439">
      <c r="D439" s="38"/>
      <c r="E439" s="38"/>
      <c r="F439" s="38"/>
      <c r="G439" s="38"/>
      <c r="H439" s="38"/>
      <c r="I439" s="38"/>
      <c r="J439" s="38"/>
    </row>
    <row r="440">
      <c r="D440" s="38"/>
      <c r="E440" s="38"/>
      <c r="F440" s="38"/>
      <c r="G440" s="38"/>
      <c r="H440" s="38"/>
      <c r="I440" s="38"/>
      <c r="J440" s="38"/>
    </row>
    <row r="441">
      <c r="D441" s="38"/>
      <c r="E441" s="38"/>
      <c r="F441" s="38"/>
      <c r="G441" s="38"/>
      <c r="H441" s="38"/>
      <c r="I441" s="38"/>
      <c r="J441" s="38"/>
    </row>
    <row r="442">
      <c r="D442" s="38"/>
      <c r="E442" s="38"/>
      <c r="F442" s="38"/>
      <c r="G442" s="38"/>
      <c r="H442" s="38"/>
      <c r="I442" s="38"/>
      <c r="J442" s="38"/>
    </row>
    <row r="443">
      <c r="D443" s="38"/>
      <c r="E443" s="38"/>
      <c r="F443" s="38"/>
      <c r="G443" s="38"/>
      <c r="H443" s="38"/>
      <c r="I443" s="38"/>
      <c r="J443" s="38"/>
    </row>
    <row r="444">
      <c r="D444" s="38"/>
      <c r="E444" s="38"/>
      <c r="F444" s="38"/>
      <c r="G444" s="38"/>
      <c r="H444" s="38"/>
      <c r="I444" s="38"/>
      <c r="J444" s="38"/>
    </row>
    <row r="445">
      <c r="D445" s="38"/>
      <c r="E445" s="38"/>
      <c r="F445" s="38"/>
      <c r="G445" s="38"/>
      <c r="H445" s="38"/>
      <c r="I445" s="38"/>
      <c r="J445" s="38"/>
    </row>
    <row r="446">
      <c r="D446" s="38"/>
      <c r="E446" s="38"/>
      <c r="F446" s="38"/>
      <c r="G446" s="38"/>
      <c r="H446" s="38"/>
      <c r="I446" s="38"/>
      <c r="J446" s="38"/>
    </row>
    <row r="447">
      <c r="D447" s="38"/>
      <c r="E447" s="38"/>
      <c r="F447" s="38"/>
      <c r="G447" s="38"/>
      <c r="H447" s="38"/>
      <c r="I447" s="38"/>
      <c r="J447" s="38"/>
    </row>
    <row r="448">
      <c r="D448" s="38"/>
      <c r="E448" s="38"/>
      <c r="F448" s="38"/>
      <c r="G448" s="38"/>
      <c r="H448" s="38"/>
      <c r="I448" s="38"/>
      <c r="J448" s="38"/>
    </row>
    <row r="449">
      <c r="D449" s="38"/>
      <c r="E449" s="38"/>
      <c r="F449" s="38"/>
      <c r="G449" s="38"/>
      <c r="H449" s="38"/>
      <c r="I449" s="38"/>
      <c r="J449" s="38"/>
    </row>
    <row r="450">
      <c r="D450" s="38"/>
      <c r="E450" s="38"/>
      <c r="F450" s="38"/>
      <c r="G450" s="38"/>
      <c r="H450" s="38"/>
      <c r="I450" s="38"/>
      <c r="J450" s="38"/>
    </row>
    <row r="451">
      <c r="D451" s="38"/>
      <c r="E451" s="38"/>
      <c r="F451" s="38"/>
      <c r="G451" s="38"/>
      <c r="H451" s="38"/>
      <c r="I451" s="38"/>
      <c r="J451" s="38"/>
    </row>
    <row r="452">
      <c r="D452" s="38"/>
      <c r="E452" s="38"/>
      <c r="F452" s="38"/>
      <c r="G452" s="38"/>
      <c r="H452" s="38"/>
      <c r="I452" s="38"/>
      <c r="J452" s="38"/>
    </row>
    <row r="453">
      <c r="D453" s="38"/>
      <c r="E453" s="38"/>
      <c r="F453" s="38"/>
      <c r="G453" s="38"/>
      <c r="H453" s="38"/>
      <c r="I453" s="38"/>
      <c r="J453" s="38"/>
    </row>
    <row r="454">
      <c r="D454" s="38"/>
      <c r="E454" s="38"/>
      <c r="F454" s="38"/>
      <c r="G454" s="38"/>
      <c r="H454" s="38"/>
      <c r="I454" s="38"/>
      <c r="J454" s="38"/>
    </row>
    <row r="455">
      <c r="D455" s="38"/>
      <c r="E455" s="38"/>
      <c r="F455" s="38"/>
      <c r="G455" s="38"/>
      <c r="H455" s="38"/>
      <c r="I455" s="38"/>
      <c r="J455" s="38"/>
    </row>
    <row r="456">
      <c r="D456" s="38"/>
      <c r="E456" s="38"/>
      <c r="F456" s="38"/>
      <c r="G456" s="38"/>
      <c r="H456" s="38"/>
      <c r="I456" s="38"/>
      <c r="J456" s="38"/>
    </row>
    <row r="457">
      <c r="D457" s="38"/>
      <c r="E457" s="38"/>
      <c r="F457" s="38"/>
      <c r="G457" s="38"/>
      <c r="H457" s="38"/>
      <c r="I457" s="38"/>
      <c r="J457" s="38"/>
    </row>
    <row r="458">
      <c r="D458" s="38"/>
      <c r="E458" s="38"/>
      <c r="F458" s="38"/>
      <c r="G458" s="38"/>
      <c r="H458" s="38"/>
      <c r="I458" s="38"/>
      <c r="J458" s="38"/>
    </row>
    <row r="459">
      <c r="D459" s="38"/>
      <c r="E459" s="38"/>
      <c r="F459" s="38"/>
      <c r="G459" s="38"/>
      <c r="H459" s="38"/>
      <c r="I459" s="38"/>
      <c r="J459" s="38"/>
    </row>
    <row r="460">
      <c r="D460" s="38"/>
      <c r="E460" s="38"/>
      <c r="F460" s="38"/>
      <c r="G460" s="38"/>
      <c r="H460" s="38"/>
      <c r="I460" s="38"/>
      <c r="J460" s="38"/>
    </row>
    <row r="461">
      <c r="D461" s="38"/>
      <c r="E461" s="38"/>
      <c r="F461" s="38"/>
      <c r="G461" s="38"/>
      <c r="H461" s="38"/>
      <c r="I461" s="38"/>
      <c r="J461" s="38"/>
    </row>
    <row r="462">
      <c r="D462" s="38"/>
      <c r="E462" s="38"/>
      <c r="F462" s="38"/>
      <c r="G462" s="38"/>
      <c r="H462" s="38"/>
      <c r="I462" s="38"/>
      <c r="J462" s="38"/>
    </row>
    <row r="463">
      <c r="D463" s="38"/>
      <c r="E463" s="38"/>
      <c r="F463" s="38"/>
      <c r="G463" s="38"/>
      <c r="H463" s="38"/>
      <c r="I463" s="38"/>
      <c r="J463" s="38"/>
    </row>
    <row r="464">
      <c r="D464" s="38"/>
      <c r="E464" s="38"/>
      <c r="F464" s="38"/>
      <c r="G464" s="38"/>
      <c r="H464" s="38"/>
      <c r="I464" s="38"/>
      <c r="J464" s="38"/>
    </row>
    <row r="465">
      <c r="D465" s="38"/>
      <c r="E465" s="38"/>
      <c r="F465" s="38"/>
      <c r="G465" s="38"/>
      <c r="H465" s="38"/>
      <c r="I465" s="38"/>
      <c r="J465" s="38"/>
    </row>
    <row r="466">
      <c r="D466" s="38"/>
      <c r="E466" s="38"/>
      <c r="F466" s="38"/>
      <c r="G466" s="38"/>
      <c r="H466" s="38"/>
      <c r="I466" s="38"/>
      <c r="J466" s="38"/>
    </row>
    <row r="467">
      <c r="D467" s="38"/>
      <c r="E467" s="38"/>
      <c r="F467" s="38"/>
      <c r="G467" s="38"/>
      <c r="H467" s="38"/>
      <c r="I467" s="38"/>
      <c r="J467" s="38"/>
    </row>
    <row r="468">
      <c r="D468" s="38"/>
      <c r="E468" s="38"/>
      <c r="F468" s="38"/>
      <c r="G468" s="38"/>
      <c r="H468" s="38"/>
      <c r="I468" s="38"/>
      <c r="J468" s="38"/>
    </row>
    <row r="469">
      <c r="D469" s="38"/>
      <c r="E469" s="38"/>
      <c r="F469" s="38"/>
      <c r="G469" s="38"/>
      <c r="H469" s="38"/>
      <c r="I469" s="38"/>
      <c r="J469" s="38"/>
    </row>
    <row r="470">
      <c r="D470" s="38"/>
      <c r="E470" s="38"/>
      <c r="F470" s="38"/>
      <c r="G470" s="38"/>
      <c r="H470" s="38"/>
      <c r="I470" s="38"/>
      <c r="J470" s="38"/>
    </row>
    <row r="471">
      <c r="D471" s="38"/>
      <c r="E471" s="38"/>
      <c r="F471" s="38"/>
      <c r="G471" s="38"/>
      <c r="H471" s="38"/>
      <c r="I471" s="38"/>
      <c r="J471" s="38"/>
    </row>
    <row r="472">
      <c r="D472" s="38"/>
      <c r="E472" s="38"/>
      <c r="F472" s="38"/>
      <c r="G472" s="38"/>
      <c r="H472" s="38"/>
      <c r="I472" s="38"/>
      <c r="J472" s="38"/>
    </row>
    <row r="473">
      <c r="D473" s="38"/>
      <c r="E473" s="38"/>
      <c r="F473" s="38"/>
      <c r="G473" s="38"/>
      <c r="H473" s="38"/>
      <c r="I473" s="38"/>
      <c r="J473" s="38"/>
    </row>
    <row r="474">
      <c r="D474" s="38"/>
      <c r="E474" s="38"/>
      <c r="F474" s="38"/>
      <c r="G474" s="38"/>
      <c r="H474" s="38"/>
      <c r="I474" s="38"/>
      <c r="J474" s="38"/>
    </row>
    <row r="475">
      <c r="D475" s="38"/>
      <c r="E475" s="38"/>
      <c r="F475" s="38"/>
      <c r="G475" s="38"/>
      <c r="H475" s="38"/>
      <c r="I475" s="38"/>
      <c r="J475" s="38"/>
    </row>
    <row r="476">
      <c r="D476" s="38"/>
      <c r="E476" s="38"/>
      <c r="F476" s="38"/>
      <c r="G476" s="38"/>
      <c r="H476" s="38"/>
      <c r="I476" s="38"/>
      <c r="J476" s="38"/>
    </row>
    <row r="477">
      <c r="D477" s="38"/>
      <c r="E477" s="38"/>
      <c r="F477" s="38"/>
      <c r="G477" s="38"/>
      <c r="H477" s="38"/>
      <c r="I477" s="38"/>
      <c r="J477" s="38"/>
    </row>
    <row r="478">
      <c r="D478" s="38"/>
      <c r="E478" s="38"/>
      <c r="F478" s="38"/>
      <c r="G478" s="38"/>
      <c r="H478" s="38"/>
      <c r="I478" s="38"/>
      <c r="J478" s="38"/>
    </row>
    <row r="479">
      <c r="D479" s="38"/>
      <c r="E479" s="38"/>
      <c r="F479" s="38"/>
      <c r="G479" s="38"/>
      <c r="H479" s="38"/>
      <c r="I479" s="38"/>
      <c r="J479" s="38"/>
    </row>
    <row r="480">
      <c r="D480" s="38"/>
      <c r="E480" s="38"/>
      <c r="F480" s="38"/>
      <c r="G480" s="38"/>
      <c r="H480" s="38"/>
      <c r="I480" s="38"/>
      <c r="J480" s="38"/>
    </row>
    <row r="481">
      <c r="D481" s="38"/>
      <c r="E481" s="38"/>
      <c r="F481" s="38"/>
      <c r="G481" s="38"/>
      <c r="H481" s="38"/>
      <c r="I481" s="38"/>
      <c r="J481" s="38"/>
    </row>
    <row r="482">
      <c r="D482" s="38"/>
      <c r="E482" s="38"/>
      <c r="F482" s="38"/>
      <c r="G482" s="38"/>
      <c r="H482" s="38"/>
      <c r="I482" s="38"/>
      <c r="J482" s="38"/>
    </row>
    <row r="483">
      <c r="D483" s="38"/>
      <c r="E483" s="38"/>
      <c r="F483" s="38"/>
      <c r="G483" s="38"/>
      <c r="H483" s="38"/>
      <c r="I483" s="38"/>
      <c r="J483" s="38"/>
    </row>
    <row r="484">
      <c r="D484" s="38"/>
      <c r="E484" s="38"/>
      <c r="F484" s="38"/>
      <c r="G484" s="38"/>
      <c r="H484" s="38"/>
      <c r="I484" s="38"/>
      <c r="J484" s="38"/>
    </row>
    <row r="485">
      <c r="D485" s="38"/>
      <c r="E485" s="38"/>
      <c r="F485" s="38"/>
      <c r="G485" s="38"/>
      <c r="H485" s="38"/>
      <c r="I485" s="38"/>
      <c r="J485" s="38"/>
    </row>
    <row r="486">
      <c r="D486" s="38"/>
      <c r="E486" s="38"/>
      <c r="F486" s="38"/>
      <c r="G486" s="38"/>
      <c r="H486" s="38"/>
      <c r="I486" s="38"/>
      <c r="J486" s="38"/>
    </row>
    <row r="487">
      <c r="D487" s="38"/>
      <c r="E487" s="38"/>
      <c r="F487" s="38"/>
      <c r="G487" s="38"/>
      <c r="H487" s="38"/>
      <c r="I487" s="38"/>
      <c r="J487" s="38"/>
    </row>
    <row r="488">
      <c r="D488" s="38"/>
      <c r="E488" s="38"/>
      <c r="F488" s="38"/>
      <c r="G488" s="38"/>
      <c r="H488" s="38"/>
      <c r="I488" s="38"/>
      <c r="J488" s="38"/>
    </row>
    <row r="489">
      <c r="D489" s="38"/>
      <c r="E489" s="38"/>
      <c r="F489" s="38"/>
      <c r="G489" s="38"/>
      <c r="H489" s="38"/>
      <c r="I489" s="38"/>
      <c r="J489" s="38"/>
    </row>
    <row r="490">
      <c r="D490" s="38"/>
      <c r="E490" s="38"/>
      <c r="F490" s="38"/>
      <c r="G490" s="38"/>
      <c r="H490" s="38"/>
      <c r="I490" s="38"/>
      <c r="J490" s="38"/>
    </row>
    <row r="491">
      <c r="D491" s="38"/>
      <c r="E491" s="38"/>
      <c r="F491" s="38"/>
      <c r="G491" s="38"/>
      <c r="H491" s="38"/>
      <c r="I491" s="38"/>
      <c r="J491" s="38"/>
    </row>
    <row r="492">
      <c r="D492" s="38"/>
      <c r="E492" s="38"/>
      <c r="F492" s="38"/>
      <c r="G492" s="38"/>
      <c r="H492" s="38"/>
      <c r="I492" s="38"/>
      <c r="J492" s="38"/>
    </row>
    <row r="493">
      <c r="D493" s="38"/>
      <c r="E493" s="38"/>
      <c r="F493" s="38"/>
      <c r="G493" s="38"/>
      <c r="H493" s="38"/>
      <c r="I493" s="38"/>
      <c r="J493" s="38"/>
    </row>
    <row r="494">
      <c r="D494" s="38"/>
      <c r="E494" s="38"/>
      <c r="F494" s="38"/>
      <c r="G494" s="38"/>
      <c r="H494" s="38"/>
      <c r="I494" s="38"/>
      <c r="J494" s="38"/>
    </row>
    <row r="495">
      <c r="D495" s="38"/>
      <c r="E495" s="38"/>
      <c r="F495" s="38"/>
      <c r="G495" s="38"/>
      <c r="H495" s="38"/>
      <c r="I495" s="38"/>
      <c r="J495" s="38"/>
    </row>
    <row r="496">
      <c r="D496" s="38"/>
      <c r="E496" s="38"/>
      <c r="F496" s="38"/>
      <c r="G496" s="38"/>
      <c r="H496" s="38"/>
      <c r="I496" s="38"/>
      <c r="J496" s="38"/>
    </row>
    <row r="497">
      <c r="D497" s="38"/>
      <c r="E497" s="38"/>
      <c r="F497" s="38"/>
      <c r="G497" s="38"/>
      <c r="H497" s="38"/>
      <c r="I497" s="38"/>
      <c r="J497" s="38"/>
    </row>
    <row r="498">
      <c r="D498" s="38"/>
      <c r="E498" s="38"/>
      <c r="F498" s="38"/>
      <c r="G498" s="38"/>
      <c r="H498" s="38"/>
      <c r="I498" s="38"/>
      <c r="J498" s="38"/>
    </row>
    <row r="499">
      <c r="D499" s="38"/>
      <c r="E499" s="38"/>
      <c r="F499" s="38"/>
      <c r="G499" s="38"/>
      <c r="H499" s="38"/>
      <c r="I499" s="38"/>
      <c r="J499" s="38"/>
    </row>
    <row r="500">
      <c r="D500" s="38"/>
      <c r="E500" s="38"/>
      <c r="F500" s="38"/>
      <c r="G500" s="38"/>
      <c r="H500" s="38"/>
      <c r="I500" s="38"/>
      <c r="J500" s="38"/>
    </row>
    <row r="501">
      <c r="D501" s="38"/>
      <c r="E501" s="38"/>
      <c r="F501" s="38"/>
      <c r="G501" s="38"/>
      <c r="H501" s="38"/>
      <c r="I501" s="38"/>
      <c r="J501" s="38"/>
    </row>
    <row r="502">
      <c r="D502" s="38"/>
      <c r="E502" s="38"/>
      <c r="F502" s="38"/>
      <c r="G502" s="38"/>
      <c r="H502" s="38"/>
      <c r="I502" s="38"/>
      <c r="J502" s="38"/>
    </row>
    <row r="503">
      <c r="D503" s="38"/>
      <c r="E503" s="38"/>
      <c r="F503" s="38"/>
      <c r="G503" s="38"/>
      <c r="H503" s="38"/>
      <c r="I503" s="38"/>
      <c r="J503" s="38"/>
    </row>
    <row r="504">
      <c r="D504" s="38"/>
      <c r="E504" s="38"/>
      <c r="F504" s="38"/>
      <c r="G504" s="38"/>
      <c r="H504" s="38"/>
      <c r="I504" s="38"/>
      <c r="J504" s="38"/>
    </row>
    <row r="505">
      <c r="D505" s="38"/>
      <c r="E505" s="38"/>
      <c r="F505" s="38"/>
      <c r="G505" s="38"/>
      <c r="H505" s="38"/>
      <c r="I505" s="38"/>
      <c r="J505" s="38"/>
    </row>
    <row r="506">
      <c r="D506" s="38"/>
      <c r="E506" s="38"/>
      <c r="F506" s="38"/>
      <c r="G506" s="38"/>
      <c r="H506" s="38"/>
      <c r="I506" s="38"/>
      <c r="J506" s="38"/>
    </row>
    <row r="507">
      <c r="D507" s="38"/>
      <c r="E507" s="38"/>
      <c r="F507" s="38"/>
      <c r="G507" s="38"/>
      <c r="H507" s="38"/>
      <c r="I507" s="38"/>
      <c r="J507" s="38"/>
    </row>
    <row r="508">
      <c r="D508" s="38"/>
      <c r="E508" s="38"/>
      <c r="F508" s="38"/>
      <c r="G508" s="38"/>
      <c r="H508" s="38"/>
      <c r="I508" s="38"/>
      <c r="J508" s="38"/>
    </row>
    <row r="509">
      <c r="D509" s="38"/>
      <c r="E509" s="38"/>
      <c r="F509" s="38"/>
      <c r="G509" s="38"/>
      <c r="H509" s="38"/>
      <c r="I509" s="38"/>
      <c r="J509" s="38"/>
    </row>
    <row r="510">
      <c r="D510" s="38"/>
      <c r="E510" s="38"/>
      <c r="F510" s="38"/>
      <c r="G510" s="38"/>
      <c r="H510" s="38"/>
      <c r="I510" s="38"/>
      <c r="J510" s="38"/>
    </row>
    <row r="511">
      <c r="D511" s="38"/>
      <c r="E511" s="38"/>
      <c r="F511" s="38"/>
      <c r="G511" s="38"/>
      <c r="H511" s="38"/>
      <c r="I511" s="38"/>
      <c r="J511" s="38"/>
    </row>
    <row r="512">
      <c r="D512" s="38"/>
      <c r="E512" s="38"/>
      <c r="F512" s="38"/>
      <c r="G512" s="38"/>
      <c r="H512" s="38"/>
      <c r="I512" s="38"/>
      <c r="J512" s="38"/>
    </row>
    <row r="513">
      <c r="D513" s="38"/>
      <c r="E513" s="38"/>
      <c r="F513" s="38"/>
      <c r="G513" s="38"/>
      <c r="H513" s="38"/>
      <c r="I513" s="38"/>
      <c r="J513" s="38"/>
    </row>
    <row r="514">
      <c r="D514" s="38"/>
      <c r="E514" s="38"/>
      <c r="F514" s="38"/>
      <c r="G514" s="38"/>
      <c r="H514" s="38"/>
      <c r="I514" s="38"/>
      <c r="J514" s="38"/>
    </row>
    <row r="515">
      <c r="D515" s="38"/>
      <c r="E515" s="38"/>
      <c r="F515" s="38"/>
      <c r="G515" s="38"/>
      <c r="H515" s="38"/>
      <c r="I515" s="38"/>
      <c r="J515" s="38"/>
    </row>
    <row r="516">
      <c r="D516" s="38"/>
      <c r="E516" s="38"/>
      <c r="F516" s="38"/>
      <c r="G516" s="38"/>
      <c r="H516" s="38"/>
      <c r="I516" s="38"/>
      <c r="J516" s="38"/>
    </row>
    <row r="517">
      <c r="D517" s="38"/>
      <c r="E517" s="38"/>
      <c r="F517" s="38"/>
      <c r="G517" s="38"/>
      <c r="H517" s="38"/>
      <c r="I517" s="38"/>
      <c r="J517" s="38"/>
    </row>
    <row r="518">
      <c r="D518" s="38"/>
      <c r="E518" s="38"/>
      <c r="F518" s="38"/>
      <c r="G518" s="38"/>
      <c r="H518" s="38"/>
      <c r="I518" s="38"/>
      <c r="J518" s="38"/>
    </row>
    <row r="519">
      <c r="D519" s="38"/>
      <c r="E519" s="38"/>
      <c r="F519" s="38"/>
      <c r="G519" s="38"/>
      <c r="H519" s="38"/>
      <c r="I519" s="38"/>
      <c r="J519" s="38"/>
    </row>
    <row r="520">
      <c r="D520" s="38"/>
      <c r="E520" s="38"/>
      <c r="F520" s="38"/>
      <c r="G520" s="38"/>
      <c r="H520" s="38"/>
      <c r="I520" s="38"/>
      <c r="J520" s="38"/>
    </row>
    <row r="521">
      <c r="D521" s="38"/>
      <c r="E521" s="38"/>
      <c r="F521" s="38"/>
      <c r="G521" s="38"/>
      <c r="H521" s="38"/>
      <c r="I521" s="38"/>
      <c r="J521" s="38"/>
    </row>
    <row r="522">
      <c r="D522" s="38"/>
      <c r="E522" s="38"/>
      <c r="F522" s="38"/>
      <c r="G522" s="38"/>
      <c r="H522" s="38"/>
      <c r="I522" s="38"/>
      <c r="J522" s="38"/>
    </row>
    <row r="523">
      <c r="D523" s="38"/>
      <c r="E523" s="38"/>
      <c r="F523" s="38"/>
      <c r="G523" s="38"/>
      <c r="H523" s="38"/>
      <c r="I523" s="38"/>
      <c r="J523" s="38"/>
    </row>
    <row r="524">
      <c r="D524" s="38"/>
      <c r="E524" s="38"/>
      <c r="F524" s="38"/>
      <c r="G524" s="38"/>
      <c r="H524" s="38"/>
      <c r="I524" s="38"/>
      <c r="J524" s="38"/>
    </row>
    <row r="525">
      <c r="D525" s="38"/>
      <c r="E525" s="38"/>
      <c r="F525" s="38"/>
      <c r="G525" s="38"/>
      <c r="H525" s="38"/>
      <c r="I525" s="38"/>
      <c r="J525" s="38"/>
    </row>
    <row r="526">
      <c r="D526" s="38"/>
      <c r="E526" s="38"/>
      <c r="F526" s="38"/>
      <c r="G526" s="38"/>
      <c r="H526" s="38"/>
      <c r="I526" s="38"/>
      <c r="J526" s="38"/>
    </row>
    <row r="527">
      <c r="D527" s="38"/>
      <c r="E527" s="38"/>
      <c r="F527" s="38"/>
      <c r="G527" s="38"/>
      <c r="H527" s="38"/>
      <c r="I527" s="38"/>
      <c r="J527" s="38"/>
    </row>
    <row r="528">
      <c r="D528" s="38"/>
      <c r="E528" s="38"/>
      <c r="F528" s="38"/>
      <c r="G528" s="38"/>
      <c r="H528" s="38"/>
      <c r="I528" s="38"/>
      <c r="J528" s="38"/>
    </row>
    <row r="529">
      <c r="D529" s="38"/>
      <c r="E529" s="38"/>
      <c r="F529" s="38"/>
      <c r="G529" s="38"/>
      <c r="H529" s="38"/>
      <c r="I529" s="38"/>
      <c r="J529" s="38"/>
    </row>
    <row r="530">
      <c r="D530" s="38"/>
      <c r="E530" s="38"/>
      <c r="F530" s="38"/>
      <c r="G530" s="38"/>
      <c r="H530" s="38"/>
      <c r="I530" s="38"/>
      <c r="J530" s="38"/>
    </row>
    <row r="531">
      <c r="D531" s="38"/>
      <c r="E531" s="38"/>
      <c r="F531" s="38"/>
      <c r="G531" s="38"/>
      <c r="H531" s="38"/>
      <c r="I531" s="38"/>
      <c r="J531" s="38"/>
    </row>
    <row r="532">
      <c r="D532" s="38"/>
      <c r="E532" s="38"/>
      <c r="F532" s="38"/>
      <c r="G532" s="38"/>
      <c r="H532" s="38"/>
      <c r="I532" s="38"/>
      <c r="J532" s="38"/>
    </row>
    <row r="533">
      <c r="D533" s="38"/>
      <c r="E533" s="38"/>
      <c r="F533" s="38"/>
      <c r="G533" s="38"/>
      <c r="H533" s="38"/>
      <c r="I533" s="38"/>
      <c r="J533" s="38"/>
    </row>
    <row r="534">
      <c r="D534" s="38"/>
      <c r="E534" s="38"/>
      <c r="F534" s="38"/>
      <c r="G534" s="38"/>
      <c r="H534" s="38"/>
      <c r="I534" s="38"/>
      <c r="J534" s="38"/>
    </row>
    <row r="535">
      <c r="D535" s="38"/>
      <c r="E535" s="38"/>
      <c r="F535" s="38"/>
      <c r="G535" s="38"/>
      <c r="H535" s="38"/>
      <c r="I535" s="38"/>
      <c r="J535" s="38"/>
    </row>
    <row r="536">
      <c r="D536" s="38"/>
      <c r="E536" s="38"/>
      <c r="F536" s="38"/>
      <c r="G536" s="38"/>
      <c r="H536" s="38"/>
      <c r="I536" s="38"/>
      <c r="J536" s="38"/>
    </row>
    <row r="537">
      <c r="D537" s="38"/>
      <c r="E537" s="38"/>
      <c r="F537" s="38"/>
      <c r="G537" s="38"/>
      <c r="H537" s="38"/>
      <c r="I537" s="38"/>
      <c r="J537" s="38"/>
    </row>
    <row r="538">
      <c r="D538" s="38"/>
      <c r="E538" s="38"/>
      <c r="F538" s="38"/>
      <c r="G538" s="38"/>
      <c r="H538" s="38"/>
      <c r="I538" s="38"/>
      <c r="J538" s="38"/>
    </row>
    <row r="539">
      <c r="D539" s="38"/>
      <c r="E539" s="38"/>
      <c r="F539" s="38"/>
      <c r="G539" s="38"/>
      <c r="H539" s="38"/>
      <c r="I539" s="38"/>
      <c r="J539" s="38"/>
    </row>
    <row r="540">
      <c r="D540" s="38"/>
      <c r="E540" s="38"/>
      <c r="F540" s="38"/>
      <c r="G540" s="38"/>
      <c r="H540" s="38"/>
      <c r="I540" s="38"/>
      <c r="J540" s="38"/>
    </row>
    <row r="541">
      <c r="D541" s="38"/>
      <c r="E541" s="38"/>
      <c r="F541" s="38"/>
      <c r="G541" s="38"/>
      <c r="H541" s="38"/>
      <c r="I541" s="38"/>
      <c r="J541" s="38"/>
    </row>
    <row r="542">
      <c r="D542" s="38"/>
      <c r="E542" s="38"/>
      <c r="F542" s="38"/>
      <c r="G542" s="38"/>
      <c r="H542" s="38"/>
      <c r="I542" s="38"/>
      <c r="J542" s="38"/>
    </row>
    <row r="543">
      <c r="D543" s="38"/>
      <c r="E543" s="38"/>
      <c r="F543" s="38"/>
      <c r="G543" s="38"/>
      <c r="H543" s="38"/>
      <c r="I543" s="38"/>
      <c r="J543" s="38"/>
    </row>
    <row r="544">
      <c r="D544" s="38"/>
      <c r="E544" s="38"/>
      <c r="F544" s="38"/>
      <c r="G544" s="38"/>
      <c r="H544" s="38"/>
      <c r="I544" s="38"/>
      <c r="J544" s="38"/>
    </row>
    <row r="545">
      <c r="D545" s="38"/>
      <c r="E545" s="38"/>
      <c r="F545" s="38"/>
      <c r="G545" s="38"/>
      <c r="H545" s="38"/>
      <c r="I545" s="38"/>
      <c r="J545" s="38"/>
    </row>
    <row r="546">
      <c r="D546" s="38"/>
      <c r="E546" s="38"/>
      <c r="F546" s="38"/>
      <c r="G546" s="38"/>
      <c r="H546" s="38"/>
      <c r="I546" s="38"/>
      <c r="J546" s="38"/>
    </row>
    <row r="547">
      <c r="D547" s="38"/>
      <c r="E547" s="38"/>
      <c r="F547" s="38"/>
      <c r="G547" s="38"/>
      <c r="H547" s="38"/>
      <c r="I547" s="38"/>
      <c r="J547" s="38"/>
    </row>
    <row r="548">
      <c r="D548" s="38"/>
      <c r="E548" s="38"/>
      <c r="F548" s="38"/>
      <c r="G548" s="38"/>
      <c r="H548" s="38"/>
      <c r="I548" s="38"/>
      <c r="J548" s="38"/>
    </row>
    <row r="549">
      <c r="D549" s="38"/>
      <c r="E549" s="38"/>
      <c r="F549" s="38"/>
      <c r="G549" s="38"/>
      <c r="H549" s="38"/>
      <c r="I549" s="38"/>
      <c r="J549" s="38"/>
    </row>
    <row r="550">
      <c r="D550" s="38"/>
      <c r="E550" s="38"/>
      <c r="F550" s="38"/>
      <c r="G550" s="38"/>
      <c r="H550" s="38"/>
      <c r="I550" s="38"/>
      <c r="J550" s="38"/>
    </row>
    <row r="551">
      <c r="D551" s="38"/>
      <c r="E551" s="38"/>
      <c r="F551" s="38"/>
      <c r="G551" s="38"/>
      <c r="H551" s="38"/>
      <c r="I551" s="38"/>
      <c r="J551" s="38"/>
    </row>
    <row r="552">
      <c r="D552" s="38"/>
      <c r="E552" s="38"/>
      <c r="F552" s="38"/>
      <c r="G552" s="38"/>
      <c r="H552" s="38"/>
      <c r="I552" s="38"/>
      <c r="J552" s="38"/>
    </row>
    <row r="553">
      <c r="D553" s="38"/>
      <c r="E553" s="38"/>
      <c r="F553" s="38"/>
      <c r="G553" s="38"/>
      <c r="H553" s="38"/>
      <c r="I553" s="38"/>
      <c r="J553" s="38"/>
    </row>
    <row r="554">
      <c r="D554" s="38"/>
      <c r="E554" s="38"/>
      <c r="F554" s="38"/>
      <c r="G554" s="38"/>
      <c r="H554" s="38"/>
      <c r="I554" s="38"/>
      <c r="J554" s="38"/>
    </row>
    <row r="555">
      <c r="D555" s="38"/>
      <c r="E555" s="38"/>
      <c r="F555" s="38"/>
      <c r="G555" s="38"/>
      <c r="H555" s="38"/>
      <c r="I555" s="38"/>
      <c r="J555" s="38"/>
    </row>
    <row r="556">
      <c r="D556" s="38"/>
      <c r="E556" s="38"/>
      <c r="F556" s="38"/>
      <c r="G556" s="38"/>
      <c r="H556" s="38"/>
      <c r="I556" s="38"/>
      <c r="J556" s="38"/>
    </row>
    <row r="557">
      <c r="D557" s="38"/>
      <c r="E557" s="38"/>
      <c r="F557" s="38"/>
      <c r="G557" s="38"/>
      <c r="H557" s="38"/>
      <c r="I557" s="38"/>
      <c r="J557" s="38"/>
    </row>
    <row r="558">
      <c r="D558" s="38"/>
      <c r="E558" s="38"/>
      <c r="F558" s="38"/>
      <c r="G558" s="38"/>
      <c r="H558" s="38"/>
      <c r="I558" s="38"/>
      <c r="J558" s="38"/>
    </row>
    <row r="559">
      <c r="D559" s="38"/>
      <c r="E559" s="38"/>
      <c r="F559" s="38"/>
      <c r="G559" s="38"/>
      <c r="H559" s="38"/>
      <c r="I559" s="38"/>
      <c r="J559" s="38"/>
    </row>
    <row r="560">
      <c r="D560" s="38"/>
      <c r="E560" s="38"/>
      <c r="F560" s="38"/>
      <c r="G560" s="38"/>
      <c r="H560" s="38"/>
      <c r="I560" s="38"/>
      <c r="J560" s="38"/>
    </row>
    <row r="561">
      <c r="D561" s="38"/>
      <c r="E561" s="38"/>
      <c r="F561" s="38"/>
      <c r="G561" s="38"/>
      <c r="H561" s="38"/>
      <c r="I561" s="38"/>
      <c r="J561" s="38"/>
    </row>
    <row r="562">
      <c r="D562" s="38"/>
      <c r="E562" s="38"/>
      <c r="F562" s="38"/>
      <c r="G562" s="38"/>
      <c r="H562" s="38"/>
      <c r="I562" s="38"/>
      <c r="J562" s="38"/>
    </row>
    <row r="563">
      <c r="D563" s="38"/>
      <c r="E563" s="38"/>
      <c r="F563" s="38"/>
      <c r="G563" s="38"/>
      <c r="H563" s="38"/>
      <c r="I563" s="38"/>
      <c r="J563" s="38"/>
    </row>
    <row r="564">
      <c r="D564" s="38"/>
      <c r="E564" s="38"/>
      <c r="F564" s="38"/>
      <c r="G564" s="38"/>
      <c r="H564" s="38"/>
      <c r="I564" s="38"/>
      <c r="J564" s="38"/>
    </row>
    <row r="565">
      <c r="D565" s="38"/>
      <c r="E565" s="38"/>
      <c r="F565" s="38"/>
      <c r="G565" s="38"/>
      <c r="H565" s="38"/>
      <c r="I565" s="38"/>
      <c r="J565" s="38"/>
    </row>
    <row r="566">
      <c r="D566" s="38"/>
      <c r="E566" s="38"/>
      <c r="F566" s="38"/>
      <c r="G566" s="38"/>
      <c r="H566" s="38"/>
      <c r="I566" s="38"/>
      <c r="J566" s="38"/>
    </row>
    <row r="567">
      <c r="D567" s="38"/>
      <c r="E567" s="38"/>
      <c r="F567" s="38"/>
      <c r="G567" s="38"/>
      <c r="H567" s="38"/>
      <c r="I567" s="38"/>
      <c r="J567" s="38"/>
    </row>
    <row r="568">
      <c r="D568" s="38"/>
      <c r="E568" s="38"/>
      <c r="F568" s="38"/>
      <c r="G568" s="38"/>
      <c r="H568" s="38"/>
      <c r="I568" s="38"/>
      <c r="J568" s="38"/>
    </row>
    <row r="569">
      <c r="D569" s="38"/>
      <c r="E569" s="38"/>
      <c r="F569" s="38"/>
      <c r="G569" s="38"/>
      <c r="H569" s="38"/>
      <c r="I569" s="38"/>
      <c r="J569" s="38"/>
    </row>
    <row r="570">
      <c r="D570" s="38"/>
      <c r="E570" s="38"/>
      <c r="F570" s="38"/>
      <c r="G570" s="38"/>
      <c r="H570" s="38"/>
      <c r="I570" s="38"/>
      <c r="J570" s="38"/>
    </row>
    <row r="571">
      <c r="D571" s="38"/>
      <c r="E571" s="38"/>
      <c r="F571" s="38"/>
      <c r="G571" s="38"/>
      <c r="H571" s="38"/>
      <c r="I571" s="38"/>
      <c r="J571" s="38"/>
    </row>
    <row r="572">
      <c r="D572" s="38"/>
      <c r="E572" s="38"/>
      <c r="F572" s="38"/>
      <c r="G572" s="38"/>
      <c r="H572" s="38"/>
      <c r="I572" s="38"/>
      <c r="J572" s="38"/>
    </row>
    <row r="573">
      <c r="D573" s="38"/>
      <c r="E573" s="38"/>
      <c r="F573" s="38"/>
      <c r="G573" s="38"/>
      <c r="H573" s="38"/>
      <c r="I573" s="38"/>
      <c r="J573" s="38"/>
    </row>
    <row r="574">
      <c r="D574" s="38"/>
      <c r="E574" s="38"/>
      <c r="F574" s="38"/>
      <c r="G574" s="38"/>
      <c r="H574" s="38"/>
      <c r="I574" s="38"/>
      <c r="J574" s="38"/>
    </row>
    <row r="575">
      <c r="D575" s="38"/>
      <c r="E575" s="38"/>
      <c r="F575" s="38"/>
      <c r="G575" s="38"/>
      <c r="H575" s="38"/>
      <c r="I575" s="38"/>
      <c r="J575" s="38"/>
    </row>
    <row r="576">
      <c r="D576" s="38"/>
      <c r="E576" s="38"/>
      <c r="F576" s="38"/>
      <c r="G576" s="38"/>
      <c r="H576" s="38"/>
      <c r="I576" s="38"/>
      <c r="J576" s="38"/>
    </row>
    <row r="577">
      <c r="D577" s="38"/>
      <c r="E577" s="38"/>
      <c r="F577" s="38"/>
      <c r="G577" s="38"/>
      <c r="H577" s="38"/>
      <c r="I577" s="38"/>
      <c r="J577" s="38"/>
    </row>
    <row r="578">
      <c r="D578" s="38"/>
      <c r="E578" s="38"/>
      <c r="F578" s="38"/>
      <c r="G578" s="38"/>
      <c r="H578" s="38"/>
      <c r="I578" s="38"/>
      <c r="J578" s="38"/>
    </row>
    <row r="579">
      <c r="D579" s="38"/>
      <c r="E579" s="38"/>
      <c r="F579" s="38"/>
      <c r="G579" s="38"/>
      <c r="H579" s="38"/>
      <c r="I579" s="38"/>
      <c r="J579" s="38"/>
    </row>
    <row r="580">
      <c r="D580" s="38"/>
      <c r="E580" s="38"/>
      <c r="F580" s="38"/>
      <c r="G580" s="38"/>
      <c r="H580" s="38"/>
      <c r="I580" s="38"/>
      <c r="J580" s="38"/>
    </row>
    <row r="581">
      <c r="D581" s="38"/>
      <c r="E581" s="38"/>
      <c r="F581" s="38"/>
      <c r="G581" s="38"/>
      <c r="H581" s="38"/>
      <c r="I581" s="38"/>
      <c r="J581" s="38"/>
    </row>
    <row r="582">
      <c r="D582" s="38"/>
      <c r="E582" s="38"/>
      <c r="F582" s="38"/>
      <c r="G582" s="38"/>
      <c r="H582" s="38"/>
      <c r="I582" s="38"/>
      <c r="J582" s="38"/>
    </row>
    <row r="583">
      <c r="D583" s="38"/>
      <c r="E583" s="38"/>
      <c r="F583" s="38"/>
      <c r="G583" s="38"/>
      <c r="H583" s="38"/>
      <c r="I583" s="38"/>
      <c r="J583" s="38"/>
    </row>
    <row r="584">
      <c r="D584" s="38"/>
      <c r="E584" s="38"/>
      <c r="F584" s="38"/>
      <c r="G584" s="38"/>
      <c r="H584" s="38"/>
      <c r="I584" s="38"/>
      <c r="J584" s="38"/>
    </row>
    <row r="585">
      <c r="D585" s="38"/>
      <c r="E585" s="38"/>
      <c r="F585" s="38"/>
      <c r="G585" s="38"/>
      <c r="H585" s="38"/>
      <c r="I585" s="38"/>
      <c r="J585" s="38"/>
    </row>
    <row r="586">
      <c r="D586" s="38"/>
      <c r="E586" s="38"/>
      <c r="F586" s="38"/>
      <c r="G586" s="38"/>
      <c r="H586" s="38"/>
      <c r="I586" s="38"/>
      <c r="J586" s="38"/>
    </row>
    <row r="587">
      <c r="D587" s="38"/>
      <c r="E587" s="38"/>
      <c r="F587" s="38"/>
      <c r="G587" s="38"/>
      <c r="H587" s="38"/>
      <c r="I587" s="38"/>
      <c r="J587" s="38"/>
    </row>
    <row r="588">
      <c r="D588" s="38"/>
      <c r="E588" s="38"/>
      <c r="F588" s="38"/>
      <c r="G588" s="38"/>
      <c r="H588" s="38"/>
      <c r="I588" s="38"/>
      <c r="J588" s="38"/>
    </row>
    <row r="589">
      <c r="D589" s="38"/>
      <c r="E589" s="38"/>
      <c r="F589" s="38"/>
      <c r="G589" s="38"/>
      <c r="H589" s="38"/>
      <c r="I589" s="38"/>
      <c r="J589" s="38"/>
    </row>
    <row r="590">
      <c r="D590" s="38"/>
      <c r="E590" s="38"/>
      <c r="F590" s="38"/>
      <c r="G590" s="38"/>
      <c r="H590" s="38"/>
      <c r="I590" s="38"/>
      <c r="J590" s="38"/>
    </row>
    <row r="591">
      <c r="D591" s="38"/>
      <c r="E591" s="38"/>
      <c r="F591" s="38"/>
      <c r="G591" s="38"/>
      <c r="H591" s="38"/>
      <c r="I591" s="38"/>
      <c r="J591" s="38"/>
    </row>
    <row r="592">
      <c r="D592" s="38"/>
      <c r="E592" s="38"/>
      <c r="F592" s="38"/>
      <c r="G592" s="38"/>
      <c r="H592" s="38"/>
      <c r="I592" s="38"/>
      <c r="J592" s="38"/>
    </row>
    <row r="593">
      <c r="D593" s="38"/>
      <c r="E593" s="38"/>
      <c r="F593" s="38"/>
      <c r="G593" s="38"/>
      <c r="H593" s="38"/>
      <c r="I593" s="38"/>
      <c r="J593" s="38"/>
    </row>
    <row r="594">
      <c r="D594" s="38"/>
      <c r="E594" s="38"/>
      <c r="F594" s="38"/>
      <c r="G594" s="38"/>
      <c r="H594" s="38"/>
      <c r="I594" s="38"/>
      <c r="J594" s="38"/>
    </row>
    <row r="595">
      <c r="D595" s="38"/>
      <c r="E595" s="38"/>
      <c r="F595" s="38"/>
      <c r="G595" s="38"/>
      <c r="H595" s="38"/>
      <c r="I595" s="38"/>
      <c r="J595" s="38"/>
    </row>
    <row r="596">
      <c r="D596" s="38"/>
      <c r="E596" s="38"/>
      <c r="F596" s="38"/>
      <c r="G596" s="38"/>
      <c r="H596" s="38"/>
      <c r="I596" s="38"/>
      <c r="J596" s="38"/>
    </row>
    <row r="597">
      <c r="D597" s="38"/>
      <c r="E597" s="38"/>
      <c r="F597" s="38"/>
      <c r="G597" s="38"/>
      <c r="H597" s="38"/>
      <c r="I597" s="38"/>
      <c r="J597" s="38"/>
    </row>
    <row r="598">
      <c r="D598" s="38"/>
      <c r="E598" s="38"/>
      <c r="F598" s="38"/>
      <c r="G598" s="38"/>
      <c r="H598" s="38"/>
      <c r="I598" s="38"/>
      <c r="J598" s="38"/>
    </row>
    <row r="599">
      <c r="D599" s="38"/>
      <c r="E599" s="38"/>
      <c r="F599" s="38"/>
      <c r="G599" s="38"/>
      <c r="H599" s="38"/>
      <c r="I599" s="38"/>
      <c r="J599" s="38"/>
    </row>
    <row r="600">
      <c r="D600" s="38"/>
      <c r="E600" s="38"/>
      <c r="F600" s="38"/>
      <c r="G600" s="38"/>
      <c r="H600" s="38"/>
      <c r="I600" s="38"/>
      <c r="J600" s="38"/>
    </row>
    <row r="601">
      <c r="D601" s="38"/>
      <c r="E601" s="38"/>
      <c r="F601" s="38"/>
      <c r="G601" s="38"/>
      <c r="H601" s="38"/>
      <c r="I601" s="38"/>
      <c r="J601" s="38"/>
    </row>
    <row r="602">
      <c r="D602" s="38"/>
      <c r="E602" s="38"/>
      <c r="F602" s="38"/>
      <c r="G602" s="38"/>
      <c r="H602" s="38"/>
      <c r="I602" s="38"/>
      <c r="J602" s="38"/>
    </row>
    <row r="603">
      <c r="D603" s="38"/>
      <c r="E603" s="38"/>
      <c r="F603" s="38"/>
      <c r="G603" s="38"/>
      <c r="H603" s="38"/>
      <c r="I603" s="38"/>
      <c r="J603" s="38"/>
    </row>
    <row r="604">
      <c r="D604" s="38"/>
      <c r="E604" s="38"/>
      <c r="F604" s="38"/>
      <c r="G604" s="38"/>
      <c r="H604" s="38"/>
      <c r="I604" s="38"/>
      <c r="J604" s="38"/>
    </row>
    <row r="605">
      <c r="D605" s="38"/>
      <c r="E605" s="38"/>
      <c r="F605" s="38"/>
      <c r="G605" s="38"/>
      <c r="H605" s="38"/>
      <c r="I605" s="38"/>
      <c r="J605" s="38"/>
    </row>
    <row r="606">
      <c r="D606" s="38"/>
      <c r="E606" s="38"/>
      <c r="F606" s="38"/>
      <c r="G606" s="38"/>
      <c r="H606" s="38"/>
      <c r="I606" s="38"/>
      <c r="J606" s="38"/>
    </row>
    <row r="607">
      <c r="D607" s="38"/>
      <c r="E607" s="38"/>
      <c r="F607" s="38"/>
      <c r="G607" s="38"/>
      <c r="H607" s="38"/>
      <c r="I607" s="38"/>
      <c r="J607" s="38"/>
    </row>
    <row r="608">
      <c r="D608" s="38"/>
      <c r="E608" s="38"/>
      <c r="F608" s="38"/>
      <c r="G608" s="38"/>
      <c r="H608" s="38"/>
      <c r="I608" s="38"/>
      <c r="J608" s="38"/>
    </row>
    <row r="609">
      <c r="D609" s="38"/>
      <c r="E609" s="38"/>
      <c r="F609" s="38"/>
      <c r="G609" s="38"/>
      <c r="H609" s="38"/>
      <c r="I609" s="38"/>
      <c r="J609" s="38"/>
    </row>
    <row r="610">
      <c r="D610" s="38"/>
      <c r="E610" s="38"/>
      <c r="F610" s="38"/>
      <c r="G610" s="38"/>
      <c r="H610" s="38"/>
      <c r="I610" s="38"/>
      <c r="J610" s="38"/>
    </row>
    <row r="611">
      <c r="D611" s="38"/>
      <c r="E611" s="38"/>
      <c r="F611" s="38"/>
      <c r="G611" s="38"/>
      <c r="H611" s="38"/>
      <c r="I611" s="38"/>
      <c r="J611" s="38"/>
    </row>
    <row r="612">
      <c r="D612" s="38"/>
      <c r="E612" s="38"/>
      <c r="F612" s="38"/>
      <c r="G612" s="38"/>
      <c r="H612" s="38"/>
      <c r="I612" s="38"/>
      <c r="J612" s="38"/>
    </row>
    <row r="613">
      <c r="D613" s="38"/>
      <c r="E613" s="38"/>
      <c r="F613" s="38"/>
      <c r="G613" s="38"/>
      <c r="H613" s="38"/>
      <c r="I613" s="38"/>
      <c r="J613" s="38"/>
    </row>
    <row r="614">
      <c r="D614" s="38"/>
      <c r="E614" s="38"/>
      <c r="F614" s="38"/>
      <c r="G614" s="38"/>
      <c r="H614" s="38"/>
      <c r="I614" s="38"/>
      <c r="J614" s="38"/>
    </row>
    <row r="615">
      <c r="D615" s="38"/>
      <c r="E615" s="38"/>
      <c r="F615" s="38"/>
      <c r="G615" s="38"/>
      <c r="H615" s="38"/>
      <c r="I615" s="38"/>
      <c r="J615" s="38"/>
    </row>
    <row r="616">
      <c r="D616" s="38"/>
      <c r="E616" s="38"/>
      <c r="F616" s="38"/>
      <c r="G616" s="38"/>
      <c r="H616" s="38"/>
      <c r="I616" s="38"/>
      <c r="J616" s="38"/>
    </row>
    <row r="617">
      <c r="D617" s="38"/>
      <c r="E617" s="38"/>
      <c r="F617" s="38"/>
      <c r="G617" s="38"/>
      <c r="H617" s="38"/>
      <c r="I617" s="38"/>
      <c r="J617" s="38"/>
    </row>
    <row r="618">
      <c r="D618" s="38"/>
      <c r="E618" s="38"/>
      <c r="F618" s="38"/>
      <c r="G618" s="38"/>
      <c r="H618" s="38"/>
      <c r="I618" s="38"/>
      <c r="J618" s="38"/>
    </row>
    <row r="619">
      <c r="D619" s="38"/>
      <c r="E619" s="38"/>
      <c r="F619" s="38"/>
      <c r="G619" s="38"/>
      <c r="H619" s="38"/>
      <c r="I619" s="38"/>
      <c r="J619" s="38"/>
    </row>
    <row r="620">
      <c r="D620" s="38"/>
      <c r="E620" s="38"/>
      <c r="F620" s="38"/>
      <c r="G620" s="38"/>
      <c r="H620" s="38"/>
      <c r="I620" s="38"/>
      <c r="J620" s="38"/>
    </row>
    <row r="621">
      <c r="D621" s="38"/>
      <c r="E621" s="38"/>
      <c r="F621" s="38"/>
      <c r="G621" s="38"/>
      <c r="H621" s="38"/>
      <c r="I621" s="38"/>
      <c r="J621" s="38"/>
    </row>
    <row r="622">
      <c r="D622" s="38"/>
      <c r="E622" s="38"/>
      <c r="F622" s="38"/>
      <c r="G622" s="38"/>
      <c r="H622" s="38"/>
      <c r="I622" s="38"/>
      <c r="J622" s="38"/>
    </row>
    <row r="623">
      <c r="D623" s="38"/>
      <c r="E623" s="38"/>
      <c r="F623" s="38"/>
      <c r="G623" s="38"/>
      <c r="H623" s="38"/>
      <c r="I623" s="38"/>
      <c r="J623" s="38"/>
    </row>
    <row r="624">
      <c r="D624" s="38"/>
      <c r="E624" s="38"/>
      <c r="F624" s="38"/>
      <c r="G624" s="38"/>
      <c r="H624" s="38"/>
      <c r="I624" s="38"/>
      <c r="J624" s="38"/>
    </row>
    <row r="625">
      <c r="D625" s="38"/>
      <c r="E625" s="38"/>
      <c r="F625" s="38"/>
      <c r="G625" s="38"/>
      <c r="H625" s="38"/>
      <c r="I625" s="38"/>
      <c r="J625" s="38"/>
    </row>
    <row r="626">
      <c r="D626" s="38"/>
      <c r="E626" s="38"/>
      <c r="F626" s="38"/>
      <c r="G626" s="38"/>
      <c r="H626" s="38"/>
      <c r="I626" s="38"/>
      <c r="J626" s="38"/>
    </row>
    <row r="627">
      <c r="D627" s="38"/>
      <c r="E627" s="38"/>
      <c r="F627" s="38"/>
      <c r="G627" s="38"/>
      <c r="H627" s="38"/>
      <c r="I627" s="38"/>
      <c r="J627" s="38"/>
    </row>
    <row r="628">
      <c r="D628" s="38"/>
      <c r="E628" s="38"/>
      <c r="F628" s="38"/>
      <c r="G628" s="38"/>
      <c r="H628" s="38"/>
      <c r="I628" s="38"/>
      <c r="J628" s="38"/>
    </row>
    <row r="629">
      <c r="D629" s="38"/>
      <c r="E629" s="38"/>
      <c r="F629" s="38"/>
      <c r="G629" s="38"/>
      <c r="H629" s="38"/>
      <c r="I629" s="38"/>
      <c r="J629" s="38"/>
    </row>
    <row r="630">
      <c r="D630" s="38"/>
      <c r="E630" s="38"/>
      <c r="F630" s="38"/>
      <c r="G630" s="38"/>
      <c r="H630" s="38"/>
      <c r="I630" s="38"/>
      <c r="J630" s="38"/>
    </row>
    <row r="631">
      <c r="D631" s="38"/>
      <c r="E631" s="38"/>
      <c r="F631" s="38"/>
      <c r="G631" s="38"/>
      <c r="H631" s="38"/>
      <c r="I631" s="38"/>
      <c r="J631" s="38"/>
    </row>
    <row r="632">
      <c r="D632" s="38"/>
      <c r="E632" s="38"/>
      <c r="F632" s="38"/>
      <c r="G632" s="38"/>
      <c r="H632" s="38"/>
      <c r="I632" s="38"/>
      <c r="J632" s="38"/>
    </row>
    <row r="633">
      <c r="D633" s="38"/>
      <c r="E633" s="38"/>
      <c r="F633" s="38"/>
      <c r="G633" s="38"/>
      <c r="H633" s="38"/>
      <c r="I633" s="38"/>
      <c r="J633" s="38"/>
    </row>
    <row r="634">
      <c r="D634" s="38"/>
      <c r="E634" s="38"/>
      <c r="F634" s="38"/>
      <c r="G634" s="38"/>
      <c r="H634" s="38"/>
      <c r="I634" s="38"/>
      <c r="J634" s="38"/>
    </row>
    <row r="635">
      <c r="D635" s="38"/>
      <c r="E635" s="38"/>
      <c r="F635" s="38"/>
      <c r="G635" s="38"/>
      <c r="H635" s="38"/>
      <c r="I635" s="38"/>
      <c r="J635" s="38"/>
    </row>
    <row r="636">
      <c r="D636" s="38"/>
      <c r="E636" s="38"/>
      <c r="F636" s="38"/>
      <c r="G636" s="38"/>
      <c r="H636" s="38"/>
      <c r="I636" s="38"/>
      <c r="J636" s="38"/>
    </row>
    <row r="637">
      <c r="D637" s="38"/>
      <c r="E637" s="38"/>
      <c r="F637" s="38"/>
      <c r="G637" s="38"/>
      <c r="H637" s="38"/>
      <c r="I637" s="38"/>
      <c r="J637" s="38"/>
    </row>
    <row r="638">
      <c r="D638" s="38"/>
      <c r="E638" s="38"/>
      <c r="F638" s="38"/>
      <c r="G638" s="38"/>
      <c r="H638" s="38"/>
      <c r="I638" s="38"/>
      <c r="J638" s="38"/>
    </row>
    <row r="639">
      <c r="D639" s="38"/>
      <c r="E639" s="38"/>
      <c r="F639" s="38"/>
      <c r="G639" s="38"/>
      <c r="H639" s="38"/>
      <c r="I639" s="38"/>
      <c r="J639" s="38"/>
    </row>
    <row r="640">
      <c r="D640" s="38"/>
      <c r="E640" s="38"/>
      <c r="F640" s="38"/>
      <c r="G640" s="38"/>
      <c r="H640" s="38"/>
      <c r="I640" s="38"/>
      <c r="J640" s="38"/>
    </row>
    <row r="641">
      <c r="D641" s="38"/>
      <c r="E641" s="38"/>
      <c r="F641" s="38"/>
      <c r="G641" s="38"/>
      <c r="H641" s="38"/>
      <c r="I641" s="38"/>
      <c r="J641" s="38"/>
    </row>
    <row r="642">
      <c r="D642" s="38"/>
      <c r="E642" s="38"/>
      <c r="F642" s="38"/>
      <c r="G642" s="38"/>
      <c r="H642" s="38"/>
      <c r="I642" s="38"/>
      <c r="J642" s="38"/>
    </row>
    <row r="643">
      <c r="D643" s="38"/>
      <c r="E643" s="38"/>
      <c r="F643" s="38"/>
      <c r="G643" s="38"/>
      <c r="H643" s="38"/>
      <c r="I643" s="38"/>
      <c r="J643" s="38"/>
    </row>
    <row r="644">
      <c r="D644" s="38"/>
      <c r="E644" s="38"/>
      <c r="F644" s="38"/>
      <c r="G644" s="38"/>
      <c r="H644" s="38"/>
      <c r="I644" s="38"/>
      <c r="J644" s="38"/>
    </row>
    <row r="645">
      <c r="D645" s="38"/>
      <c r="E645" s="38"/>
      <c r="F645" s="38"/>
      <c r="G645" s="38"/>
      <c r="H645" s="38"/>
      <c r="I645" s="38"/>
      <c r="J645" s="38"/>
    </row>
    <row r="646">
      <c r="D646" s="38"/>
      <c r="E646" s="38"/>
      <c r="F646" s="38"/>
      <c r="G646" s="38"/>
      <c r="H646" s="38"/>
      <c r="I646" s="38"/>
      <c r="J646" s="38"/>
    </row>
    <row r="647">
      <c r="D647" s="38"/>
      <c r="E647" s="38"/>
      <c r="F647" s="38"/>
      <c r="G647" s="38"/>
      <c r="H647" s="38"/>
      <c r="I647" s="38"/>
      <c r="J647" s="38"/>
    </row>
    <row r="648">
      <c r="D648" s="38"/>
      <c r="E648" s="38"/>
      <c r="F648" s="38"/>
      <c r="G648" s="38"/>
      <c r="H648" s="38"/>
      <c r="I648" s="38"/>
      <c r="J648" s="38"/>
    </row>
    <row r="649">
      <c r="D649" s="38"/>
      <c r="E649" s="38"/>
      <c r="F649" s="38"/>
      <c r="G649" s="38"/>
      <c r="H649" s="38"/>
      <c r="I649" s="38"/>
      <c r="J649" s="38"/>
    </row>
    <row r="650">
      <c r="D650" s="38"/>
      <c r="E650" s="38"/>
      <c r="F650" s="38"/>
      <c r="G650" s="38"/>
      <c r="H650" s="38"/>
      <c r="I650" s="38"/>
      <c r="J650" s="38"/>
    </row>
    <row r="651">
      <c r="D651" s="38"/>
      <c r="E651" s="38"/>
      <c r="F651" s="38"/>
      <c r="G651" s="38"/>
      <c r="H651" s="38"/>
      <c r="I651" s="38"/>
      <c r="J651" s="38"/>
    </row>
    <row r="652">
      <c r="D652" s="38"/>
      <c r="E652" s="38"/>
      <c r="F652" s="38"/>
      <c r="G652" s="38"/>
      <c r="H652" s="38"/>
      <c r="I652" s="38"/>
      <c r="J652" s="38"/>
    </row>
    <row r="653">
      <c r="D653" s="38"/>
      <c r="E653" s="38"/>
      <c r="F653" s="38"/>
      <c r="G653" s="38"/>
      <c r="H653" s="38"/>
      <c r="I653" s="38"/>
      <c r="J653" s="38"/>
    </row>
    <row r="654">
      <c r="D654" s="38"/>
      <c r="E654" s="38"/>
      <c r="F654" s="38"/>
      <c r="G654" s="38"/>
      <c r="H654" s="38"/>
      <c r="I654" s="38"/>
      <c r="J654" s="38"/>
    </row>
    <row r="655">
      <c r="D655" s="38"/>
      <c r="E655" s="38"/>
      <c r="F655" s="38"/>
      <c r="G655" s="38"/>
      <c r="H655" s="38"/>
      <c r="I655" s="38"/>
      <c r="J655" s="38"/>
    </row>
    <row r="656">
      <c r="D656" s="38"/>
      <c r="E656" s="38"/>
      <c r="F656" s="38"/>
      <c r="G656" s="38"/>
      <c r="H656" s="38"/>
      <c r="I656" s="38"/>
      <c r="J656" s="38"/>
    </row>
    <row r="657">
      <c r="D657" s="38"/>
      <c r="E657" s="38"/>
      <c r="F657" s="38"/>
      <c r="G657" s="38"/>
      <c r="H657" s="38"/>
      <c r="I657" s="38"/>
      <c r="J657" s="38"/>
    </row>
    <row r="658">
      <c r="D658" s="38"/>
      <c r="E658" s="38"/>
      <c r="F658" s="38"/>
      <c r="G658" s="38"/>
      <c r="H658" s="38"/>
      <c r="I658" s="38"/>
      <c r="J658" s="38"/>
    </row>
    <row r="659">
      <c r="D659" s="38"/>
      <c r="E659" s="38"/>
      <c r="F659" s="38"/>
      <c r="G659" s="38"/>
      <c r="H659" s="38"/>
      <c r="I659" s="38"/>
      <c r="J659" s="38"/>
    </row>
    <row r="660">
      <c r="D660" s="38"/>
      <c r="E660" s="38"/>
      <c r="F660" s="38"/>
      <c r="G660" s="38"/>
      <c r="H660" s="38"/>
      <c r="I660" s="38"/>
      <c r="J660" s="38"/>
    </row>
    <row r="661">
      <c r="D661" s="38"/>
      <c r="E661" s="38"/>
      <c r="F661" s="38"/>
      <c r="G661" s="38"/>
      <c r="H661" s="38"/>
      <c r="I661" s="38"/>
      <c r="J661" s="38"/>
    </row>
    <row r="662">
      <c r="D662" s="38"/>
      <c r="E662" s="38"/>
      <c r="F662" s="38"/>
      <c r="G662" s="38"/>
      <c r="H662" s="38"/>
      <c r="I662" s="38"/>
      <c r="J662" s="38"/>
    </row>
    <row r="663">
      <c r="D663" s="38"/>
      <c r="E663" s="38"/>
      <c r="F663" s="38"/>
      <c r="G663" s="38"/>
      <c r="H663" s="38"/>
      <c r="I663" s="38"/>
      <c r="J663" s="38"/>
    </row>
    <row r="664">
      <c r="D664" s="38"/>
      <c r="E664" s="38"/>
      <c r="F664" s="38"/>
      <c r="G664" s="38"/>
      <c r="H664" s="38"/>
      <c r="I664" s="38"/>
      <c r="J664" s="38"/>
    </row>
    <row r="665">
      <c r="D665" s="38"/>
      <c r="E665" s="38"/>
      <c r="F665" s="38"/>
      <c r="G665" s="38"/>
      <c r="H665" s="38"/>
      <c r="I665" s="38"/>
      <c r="J665" s="38"/>
    </row>
    <row r="666">
      <c r="D666" s="38"/>
      <c r="E666" s="38"/>
      <c r="F666" s="38"/>
      <c r="G666" s="38"/>
      <c r="H666" s="38"/>
      <c r="I666" s="38"/>
      <c r="J666" s="38"/>
    </row>
    <row r="667">
      <c r="D667" s="38"/>
      <c r="E667" s="38"/>
      <c r="F667" s="38"/>
      <c r="G667" s="38"/>
      <c r="H667" s="38"/>
      <c r="I667" s="38"/>
      <c r="J667" s="38"/>
    </row>
    <row r="668">
      <c r="D668" s="38"/>
      <c r="E668" s="38"/>
      <c r="F668" s="38"/>
      <c r="G668" s="38"/>
      <c r="H668" s="38"/>
      <c r="I668" s="38"/>
      <c r="J668" s="38"/>
    </row>
    <row r="669">
      <c r="D669" s="38"/>
      <c r="E669" s="38"/>
      <c r="F669" s="38"/>
      <c r="G669" s="38"/>
      <c r="H669" s="38"/>
      <c r="I669" s="38"/>
      <c r="J669" s="38"/>
    </row>
    <row r="670">
      <c r="D670" s="38"/>
      <c r="E670" s="38"/>
      <c r="F670" s="38"/>
      <c r="G670" s="38"/>
      <c r="H670" s="38"/>
      <c r="I670" s="38"/>
      <c r="J670" s="38"/>
    </row>
    <row r="671">
      <c r="D671" s="38"/>
      <c r="E671" s="38"/>
      <c r="F671" s="38"/>
      <c r="G671" s="38"/>
      <c r="H671" s="38"/>
      <c r="I671" s="38"/>
      <c r="J671" s="38"/>
    </row>
    <row r="672">
      <c r="D672" s="38"/>
      <c r="E672" s="38"/>
      <c r="F672" s="38"/>
      <c r="G672" s="38"/>
      <c r="H672" s="38"/>
      <c r="I672" s="38"/>
      <c r="J672" s="38"/>
    </row>
    <row r="673">
      <c r="D673" s="38"/>
      <c r="E673" s="38"/>
      <c r="F673" s="38"/>
      <c r="G673" s="38"/>
      <c r="H673" s="38"/>
      <c r="I673" s="38"/>
      <c r="J673" s="38"/>
    </row>
    <row r="674">
      <c r="D674" s="38"/>
      <c r="E674" s="38"/>
      <c r="F674" s="38"/>
      <c r="G674" s="38"/>
      <c r="H674" s="38"/>
      <c r="I674" s="38"/>
      <c r="J674" s="38"/>
    </row>
    <row r="675">
      <c r="D675" s="38"/>
      <c r="E675" s="38"/>
      <c r="F675" s="38"/>
      <c r="G675" s="38"/>
      <c r="H675" s="38"/>
      <c r="I675" s="38"/>
      <c r="J675" s="38"/>
    </row>
    <row r="676">
      <c r="D676" s="38"/>
      <c r="E676" s="38"/>
      <c r="F676" s="38"/>
      <c r="G676" s="38"/>
      <c r="H676" s="38"/>
      <c r="I676" s="38"/>
      <c r="J676" s="38"/>
    </row>
    <row r="677">
      <c r="D677" s="38"/>
      <c r="E677" s="38"/>
      <c r="F677" s="38"/>
      <c r="G677" s="38"/>
      <c r="H677" s="38"/>
      <c r="I677" s="38"/>
      <c r="J677" s="38"/>
    </row>
    <row r="678">
      <c r="D678" s="38"/>
      <c r="E678" s="38"/>
      <c r="F678" s="38"/>
      <c r="G678" s="38"/>
      <c r="H678" s="38"/>
      <c r="I678" s="38"/>
      <c r="J678" s="38"/>
    </row>
    <row r="679">
      <c r="D679" s="38"/>
      <c r="E679" s="38"/>
      <c r="F679" s="38"/>
      <c r="G679" s="38"/>
      <c r="H679" s="38"/>
      <c r="I679" s="38"/>
      <c r="J679" s="38"/>
    </row>
    <row r="680">
      <c r="D680" s="38"/>
      <c r="E680" s="38"/>
      <c r="F680" s="38"/>
      <c r="G680" s="38"/>
      <c r="H680" s="38"/>
      <c r="I680" s="38"/>
      <c r="J680" s="38"/>
    </row>
    <row r="681">
      <c r="D681" s="38"/>
      <c r="E681" s="38"/>
      <c r="F681" s="38"/>
      <c r="G681" s="38"/>
      <c r="H681" s="38"/>
      <c r="I681" s="38"/>
      <c r="J681" s="38"/>
    </row>
    <row r="682">
      <c r="D682" s="38"/>
      <c r="E682" s="38"/>
      <c r="F682" s="38"/>
      <c r="G682" s="38"/>
      <c r="H682" s="38"/>
      <c r="I682" s="38"/>
      <c r="J682" s="38"/>
    </row>
    <row r="683">
      <c r="D683" s="38"/>
      <c r="E683" s="38"/>
      <c r="F683" s="38"/>
      <c r="G683" s="38"/>
      <c r="H683" s="38"/>
      <c r="I683" s="38"/>
      <c r="J683" s="38"/>
    </row>
    <row r="684">
      <c r="D684" s="38"/>
      <c r="E684" s="38"/>
      <c r="F684" s="38"/>
      <c r="G684" s="38"/>
      <c r="H684" s="38"/>
      <c r="I684" s="38"/>
      <c r="J684" s="38"/>
    </row>
    <row r="685">
      <c r="D685" s="38"/>
      <c r="E685" s="38"/>
      <c r="F685" s="38"/>
      <c r="G685" s="38"/>
      <c r="H685" s="38"/>
      <c r="I685" s="38"/>
      <c r="J685" s="38"/>
    </row>
    <row r="686">
      <c r="D686" s="38"/>
      <c r="E686" s="38"/>
      <c r="F686" s="38"/>
      <c r="G686" s="38"/>
      <c r="H686" s="38"/>
      <c r="I686" s="38"/>
      <c r="J686" s="38"/>
    </row>
    <row r="687">
      <c r="D687" s="38"/>
      <c r="E687" s="38"/>
      <c r="F687" s="38"/>
      <c r="G687" s="38"/>
      <c r="H687" s="38"/>
      <c r="I687" s="38"/>
      <c r="J687" s="38"/>
    </row>
    <row r="688">
      <c r="D688" s="38"/>
      <c r="E688" s="38"/>
      <c r="F688" s="38"/>
      <c r="G688" s="38"/>
      <c r="H688" s="38"/>
      <c r="I688" s="38"/>
      <c r="J688" s="38"/>
    </row>
    <row r="689">
      <c r="D689" s="38"/>
      <c r="E689" s="38"/>
      <c r="F689" s="38"/>
      <c r="G689" s="38"/>
      <c r="H689" s="38"/>
      <c r="I689" s="38"/>
      <c r="J689" s="38"/>
    </row>
    <row r="690">
      <c r="D690" s="38"/>
      <c r="E690" s="38"/>
      <c r="F690" s="38"/>
      <c r="G690" s="38"/>
      <c r="H690" s="38"/>
      <c r="I690" s="38"/>
      <c r="J690" s="38"/>
    </row>
    <row r="691">
      <c r="D691" s="38"/>
      <c r="E691" s="38"/>
      <c r="F691" s="38"/>
      <c r="G691" s="38"/>
      <c r="H691" s="38"/>
      <c r="I691" s="38"/>
      <c r="J691" s="38"/>
    </row>
    <row r="692">
      <c r="D692" s="38"/>
      <c r="E692" s="38"/>
      <c r="F692" s="38"/>
      <c r="G692" s="38"/>
      <c r="H692" s="38"/>
      <c r="I692" s="38"/>
      <c r="J692" s="38"/>
    </row>
    <row r="693">
      <c r="D693" s="38"/>
      <c r="E693" s="38"/>
      <c r="F693" s="38"/>
      <c r="G693" s="38"/>
      <c r="H693" s="38"/>
      <c r="I693" s="38"/>
      <c r="J693" s="38"/>
    </row>
    <row r="694">
      <c r="D694" s="38"/>
      <c r="E694" s="38"/>
      <c r="F694" s="38"/>
      <c r="G694" s="38"/>
      <c r="H694" s="38"/>
      <c r="I694" s="38"/>
      <c r="J694" s="38"/>
    </row>
    <row r="695">
      <c r="D695" s="38"/>
      <c r="E695" s="38"/>
      <c r="F695" s="38"/>
      <c r="G695" s="38"/>
      <c r="H695" s="38"/>
      <c r="I695" s="38"/>
      <c r="J695" s="38"/>
    </row>
    <row r="696">
      <c r="D696" s="38"/>
      <c r="E696" s="38"/>
      <c r="F696" s="38"/>
      <c r="G696" s="38"/>
      <c r="H696" s="38"/>
      <c r="I696" s="38"/>
      <c r="J696" s="38"/>
    </row>
    <row r="697">
      <c r="D697" s="38"/>
      <c r="E697" s="38"/>
      <c r="F697" s="38"/>
      <c r="G697" s="38"/>
      <c r="H697" s="38"/>
      <c r="I697" s="38"/>
      <c r="J697" s="38"/>
    </row>
    <row r="698">
      <c r="D698" s="38"/>
      <c r="E698" s="38"/>
      <c r="F698" s="38"/>
      <c r="G698" s="38"/>
      <c r="H698" s="38"/>
      <c r="I698" s="38"/>
      <c r="J698" s="38"/>
    </row>
    <row r="699">
      <c r="D699" s="38"/>
      <c r="E699" s="38"/>
      <c r="F699" s="38"/>
      <c r="G699" s="38"/>
      <c r="H699" s="38"/>
      <c r="I699" s="38"/>
      <c r="J699" s="38"/>
    </row>
    <row r="700">
      <c r="D700" s="38"/>
      <c r="E700" s="38"/>
      <c r="F700" s="38"/>
      <c r="G700" s="38"/>
      <c r="H700" s="38"/>
      <c r="I700" s="38"/>
      <c r="J700" s="38"/>
    </row>
    <row r="701">
      <c r="D701" s="38"/>
      <c r="E701" s="38"/>
      <c r="F701" s="38"/>
      <c r="G701" s="38"/>
      <c r="H701" s="38"/>
      <c r="I701" s="38"/>
      <c r="J701" s="38"/>
    </row>
    <row r="702">
      <c r="D702" s="38"/>
      <c r="E702" s="38"/>
      <c r="F702" s="38"/>
      <c r="G702" s="38"/>
      <c r="H702" s="38"/>
      <c r="I702" s="38"/>
      <c r="J702" s="38"/>
    </row>
    <row r="703">
      <c r="D703" s="38"/>
      <c r="E703" s="38"/>
      <c r="F703" s="38"/>
      <c r="G703" s="38"/>
      <c r="H703" s="38"/>
      <c r="I703" s="38"/>
      <c r="J703" s="38"/>
    </row>
    <row r="704">
      <c r="D704" s="38"/>
      <c r="E704" s="38"/>
      <c r="F704" s="38"/>
      <c r="G704" s="38"/>
      <c r="H704" s="38"/>
      <c r="I704" s="38"/>
      <c r="J704" s="38"/>
    </row>
    <row r="705">
      <c r="D705" s="38"/>
      <c r="E705" s="38"/>
      <c r="F705" s="38"/>
      <c r="G705" s="38"/>
      <c r="H705" s="38"/>
      <c r="I705" s="38"/>
      <c r="J705" s="38"/>
    </row>
    <row r="706">
      <c r="D706" s="38"/>
      <c r="E706" s="38"/>
      <c r="F706" s="38"/>
      <c r="G706" s="38"/>
      <c r="H706" s="38"/>
      <c r="I706" s="38"/>
      <c r="J706" s="38"/>
    </row>
    <row r="707">
      <c r="D707" s="38"/>
      <c r="E707" s="38"/>
      <c r="F707" s="38"/>
      <c r="G707" s="38"/>
      <c r="H707" s="38"/>
      <c r="I707" s="38"/>
      <c r="J707" s="38"/>
    </row>
    <row r="708">
      <c r="D708" s="38"/>
      <c r="E708" s="38"/>
      <c r="F708" s="38"/>
      <c r="G708" s="38"/>
      <c r="H708" s="38"/>
      <c r="I708" s="38"/>
      <c r="J708" s="38"/>
    </row>
    <row r="709">
      <c r="D709" s="38"/>
      <c r="E709" s="38"/>
      <c r="F709" s="38"/>
      <c r="G709" s="38"/>
      <c r="H709" s="38"/>
      <c r="I709" s="38"/>
      <c r="J709" s="38"/>
    </row>
    <row r="710">
      <c r="D710" s="38"/>
      <c r="E710" s="38"/>
      <c r="F710" s="38"/>
      <c r="G710" s="38"/>
      <c r="H710" s="38"/>
      <c r="I710" s="38"/>
      <c r="J710" s="38"/>
    </row>
    <row r="711">
      <c r="D711" s="38"/>
      <c r="E711" s="38"/>
      <c r="F711" s="38"/>
      <c r="G711" s="38"/>
      <c r="H711" s="38"/>
      <c r="I711" s="38"/>
      <c r="J711" s="38"/>
    </row>
    <row r="712">
      <c r="D712" s="38"/>
      <c r="E712" s="38"/>
      <c r="F712" s="38"/>
      <c r="G712" s="38"/>
      <c r="H712" s="38"/>
      <c r="I712" s="38"/>
      <c r="J712" s="38"/>
    </row>
    <row r="713">
      <c r="D713" s="38"/>
      <c r="E713" s="38"/>
      <c r="F713" s="38"/>
      <c r="G713" s="38"/>
      <c r="H713" s="38"/>
      <c r="I713" s="38"/>
      <c r="J713" s="38"/>
    </row>
    <row r="714">
      <c r="D714" s="38"/>
      <c r="E714" s="38"/>
      <c r="F714" s="38"/>
      <c r="G714" s="38"/>
      <c r="H714" s="38"/>
      <c r="I714" s="38"/>
      <c r="J714" s="38"/>
    </row>
    <row r="715">
      <c r="D715" s="38"/>
      <c r="E715" s="38"/>
      <c r="F715" s="38"/>
      <c r="G715" s="38"/>
      <c r="H715" s="38"/>
      <c r="I715" s="38"/>
      <c r="J715" s="38"/>
    </row>
    <row r="716">
      <c r="D716" s="38"/>
      <c r="E716" s="38"/>
      <c r="F716" s="38"/>
      <c r="G716" s="38"/>
      <c r="H716" s="38"/>
      <c r="I716" s="38"/>
      <c r="J716" s="38"/>
    </row>
    <row r="717">
      <c r="D717" s="38"/>
      <c r="E717" s="38"/>
      <c r="F717" s="38"/>
      <c r="G717" s="38"/>
      <c r="H717" s="38"/>
      <c r="I717" s="38"/>
      <c r="J717" s="38"/>
    </row>
    <row r="718">
      <c r="D718" s="38"/>
      <c r="E718" s="38"/>
      <c r="F718" s="38"/>
      <c r="G718" s="38"/>
      <c r="H718" s="38"/>
      <c r="I718" s="38"/>
      <c r="J718" s="38"/>
    </row>
    <row r="719">
      <c r="D719" s="38"/>
      <c r="E719" s="38"/>
      <c r="F719" s="38"/>
      <c r="G719" s="38"/>
      <c r="H719" s="38"/>
      <c r="I719" s="38"/>
      <c r="J719" s="38"/>
    </row>
    <row r="720">
      <c r="D720" s="38"/>
      <c r="E720" s="38"/>
      <c r="F720" s="38"/>
      <c r="G720" s="38"/>
      <c r="H720" s="38"/>
      <c r="I720" s="38"/>
      <c r="J720" s="38"/>
    </row>
    <row r="721">
      <c r="D721" s="38"/>
      <c r="E721" s="38"/>
      <c r="F721" s="38"/>
      <c r="G721" s="38"/>
      <c r="H721" s="38"/>
      <c r="I721" s="38"/>
      <c r="J721" s="38"/>
    </row>
    <row r="722">
      <c r="D722" s="38"/>
      <c r="E722" s="38"/>
      <c r="F722" s="38"/>
      <c r="G722" s="38"/>
      <c r="H722" s="38"/>
      <c r="I722" s="38"/>
      <c r="J722" s="38"/>
    </row>
    <row r="723">
      <c r="D723" s="38"/>
      <c r="E723" s="38"/>
      <c r="F723" s="38"/>
      <c r="G723" s="38"/>
      <c r="H723" s="38"/>
      <c r="I723" s="38"/>
      <c r="J723" s="38"/>
    </row>
    <row r="724">
      <c r="D724" s="38"/>
      <c r="E724" s="38"/>
      <c r="F724" s="38"/>
      <c r="G724" s="38"/>
      <c r="H724" s="38"/>
      <c r="I724" s="38"/>
      <c r="J724" s="38"/>
    </row>
    <row r="725">
      <c r="D725" s="38"/>
      <c r="E725" s="38"/>
      <c r="F725" s="38"/>
      <c r="G725" s="38"/>
      <c r="H725" s="38"/>
      <c r="I725" s="38"/>
      <c r="J725" s="38"/>
    </row>
    <row r="726">
      <c r="D726" s="38"/>
      <c r="E726" s="38"/>
      <c r="F726" s="38"/>
      <c r="G726" s="38"/>
      <c r="H726" s="38"/>
      <c r="I726" s="38"/>
      <c r="J726" s="38"/>
    </row>
    <row r="727">
      <c r="D727" s="38"/>
      <c r="E727" s="38"/>
      <c r="F727" s="38"/>
      <c r="G727" s="38"/>
      <c r="H727" s="38"/>
      <c r="I727" s="38"/>
      <c r="J727" s="38"/>
    </row>
    <row r="728">
      <c r="D728" s="38"/>
      <c r="E728" s="38"/>
      <c r="F728" s="38"/>
      <c r="G728" s="38"/>
      <c r="H728" s="38"/>
      <c r="I728" s="38"/>
      <c r="J728" s="38"/>
    </row>
    <row r="729">
      <c r="D729" s="38"/>
      <c r="E729" s="38"/>
      <c r="F729" s="38"/>
      <c r="G729" s="38"/>
      <c r="H729" s="38"/>
      <c r="I729" s="38"/>
      <c r="J729" s="38"/>
    </row>
    <row r="730">
      <c r="D730" s="38"/>
      <c r="E730" s="38"/>
      <c r="F730" s="38"/>
      <c r="G730" s="38"/>
      <c r="H730" s="38"/>
      <c r="I730" s="38"/>
      <c r="J730" s="38"/>
    </row>
    <row r="731">
      <c r="D731" s="38"/>
      <c r="E731" s="38"/>
      <c r="F731" s="38"/>
      <c r="G731" s="38"/>
      <c r="H731" s="38"/>
      <c r="I731" s="38"/>
      <c r="J731" s="38"/>
    </row>
    <row r="732">
      <c r="D732" s="38"/>
      <c r="E732" s="38"/>
      <c r="F732" s="38"/>
      <c r="G732" s="38"/>
      <c r="H732" s="38"/>
      <c r="I732" s="38"/>
      <c r="J732" s="38"/>
    </row>
    <row r="733">
      <c r="D733" s="38"/>
      <c r="E733" s="38"/>
      <c r="F733" s="38"/>
      <c r="G733" s="38"/>
      <c r="H733" s="38"/>
      <c r="I733" s="38"/>
      <c r="J733" s="38"/>
    </row>
    <row r="734">
      <c r="D734" s="38"/>
      <c r="E734" s="38"/>
      <c r="F734" s="38"/>
      <c r="G734" s="38"/>
      <c r="H734" s="38"/>
      <c r="I734" s="38"/>
      <c r="J734" s="38"/>
    </row>
    <row r="735">
      <c r="D735" s="38"/>
      <c r="E735" s="38"/>
      <c r="F735" s="38"/>
      <c r="G735" s="38"/>
      <c r="H735" s="38"/>
      <c r="I735" s="38"/>
      <c r="J735" s="38"/>
    </row>
    <row r="736">
      <c r="D736" s="38"/>
      <c r="E736" s="38"/>
      <c r="F736" s="38"/>
      <c r="G736" s="38"/>
      <c r="H736" s="38"/>
      <c r="I736" s="38"/>
      <c r="J736" s="38"/>
    </row>
    <row r="737">
      <c r="D737" s="38"/>
      <c r="E737" s="38"/>
      <c r="F737" s="38"/>
      <c r="G737" s="38"/>
      <c r="H737" s="38"/>
      <c r="I737" s="38"/>
      <c r="J737" s="38"/>
    </row>
    <row r="738">
      <c r="D738" s="38"/>
      <c r="E738" s="38"/>
      <c r="F738" s="38"/>
      <c r="G738" s="38"/>
      <c r="H738" s="38"/>
      <c r="I738" s="38"/>
      <c r="J738" s="38"/>
    </row>
    <row r="739">
      <c r="D739" s="38"/>
      <c r="E739" s="38"/>
      <c r="F739" s="38"/>
      <c r="G739" s="38"/>
      <c r="H739" s="38"/>
      <c r="I739" s="38"/>
      <c r="J739" s="38"/>
    </row>
    <row r="740">
      <c r="D740" s="38"/>
      <c r="E740" s="38"/>
      <c r="F740" s="38"/>
      <c r="G740" s="38"/>
      <c r="H740" s="38"/>
      <c r="I740" s="38"/>
      <c r="J740" s="38"/>
    </row>
    <row r="741">
      <c r="D741" s="38"/>
      <c r="E741" s="38"/>
      <c r="F741" s="38"/>
      <c r="G741" s="38"/>
      <c r="H741" s="38"/>
      <c r="I741" s="38"/>
      <c r="J741" s="38"/>
    </row>
    <row r="742">
      <c r="D742" s="38"/>
      <c r="E742" s="38"/>
      <c r="F742" s="38"/>
      <c r="G742" s="38"/>
      <c r="H742" s="38"/>
      <c r="I742" s="38"/>
      <c r="J742" s="38"/>
    </row>
    <row r="743">
      <c r="D743" s="38"/>
      <c r="E743" s="38"/>
      <c r="F743" s="38"/>
      <c r="G743" s="38"/>
      <c r="H743" s="38"/>
      <c r="I743" s="38"/>
      <c r="J743" s="38"/>
    </row>
    <row r="744">
      <c r="D744" s="38"/>
      <c r="E744" s="38"/>
      <c r="F744" s="38"/>
      <c r="G744" s="38"/>
      <c r="H744" s="38"/>
      <c r="I744" s="38"/>
      <c r="J744" s="38"/>
    </row>
    <row r="745">
      <c r="D745" s="38"/>
      <c r="E745" s="38"/>
      <c r="F745" s="38"/>
      <c r="G745" s="38"/>
      <c r="H745" s="38"/>
      <c r="I745" s="38"/>
      <c r="J745" s="38"/>
    </row>
    <row r="746">
      <c r="D746" s="38"/>
      <c r="E746" s="38"/>
      <c r="F746" s="38"/>
      <c r="G746" s="38"/>
      <c r="H746" s="38"/>
      <c r="I746" s="38"/>
      <c r="J746" s="38"/>
    </row>
    <row r="747">
      <c r="D747" s="38"/>
      <c r="E747" s="38"/>
      <c r="F747" s="38"/>
      <c r="G747" s="38"/>
      <c r="H747" s="38"/>
      <c r="I747" s="38"/>
      <c r="J747" s="38"/>
    </row>
    <row r="748">
      <c r="D748" s="38"/>
      <c r="E748" s="38"/>
      <c r="F748" s="38"/>
      <c r="G748" s="38"/>
      <c r="H748" s="38"/>
      <c r="I748" s="38"/>
      <c r="J748" s="38"/>
    </row>
    <row r="749">
      <c r="D749" s="38"/>
      <c r="E749" s="38"/>
      <c r="F749" s="38"/>
      <c r="G749" s="38"/>
      <c r="H749" s="38"/>
      <c r="I749" s="38"/>
      <c r="J749" s="38"/>
    </row>
    <row r="750">
      <c r="D750" s="38"/>
      <c r="E750" s="38"/>
      <c r="F750" s="38"/>
      <c r="G750" s="38"/>
      <c r="H750" s="38"/>
      <c r="I750" s="38"/>
      <c r="J750" s="38"/>
    </row>
    <row r="751">
      <c r="D751" s="38"/>
      <c r="E751" s="38"/>
      <c r="F751" s="38"/>
      <c r="G751" s="38"/>
      <c r="H751" s="38"/>
      <c r="I751" s="38"/>
      <c r="J751" s="38"/>
    </row>
    <row r="752">
      <c r="D752" s="38"/>
      <c r="E752" s="38"/>
      <c r="F752" s="38"/>
      <c r="G752" s="38"/>
      <c r="H752" s="38"/>
      <c r="I752" s="38"/>
      <c r="J752" s="38"/>
    </row>
    <row r="753">
      <c r="D753" s="38"/>
      <c r="E753" s="38"/>
      <c r="F753" s="38"/>
      <c r="G753" s="38"/>
      <c r="H753" s="38"/>
      <c r="I753" s="38"/>
      <c r="J753" s="38"/>
    </row>
    <row r="754">
      <c r="D754" s="38"/>
      <c r="E754" s="38"/>
      <c r="F754" s="38"/>
      <c r="G754" s="38"/>
      <c r="H754" s="38"/>
      <c r="I754" s="38"/>
      <c r="J754" s="38"/>
    </row>
    <row r="755">
      <c r="D755" s="38"/>
      <c r="E755" s="38"/>
      <c r="F755" s="38"/>
      <c r="G755" s="38"/>
      <c r="H755" s="38"/>
      <c r="I755" s="38"/>
      <c r="J755" s="38"/>
    </row>
    <row r="756">
      <c r="D756" s="38"/>
      <c r="E756" s="38"/>
      <c r="F756" s="38"/>
      <c r="G756" s="38"/>
      <c r="H756" s="38"/>
      <c r="I756" s="38"/>
      <c r="J756" s="38"/>
    </row>
    <row r="757">
      <c r="D757" s="38"/>
      <c r="E757" s="38"/>
      <c r="F757" s="38"/>
      <c r="G757" s="38"/>
      <c r="H757" s="38"/>
      <c r="I757" s="38"/>
      <c r="J757" s="38"/>
    </row>
    <row r="758">
      <c r="D758" s="38"/>
      <c r="E758" s="38"/>
      <c r="F758" s="38"/>
      <c r="G758" s="38"/>
      <c r="H758" s="38"/>
      <c r="I758" s="38"/>
      <c r="J758" s="38"/>
    </row>
    <row r="759">
      <c r="D759" s="38"/>
      <c r="E759" s="38"/>
      <c r="F759" s="38"/>
      <c r="G759" s="38"/>
      <c r="H759" s="38"/>
      <c r="I759" s="38"/>
      <c r="J759" s="38"/>
    </row>
    <row r="760">
      <c r="D760" s="38"/>
      <c r="E760" s="38"/>
      <c r="F760" s="38"/>
      <c r="G760" s="38"/>
      <c r="H760" s="38"/>
      <c r="I760" s="38"/>
      <c r="J760" s="38"/>
    </row>
    <row r="761">
      <c r="D761" s="38"/>
      <c r="E761" s="38"/>
      <c r="F761" s="38"/>
      <c r="G761" s="38"/>
      <c r="H761" s="38"/>
      <c r="I761" s="38"/>
      <c r="J761" s="38"/>
    </row>
    <row r="762">
      <c r="D762" s="38"/>
      <c r="E762" s="38"/>
      <c r="F762" s="38"/>
      <c r="G762" s="38"/>
      <c r="H762" s="38"/>
      <c r="I762" s="38"/>
      <c r="J762" s="38"/>
    </row>
    <row r="763">
      <c r="D763" s="38"/>
      <c r="E763" s="38"/>
      <c r="F763" s="38"/>
      <c r="G763" s="38"/>
      <c r="H763" s="38"/>
      <c r="I763" s="38"/>
      <c r="J763" s="38"/>
    </row>
    <row r="764">
      <c r="D764" s="38"/>
      <c r="E764" s="38"/>
      <c r="F764" s="38"/>
      <c r="G764" s="38"/>
      <c r="H764" s="38"/>
      <c r="I764" s="38"/>
      <c r="J764" s="38"/>
    </row>
    <row r="765">
      <c r="D765" s="38"/>
      <c r="E765" s="38"/>
      <c r="F765" s="38"/>
      <c r="G765" s="38"/>
      <c r="H765" s="38"/>
      <c r="I765" s="38"/>
      <c r="J765" s="38"/>
    </row>
    <row r="766">
      <c r="D766" s="38"/>
      <c r="E766" s="38"/>
      <c r="F766" s="38"/>
      <c r="G766" s="38"/>
      <c r="H766" s="38"/>
      <c r="I766" s="38"/>
      <c r="J766" s="38"/>
    </row>
    <row r="767">
      <c r="D767" s="38"/>
      <c r="E767" s="38"/>
      <c r="F767" s="38"/>
      <c r="G767" s="38"/>
      <c r="H767" s="38"/>
      <c r="I767" s="38"/>
      <c r="J767" s="38"/>
    </row>
    <row r="768">
      <c r="D768" s="38"/>
      <c r="E768" s="38"/>
      <c r="F768" s="38"/>
      <c r="G768" s="38"/>
      <c r="H768" s="38"/>
      <c r="I768" s="38"/>
      <c r="J768" s="38"/>
    </row>
    <row r="769">
      <c r="D769" s="38"/>
      <c r="E769" s="38"/>
      <c r="F769" s="38"/>
      <c r="G769" s="38"/>
      <c r="H769" s="38"/>
      <c r="I769" s="38"/>
      <c r="J769" s="38"/>
    </row>
    <row r="770">
      <c r="D770" s="38"/>
      <c r="E770" s="38"/>
      <c r="F770" s="38"/>
      <c r="G770" s="38"/>
      <c r="H770" s="38"/>
      <c r="I770" s="38"/>
      <c r="J770" s="38"/>
    </row>
    <row r="771">
      <c r="D771" s="38"/>
      <c r="E771" s="38"/>
      <c r="F771" s="38"/>
      <c r="G771" s="38"/>
      <c r="H771" s="38"/>
      <c r="I771" s="38"/>
      <c r="J771" s="38"/>
    </row>
    <row r="772">
      <c r="D772" s="38"/>
      <c r="E772" s="38"/>
      <c r="F772" s="38"/>
      <c r="G772" s="38"/>
      <c r="H772" s="38"/>
      <c r="I772" s="38"/>
      <c r="J772" s="38"/>
    </row>
    <row r="773">
      <c r="D773" s="38"/>
      <c r="E773" s="38"/>
      <c r="F773" s="38"/>
      <c r="G773" s="38"/>
      <c r="H773" s="38"/>
      <c r="I773" s="38"/>
      <c r="J773" s="38"/>
    </row>
    <row r="774">
      <c r="D774" s="38"/>
      <c r="E774" s="38"/>
      <c r="F774" s="38"/>
      <c r="G774" s="38"/>
      <c r="H774" s="38"/>
      <c r="I774" s="38"/>
      <c r="J774" s="38"/>
    </row>
    <row r="775">
      <c r="D775" s="38"/>
      <c r="E775" s="38"/>
      <c r="F775" s="38"/>
      <c r="G775" s="38"/>
      <c r="H775" s="38"/>
      <c r="I775" s="38"/>
      <c r="J775" s="38"/>
    </row>
    <row r="776">
      <c r="D776" s="38"/>
      <c r="E776" s="38"/>
      <c r="F776" s="38"/>
      <c r="G776" s="38"/>
      <c r="H776" s="38"/>
      <c r="I776" s="38"/>
      <c r="J776" s="38"/>
    </row>
    <row r="777">
      <c r="D777" s="38"/>
      <c r="E777" s="38"/>
      <c r="F777" s="38"/>
      <c r="G777" s="38"/>
      <c r="H777" s="38"/>
      <c r="I777" s="38"/>
      <c r="J777" s="38"/>
    </row>
    <row r="778">
      <c r="D778" s="38"/>
      <c r="E778" s="38"/>
      <c r="F778" s="38"/>
      <c r="G778" s="38"/>
      <c r="H778" s="38"/>
      <c r="I778" s="38"/>
      <c r="J778" s="38"/>
    </row>
    <row r="779">
      <c r="D779" s="38"/>
      <c r="E779" s="38"/>
      <c r="F779" s="38"/>
      <c r="G779" s="38"/>
      <c r="H779" s="38"/>
      <c r="I779" s="38"/>
      <c r="J779" s="38"/>
    </row>
    <row r="780">
      <c r="D780" s="38"/>
      <c r="E780" s="38"/>
      <c r="F780" s="38"/>
      <c r="G780" s="38"/>
      <c r="H780" s="38"/>
      <c r="I780" s="38"/>
      <c r="J780" s="38"/>
    </row>
    <row r="781">
      <c r="D781" s="38"/>
      <c r="E781" s="38"/>
      <c r="F781" s="38"/>
      <c r="G781" s="38"/>
      <c r="H781" s="38"/>
      <c r="I781" s="38"/>
      <c r="J781" s="38"/>
    </row>
    <row r="782">
      <c r="D782" s="38"/>
      <c r="E782" s="38"/>
      <c r="F782" s="38"/>
      <c r="G782" s="38"/>
      <c r="H782" s="38"/>
      <c r="I782" s="38"/>
      <c r="J782" s="38"/>
    </row>
    <row r="783">
      <c r="D783" s="38"/>
      <c r="E783" s="38"/>
      <c r="F783" s="38"/>
      <c r="G783" s="38"/>
      <c r="H783" s="38"/>
      <c r="I783" s="38"/>
      <c r="J783" s="38"/>
    </row>
    <row r="784">
      <c r="D784" s="38"/>
      <c r="E784" s="38"/>
      <c r="F784" s="38"/>
      <c r="G784" s="38"/>
      <c r="H784" s="38"/>
      <c r="I784" s="38"/>
      <c r="J784" s="38"/>
    </row>
    <row r="785">
      <c r="D785" s="38"/>
      <c r="E785" s="38"/>
      <c r="F785" s="38"/>
      <c r="G785" s="38"/>
      <c r="H785" s="38"/>
      <c r="I785" s="38"/>
      <c r="J785" s="38"/>
    </row>
    <row r="786">
      <c r="D786" s="38"/>
      <c r="E786" s="38"/>
      <c r="F786" s="38"/>
      <c r="G786" s="38"/>
      <c r="H786" s="38"/>
      <c r="I786" s="38"/>
      <c r="J786" s="38"/>
    </row>
    <row r="787">
      <c r="D787" s="38"/>
      <c r="E787" s="38"/>
      <c r="F787" s="38"/>
      <c r="G787" s="38"/>
      <c r="H787" s="38"/>
      <c r="I787" s="38"/>
      <c r="J787" s="38"/>
    </row>
    <row r="788">
      <c r="D788" s="38"/>
      <c r="E788" s="38"/>
      <c r="F788" s="38"/>
      <c r="G788" s="38"/>
      <c r="H788" s="38"/>
      <c r="I788" s="38"/>
      <c r="J788" s="38"/>
    </row>
    <row r="789">
      <c r="D789" s="38"/>
      <c r="E789" s="38"/>
      <c r="F789" s="38"/>
      <c r="G789" s="38"/>
      <c r="H789" s="38"/>
      <c r="I789" s="38"/>
      <c r="J789" s="38"/>
    </row>
    <row r="790">
      <c r="D790" s="38"/>
      <c r="E790" s="38"/>
      <c r="F790" s="38"/>
      <c r="G790" s="38"/>
      <c r="H790" s="38"/>
      <c r="I790" s="38"/>
      <c r="J790" s="38"/>
    </row>
    <row r="791">
      <c r="D791" s="38"/>
      <c r="E791" s="38"/>
      <c r="F791" s="38"/>
      <c r="G791" s="38"/>
      <c r="H791" s="38"/>
      <c r="I791" s="38"/>
      <c r="J791" s="38"/>
    </row>
    <row r="792">
      <c r="D792" s="38"/>
      <c r="E792" s="38"/>
      <c r="F792" s="38"/>
      <c r="G792" s="38"/>
      <c r="H792" s="38"/>
      <c r="I792" s="38"/>
      <c r="J792" s="38"/>
    </row>
    <row r="793">
      <c r="D793" s="38"/>
      <c r="E793" s="38"/>
      <c r="F793" s="38"/>
      <c r="G793" s="38"/>
      <c r="H793" s="38"/>
      <c r="I793" s="38"/>
      <c r="J793" s="38"/>
    </row>
    <row r="794">
      <c r="D794" s="38"/>
      <c r="E794" s="38"/>
      <c r="F794" s="38"/>
      <c r="G794" s="38"/>
      <c r="H794" s="38"/>
      <c r="I794" s="38"/>
      <c r="J794" s="38"/>
    </row>
    <row r="795">
      <c r="D795" s="38"/>
      <c r="E795" s="38"/>
      <c r="F795" s="38"/>
      <c r="G795" s="38"/>
      <c r="H795" s="38"/>
      <c r="I795" s="38"/>
      <c r="J795" s="38"/>
    </row>
    <row r="796">
      <c r="D796" s="38"/>
      <c r="E796" s="38"/>
      <c r="F796" s="38"/>
      <c r="G796" s="38"/>
      <c r="H796" s="38"/>
      <c r="I796" s="38"/>
      <c r="J796" s="38"/>
    </row>
    <row r="797">
      <c r="D797" s="38"/>
      <c r="E797" s="38"/>
      <c r="F797" s="38"/>
      <c r="G797" s="38"/>
      <c r="H797" s="38"/>
      <c r="I797" s="38"/>
      <c r="J797" s="38"/>
    </row>
    <row r="798">
      <c r="D798" s="38"/>
      <c r="E798" s="38"/>
      <c r="F798" s="38"/>
      <c r="G798" s="38"/>
      <c r="H798" s="38"/>
      <c r="I798" s="38"/>
      <c r="J798" s="38"/>
    </row>
    <row r="799">
      <c r="D799" s="38"/>
      <c r="E799" s="38"/>
      <c r="F799" s="38"/>
      <c r="G799" s="38"/>
      <c r="H799" s="38"/>
      <c r="I799" s="38"/>
      <c r="J799" s="38"/>
    </row>
    <row r="800">
      <c r="D800" s="38"/>
      <c r="E800" s="38"/>
      <c r="F800" s="38"/>
      <c r="G800" s="38"/>
      <c r="H800" s="38"/>
      <c r="I800" s="38"/>
      <c r="J800" s="38"/>
    </row>
    <row r="801">
      <c r="D801" s="38"/>
      <c r="E801" s="38"/>
      <c r="F801" s="38"/>
      <c r="G801" s="38"/>
      <c r="H801" s="38"/>
      <c r="I801" s="38"/>
      <c r="J801" s="38"/>
    </row>
    <row r="802">
      <c r="D802" s="38"/>
      <c r="E802" s="38"/>
      <c r="F802" s="38"/>
      <c r="G802" s="38"/>
      <c r="H802" s="38"/>
      <c r="I802" s="38"/>
      <c r="J802" s="38"/>
    </row>
    <row r="803">
      <c r="D803" s="38"/>
      <c r="E803" s="38"/>
      <c r="F803" s="38"/>
      <c r="G803" s="38"/>
      <c r="H803" s="38"/>
      <c r="I803" s="38"/>
      <c r="J803" s="38"/>
    </row>
    <row r="804">
      <c r="D804" s="38"/>
      <c r="E804" s="38"/>
      <c r="F804" s="38"/>
      <c r="G804" s="38"/>
      <c r="H804" s="38"/>
      <c r="I804" s="38"/>
      <c r="J804" s="38"/>
    </row>
    <row r="805">
      <c r="D805" s="38"/>
      <c r="E805" s="38"/>
      <c r="F805" s="38"/>
      <c r="G805" s="38"/>
      <c r="H805" s="38"/>
      <c r="I805" s="38"/>
      <c r="J805" s="38"/>
    </row>
    <row r="806">
      <c r="D806" s="38"/>
      <c r="E806" s="38"/>
      <c r="F806" s="38"/>
      <c r="G806" s="38"/>
      <c r="H806" s="38"/>
      <c r="I806" s="38"/>
      <c r="J806" s="38"/>
    </row>
    <row r="807">
      <c r="D807" s="38"/>
      <c r="E807" s="38"/>
      <c r="F807" s="38"/>
      <c r="G807" s="38"/>
      <c r="H807" s="38"/>
      <c r="I807" s="38"/>
      <c r="J807" s="38"/>
    </row>
    <row r="808">
      <c r="D808" s="38"/>
      <c r="E808" s="38"/>
      <c r="F808" s="38"/>
      <c r="G808" s="38"/>
      <c r="H808" s="38"/>
      <c r="I808" s="38"/>
      <c r="J808" s="38"/>
    </row>
    <row r="809">
      <c r="D809" s="38"/>
      <c r="E809" s="38"/>
      <c r="F809" s="38"/>
      <c r="G809" s="38"/>
      <c r="H809" s="38"/>
      <c r="I809" s="38"/>
      <c r="J809" s="38"/>
    </row>
    <row r="810">
      <c r="D810" s="38"/>
      <c r="E810" s="38"/>
      <c r="F810" s="38"/>
      <c r="G810" s="38"/>
      <c r="H810" s="38"/>
      <c r="I810" s="38"/>
      <c r="J810" s="38"/>
    </row>
    <row r="811">
      <c r="D811" s="38"/>
      <c r="E811" s="38"/>
      <c r="F811" s="38"/>
      <c r="G811" s="38"/>
      <c r="H811" s="38"/>
      <c r="I811" s="38"/>
      <c r="J811" s="38"/>
    </row>
    <row r="812">
      <c r="D812" s="38"/>
      <c r="E812" s="38"/>
      <c r="F812" s="38"/>
      <c r="G812" s="38"/>
      <c r="H812" s="38"/>
      <c r="I812" s="38"/>
      <c r="J812" s="38"/>
    </row>
    <row r="813">
      <c r="D813" s="38"/>
      <c r="E813" s="38"/>
      <c r="F813" s="38"/>
      <c r="G813" s="38"/>
      <c r="H813" s="38"/>
      <c r="I813" s="38"/>
      <c r="J813" s="38"/>
    </row>
    <row r="814">
      <c r="D814" s="38"/>
      <c r="E814" s="38"/>
      <c r="F814" s="38"/>
      <c r="G814" s="38"/>
      <c r="H814" s="38"/>
      <c r="I814" s="38"/>
      <c r="J814" s="38"/>
    </row>
    <row r="815">
      <c r="D815" s="38"/>
      <c r="E815" s="38"/>
      <c r="F815" s="38"/>
      <c r="G815" s="38"/>
      <c r="H815" s="38"/>
      <c r="I815" s="38"/>
      <c r="J815" s="38"/>
    </row>
    <row r="816">
      <c r="D816" s="38"/>
      <c r="E816" s="38"/>
      <c r="F816" s="38"/>
      <c r="G816" s="38"/>
      <c r="H816" s="38"/>
      <c r="I816" s="38"/>
      <c r="J816" s="38"/>
    </row>
    <row r="817">
      <c r="D817" s="38"/>
      <c r="E817" s="38"/>
      <c r="F817" s="38"/>
      <c r="G817" s="38"/>
      <c r="H817" s="38"/>
      <c r="I817" s="38"/>
      <c r="J817" s="38"/>
    </row>
    <row r="818">
      <c r="D818" s="38"/>
      <c r="E818" s="38"/>
      <c r="F818" s="38"/>
      <c r="G818" s="38"/>
      <c r="H818" s="38"/>
      <c r="I818" s="38"/>
      <c r="J818" s="38"/>
    </row>
    <row r="819">
      <c r="D819" s="38"/>
      <c r="E819" s="38"/>
      <c r="F819" s="38"/>
      <c r="G819" s="38"/>
      <c r="H819" s="38"/>
      <c r="I819" s="38"/>
      <c r="J819" s="38"/>
    </row>
    <row r="820">
      <c r="D820" s="38"/>
      <c r="E820" s="38"/>
      <c r="F820" s="38"/>
      <c r="G820" s="38"/>
      <c r="H820" s="38"/>
      <c r="I820" s="38"/>
      <c r="J820" s="38"/>
    </row>
    <row r="821">
      <c r="D821" s="38"/>
      <c r="E821" s="38"/>
      <c r="F821" s="38"/>
      <c r="G821" s="38"/>
      <c r="H821" s="38"/>
      <c r="I821" s="38"/>
      <c r="J821" s="38"/>
    </row>
    <row r="822">
      <c r="D822" s="38"/>
      <c r="E822" s="38"/>
      <c r="F822" s="38"/>
      <c r="G822" s="38"/>
      <c r="H822" s="38"/>
      <c r="I822" s="38"/>
      <c r="J822" s="38"/>
    </row>
    <row r="823">
      <c r="D823" s="38"/>
      <c r="E823" s="38"/>
      <c r="F823" s="38"/>
      <c r="G823" s="38"/>
      <c r="H823" s="38"/>
      <c r="I823" s="38"/>
      <c r="J823" s="38"/>
    </row>
    <row r="824">
      <c r="D824" s="38"/>
      <c r="E824" s="38"/>
      <c r="F824" s="38"/>
      <c r="G824" s="38"/>
      <c r="H824" s="38"/>
      <c r="I824" s="38"/>
      <c r="J824" s="38"/>
    </row>
    <row r="825">
      <c r="D825" s="38"/>
      <c r="E825" s="38"/>
      <c r="F825" s="38"/>
      <c r="G825" s="38"/>
      <c r="H825" s="38"/>
      <c r="I825" s="38"/>
      <c r="J825" s="38"/>
    </row>
    <row r="826">
      <c r="D826" s="38"/>
      <c r="E826" s="38"/>
      <c r="F826" s="38"/>
      <c r="G826" s="38"/>
      <c r="H826" s="38"/>
      <c r="I826" s="38"/>
      <c r="J826" s="38"/>
    </row>
    <row r="827">
      <c r="D827" s="38"/>
      <c r="E827" s="38"/>
      <c r="F827" s="38"/>
      <c r="G827" s="38"/>
      <c r="H827" s="38"/>
      <c r="I827" s="38"/>
      <c r="J827" s="38"/>
    </row>
    <row r="828">
      <c r="D828" s="38"/>
      <c r="E828" s="38"/>
      <c r="F828" s="38"/>
      <c r="G828" s="38"/>
      <c r="H828" s="38"/>
      <c r="I828" s="38"/>
      <c r="J828" s="38"/>
    </row>
    <row r="829">
      <c r="D829" s="38"/>
      <c r="E829" s="38"/>
      <c r="F829" s="38"/>
      <c r="G829" s="38"/>
      <c r="H829" s="38"/>
      <c r="I829" s="38"/>
      <c r="J829" s="38"/>
    </row>
    <row r="830">
      <c r="D830" s="38"/>
      <c r="E830" s="38"/>
      <c r="F830" s="38"/>
      <c r="G830" s="38"/>
      <c r="H830" s="38"/>
      <c r="I830" s="38"/>
      <c r="J830" s="38"/>
    </row>
    <row r="831">
      <c r="D831" s="38"/>
      <c r="E831" s="38"/>
      <c r="F831" s="38"/>
      <c r="G831" s="38"/>
      <c r="H831" s="38"/>
      <c r="I831" s="38"/>
      <c r="J831" s="38"/>
    </row>
    <row r="832">
      <c r="D832" s="38"/>
      <c r="E832" s="38"/>
      <c r="F832" s="38"/>
      <c r="G832" s="38"/>
      <c r="H832" s="38"/>
      <c r="I832" s="38"/>
      <c r="J832" s="38"/>
    </row>
    <row r="833">
      <c r="D833" s="38"/>
      <c r="E833" s="38"/>
      <c r="F833" s="38"/>
      <c r="G833" s="38"/>
      <c r="H833" s="38"/>
      <c r="I833" s="38"/>
      <c r="J833" s="38"/>
    </row>
    <row r="834">
      <c r="D834" s="38"/>
      <c r="E834" s="38"/>
      <c r="F834" s="38"/>
      <c r="G834" s="38"/>
      <c r="H834" s="38"/>
      <c r="I834" s="38"/>
      <c r="J834" s="38"/>
    </row>
    <row r="835">
      <c r="D835" s="38"/>
      <c r="E835" s="38"/>
      <c r="F835" s="38"/>
      <c r="G835" s="38"/>
      <c r="H835" s="38"/>
      <c r="I835" s="38"/>
      <c r="J835" s="38"/>
    </row>
    <row r="836">
      <c r="D836" s="38"/>
      <c r="E836" s="38"/>
      <c r="F836" s="38"/>
      <c r="G836" s="38"/>
      <c r="H836" s="38"/>
      <c r="I836" s="38"/>
      <c r="J836" s="38"/>
    </row>
    <row r="837">
      <c r="D837" s="38"/>
      <c r="E837" s="38"/>
      <c r="F837" s="38"/>
      <c r="G837" s="38"/>
      <c r="H837" s="38"/>
      <c r="I837" s="38"/>
      <c r="J837" s="38"/>
    </row>
    <row r="838">
      <c r="D838" s="38"/>
      <c r="E838" s="38"/>
      <c r="F838" s="38"/>
      <c r="G838" s="38"/>
      <c r="H838" s="38"/>
      <c r="I838" s="38"/>
      <c r="J838" s="38"/>
    </row>
    <row r="839">
      <c r="D839" s="38"/>
      <c r="E839" s="38"/>
      <c r="F839" s="38"/>
      <c r="G839" s="38"/>
      <c r="H839" s="38"/>
      <c r="I839" s="38"/>
      <c r="J839" s="38"/>
    </row>
    <row r="840">
      <c r="D840" s="38"/>
      <c r="E840" s="38"/>
      <c r="F840" s="38"/>
      <c r="G840" s="38"/>
      <c r="H840" s="38"/>
      <c r="I840" s="38"/>
      <c r="J840" s="38"/>
    </row>
    <row r="841">
      <c r="D841" s="38"/>
      <c r="E841" s="38"/>
      <c r="F841" s="38"/>
      <c r="G841" s="38"/>
      <c r="H841" s="38"/>
      <c r="I841" s="38"/>
      <c r="J841" s="38"/>
    </row>
    <row r="842">
      <c r="D842" s="38"/>
      <c r="E842" s="38"/>
      <c r="F842" s="38"/>
      <c r="G842" s="38"/>
      <c r="H842" s="38"/>
      <c r="I842" s="38"/>
      <c r="J842" s="38"/>
    </row>
    <row r="843">
      <c r="D843" s="38"/>
      <c r="E843" s="38"/>
      <c r="F843" s="38"/>
      <c r="G843" s="38"/>
      <c r="H843" s="38"/>
      <c r="I843" s="38"/>
      <c r="J843" s="38"/>
    </row>
    <row r="844">
      <c r="D844" s="38"/>
      <c r="E844" s="38"/>
      <c r="F844" s="38"/>
      <c r="G844" s="38"/>
      <c r="H844" s="38"/>
      <c r="I844" s="38"/>
      <c r="J844" s="38"/>
    </row>
    <row r="845">
      <c r="D845" s="38"/>
      <c r="E845" s="38"/>
      <c r="F845" s="38"/>
      <c r="G845" s="38"/>
      <c r="H845" s="38"/>
      <c r="I845" s="38"/>
      <c r="J845" s="38"/>
    </row>
    <row r="846">
      <c r="D846" s="38"/>
      <c r="E846" s="38"/>
      <c r="F846" s="38"/>
      <c r="G846" s="38"/>
      <c r="H846" s="38"/>
      <c r="I846" s="38"/>
      <c r="J846" s="38"/>
    </row>
    <row r="847">
      <c r="D847" s="38"/>
      <c r="E847" s="38"/>
      <c r="F847" s="38"/>
      <c r="G847" s="38"/>
      <c r="H847" s="38"/>
      <c r="I847" s="38"/>
      <c r="J847" s="38"/>
    </row>
    <row r="848">
      <c r="D848" s="38"/>
      <c r="E848" s="38"/>
      <c r="F848" s="38"/>
      <c r="G848" s="38"/>
      <c r="H848" s="38"/>
      <c r="I848" s="38"/>
      <c r="J848" s="38"/>
    </row>
    <row r="849">
      <c r="D849" s="38"/>
      <c r="E849" s="38"/>
      <c r="F849" s="38"/>
      <c r="G849" s="38"/>
      <c r="H849" s="38"/>
      <c r="I849" s="38"/>
      <c r="J849" s="38"/>
    </row>
    <row r="850">
      <c r="D850" s="38"/>
      <c r="E850" s="38"/>
      <c r="F850" s="38"/>
      <c r="G850" s="38"/>
      <c r="H850" s="38"/>
      <c r="I850" s="38"/>
      <c r="J850" s="38"/>
    </row>
    <row r="851">
      <c r="D851" s="38"/>
      <c r="E851" s="38"/>
      <c r="F851" s="38"/>
      <c r="G851" s="38"/>
      <c r="H851" s="38"/>
      <c r="I851" s="38"/>
      <c r="J851" s="38"/>
    </row>
    <row r="852">
      <c r="D852" s="38"/>
      <c r="E852" s="38"/>
      <c r="F852" s="38"/>
      <c r="G852" s="38"/>
      <c r="H852" s="38"/>
      <c r="I852" s="38"/>
      <c r="J852" s="38"/>
    </row>
    <row r="853">
      <c r="D853" s="38"/>
      <c r="E853" s="38"/>
      <c r="F853" s="38"/>
      <c r="G853" s="38"/>
      <c r="H853" s="38"/>
      <c r="I853" s="38"/>
      <c r="J853" s="38"/>
    </row>
    <row r="854">
      <c r="D854" s="38"/>
      <c r="E854" s="38"/>
      <c r="F854" s="38"/>
      <c r="G854" s="38"/>
      <c r="H854" s="38"/>
      <c r="I854" s="38"/>
      <c r="J854" s="38"/>
    </row>
    <row r="855">
      <c r="D855" s="38"/>
      <c r="E855" s="38"/>
      <c r="F855" s="38"/>
      <c r="G855" s="38"/>
      <c r="H855" s="38"/>
      <c r="I855" s="38"/>
      <c r="J855" s="38"/>
    </row>
    <row r="856">
      <c r="D856" s="38"/>
      <c r="E856" s="38"/>
      <c r="F856" s="38"/>
      <c r="G856" s="38"/>
      <c r="H856" s="38"/>
      <c r="I856" s="38"/>
      <c r="J856" s="38"/>
    </row>
    <row r="857">
      <c r="D857" s="38"/>
      <c r="E857" s="38"/>
      <c r="F857" s="38"/>
      <c r="G857" s="38"/>
      <c r="H857" s="38"/>
      <c r="I857" s="38"/>
      <c r="J857" s="38"/>
    </row>
    <row r="858">
      <c r="D858" s="38"/>
      <c r="E858" s="38"/>
      <c r="F858" s="38"/>
      <c r="G858" s="38"/>
      <c r="H858" s="38"/>
      <c r="I858" s="38"/>
      <c r="J858" s="38"/>
    </row>
    <row r="859">
      <c r="D859" s="38"/>
      <c r="E859" s="38"/>
      <c r="F859" s="38"/>
      <c r="G859" s="38"/>
      <c r="H859" s="38"/>
      <c r="I859" s="38"/>
      <c r="J859" s="38"/>
    </row>
    <row r="860">
      <c r="D860" s="38"/>
      <c r="E860" s="38"/>
      <c r="F860" s="38"/>
      <c r="G860" s="38"/>
      <c r="H860" s="38"/>
      <c r="I860" s="38"/>
      <c r="J860" s="38"/>
    </row>
    <row r="861">
      <c r="D861" s="38"/>
      <c r="E861" s="38"/>
      <c r="F861" s="38"/>
      <c r="G861" s="38"/>
      <c r="H861" s="38"/>
      <c r="I861" s="38"/>
      <c r="J861" s="38"/>
    </row>
    <row r="862">
      <c r="D862" s="38"/>
      <c r="E862" s="38"/>
      <c r="F862" s="38"/>
      <c r="G862" s="38"/>
      <c r="H862" s="38"/>
      <c r="I862" s="38"/>
      <c r="J862" s="38"/>
    </row>
    <row r="863">
      <c r="D863" s="38"/>
      <c r="E863" s="38"/>
      <c r="F863" s="38"/>
      <c r="G863" s="38"/>
      <c r="H863" s="38"/>
      <c r="I863" s="38"/>
      <c r="J863" s="38"/>
    </row>
    <row r="864">
      <c r="D864" s="38"/>
      <c r="E864" s="38"/>
      <c r="F864" s="38"/>
      <c r="G864" s="38"/>
      <c r="H864" s="38"/>
      <c r="I864" s="38"/>
      <c r="J864" s="38"/>
    </row>
    <row r="865">
      <c r="D865" s="38"/>
      <c r="E865" s="38"/>
      <c r="F865" s="38"/>
      <c r="G865" s="38"/>
      <c r="H865" s="38"/>
      <c r="I865" s="38"/>
      <c r="J865" s="38"/>
    </row>
    <row r="866">
      <c r="D866" s="38"/>
      <c r="E866" s="38"/>
      <c r="F866" s="38"/>
      <c r="G866" s="38"/>
      <c r="H866" s="38"/>
      <c r="I866" s="38"/>
      <c r="J866" s="38"/>
    </row>
    <row r="867">
      <c r="D867" s="38"/>
      <c r="E867" s="38"/>
      <c r="F867" s="38"/>
      <c r="G867" s="38"/>
      <c r="H867" s="38"/>
      <c r="I867" s="38"/>
      <c r="J867" s="38"/>
    </row>
    <row r="868">
      <c r="D868" s="38"/>
      <c r="E868" s="38"/>
      <c r="F868" s="38"/>
      <c r="G868" s="38"/>
      <c r="H868" s="38"/>
      <c r="I868" s="38"/>
      <c r="J868" s="38"/>
    </row>
    <row r="869">
      <c r="D869" s="38"/>
      <c r="E869" s="38"/>
      <c r="F869" s="38"/>
      <c r="G869" s="38"/>
      <c r="H869" s="38"/>
      <c r="I869" s="38"/>
      <c r="J869" s="38"/>
    </row>
    <row r="870">
      <c r="D870" s="38"/>
      <c r="E870" s="38"/>
      <c r="F870" s="38"/>
      <c r="G870" s="38"/>
      <c r="H870" s="38"/>
      <c r="I870" s="38"/>
      <c r="J870" s="38"/>
    </row>
    <row r="871">
      <c r="D871" s="38"/>
      <c r="E871" s="38"/>
      <c r="F871" s="38"/>
      <c r="G871" s="38"/>
      <c r="H871" s="38"/>
      <c r="I871" s="38"/>
      <c r="J871" s="38"/>
    </row>
    <row r="872">
      <c r="D872" s="38"/>
      <c r="E872" s="38"/>
      <c r="F872" s="38"/>
      <c r="G872" s="38"/>
      <c r="H872" s="38"/>
      <c r="I872" s="38"/>
      <c r="J872" s="38"/>
    </row>
    <row r="873">
      <c r="D873" s="38"/>
      <c r="E873" s="38"/>
      <c r="F873" s="38"/>
      <c r="G873" s="38"/>
      <c r="H873" s="38"/>
      <c r="I873" s="38"/>
      <c r="J873" s="38"/>
    </row>
    <row r="874">
      <c r="D874" s="38"/>
      <c r="E874" s="38"/>
      <c r="F874" s="38"/>
      <c r="G874" s="38"/>
      <c r="H874" s="38"/>
      <c r="I874" s="38"/>
      <c r="J874" s="38"/>
    </row>
    <row r="875">
      <c r="D875" s="38"/>
      <c r="E875" s="38"/>
      <c r="F875" s="38"/>
      <c r="G875" s="38"/>
      <c r="H875" s="38"/>
      <c r="I875" s="38"/>
      <c r="J875" s="38"/>
    </row>
    <row r="876">
      <c r="D876" s="38"/>
      <c r="E876" s="38"/>
      <c r="F876" s="38"/>
      <c r="G876" s="38"/>
      <c r="H876" s="38"/>
      <c r="I876" s="38"/>
      <c r="J876" s="38"/>
    </row>
    <row r="877">
      <c r="D877" s="38"/>
      <c r="E877" s="38"/>
      <c r="F877" s="38"/>
      <c r="G877" s="38"/>
      <c r="H877" s="38"/>
      <c r="I877" s="38"/>
      <c r="J877" s="38"/>
    </row>
    <row r="878">
      <c r="D878" s="38"/>
      <c r="E878" s="38"/>
      <c r="F878" s="38"/>
      <c r="G878" s="38"/>
      <c r="H878" s="38"/>
      <c r="I878" s="38"/>
      <c r="J878" s="38"/>
    </row>
    <row r="879">
      <c r="D879" s="38"/>
      <c r="E879" s="38"/>
      <c r="F879" s="38"/>
      <c r="G879" s="38"/>
      <c r="H879" s="38"/>
      <c r="I879" s="38"/>
      <c r="J879" s="38"/>
    </row>
    <row r="880">
      <c r="D880" s="38"/>
      <c r="E880" s="38"/>
      <c r="F880" s="38"/>
      <c r="G880" s="38"/>
      <c r="H880" s="38"/>
      <c r="I880" s="38"/>
      <c r="J880" s="38"/>
    </row>
    <row r="881">
      <c r="D881" s="38"/>
      <c r="E881" s="38"/>
      <c r="F881" s="38"/>
      <c r="G881" s="38"/>
      <c r="H881" s="38"/>
      <c r="I881" s="38"/>
      <c r="J881" s="38"/>
    </row>
    <row r="882">
      <c r="D882" s="38"/>
      <c r="E882" s="38"/>
      <c r="F882" s="38"/>
      <c r="G882" s="38"/>
      <c r="H882" s="38"/>
      <c r="I882" s="38"/>
      <c r="J882" s="38"/>
    </row>
    <row r="883">
      <c r="D883" s="38"/>
      <c r="E883" s="38"/>
      <c r="F883" s="38"/>
      <c r="G883" s="38"/>
      <c r="H883" s="38"/>
      <c r="I883" s="38"/>
      <c r="J883" s="38"/>
    </row>
    <row r="884">
      <c r="D884" s="38"/>
      <c r="E884" s="38"/>
      <c r="F884" s="38"/>
      <c r="G884" s="38"/>
      <c r="H884" s="38"/>
      <c r="I884" s="38"/>
      <c r="J884" s="38"/>
    </row>
    <row r="885">
      <c r="D885" s="38"/>
      <c r="E885" s="38"/>
      <c r="F885" s="38"/>
      <c r="G885" s="38"/>
      <c r="H885" s="38"/>
      <c r="I885" s="38"/>
      <c r="J885" s="38"/>
    </row>
    <row r="886">
      <c r="D886" s="38"/>
      <c r="E886" s="38"/>
      <c r="F886" s="38"/>
      <c r="G886" s="38"/>
      <c r="H886" s="38"/>
      <c r="I886" s="38"/>
      <c r="J886" s="38"/>
    </row>
    <row r="887">
      <c r="D887" s="38"/>
      <c r="E887" s="38"/>
      <c r="F887" s="38"/>
      <c r="G887" s="38"/>
      <c r="H887" s="38"/>
      <c r="I887" s="38"/>
      <c r="J887" s="38"/>
    </row>
    <row r="888">
      <c r="D888" s="38"/>
      <c r="E888" s="38"/>
      <c r="F888" s="38"/>
      <c r="G888" s="38"/>
      <c r="H888" s="38"/>
      <c r="I888" s="38"/>
      <c r="J888" s="38"/>
    </row>
    <row r="889">
      <c r="D889" s="38"/>
      <c r="E889" s="38"/>
      <c r="F889" s="38"/>
      <c r="G889" s="38"/>
      <c r="H889" s="38"/>
      <c r="I889" s="38"/>
      <c r="J889" s="38"/>
    </row>
    <row r="890">
      <c r="D890" s="38"/>
      <c r="E890" s="38"/>
      <c r="F890" s="38"/>
      <c r="G890" s="38"/>
      <c r="H890" s="38"/>
      <c r="I890" s="38"/>
      <c r="J890" s="38"/>
    </row>
    <row r="891">
      <c r="D891" s="38"/>
      <c r="E891" s="38"/>
      <c r="F891" s="38"/>
      <c r="G891" s="38"/>
      <c r="H891" s="38"/>
      <c r="I891" s="38"/>
      <c r="J891" s="38"/>
    </row>
    <row r="892">
      <c r="D892" s="38"/>
      <c r="E892" s="38"/>
      <c r="F892" s="38"/>
      <c r="G892" s="38"/>
      <c r="H892" s="38"/>
      <c r="I892" s="38"/>
      <c r="J892" s="38"/>
    </row>
    <row r="893">
      <c r="D893" s="38"/>
      <c r="E893" s="38"/>
      <c r="F893" s="38"/>
      <c r="G893" s="38"/>
      <c r="H893" s="38"/>
      <c r="I893" s="38"/>
      <c r="J893" s="38"/>
    </row>
    <row r="894">
      <c r="D894" s="38"/>
      <c r="E894" s="38"/>
      <c r="F894" s="38"/>
      <c r="G894" s="38"/>
      <c r="H894" s="38"/>
      <c r="I894" s="38"/>
      <c r="J894" s="38"/>
    </row>
    <row r="895">
      <c r="D895" s="38"/>
      <c r="E895" s="38"/>
      <c r="F895" s="38"/>
      <c r="G895" s="38"/>
      <c r="H895" s="38"/>
      <c r="I895" s="38"/>
      <c r="J895" s="38"/>
    </row>
    <row r="896">
      <c r="D896" s="38"/>
      <c r="E896" s="38"/>
      <c r="F896" s="38"/>
      <c r="G896" s="38"/>
      <c r="H896" s="38"/>
      <c r="I896" s="38"/>
      <c r="J896" s="38"/>
    </row>
    <row r="897">
      <c r="D897" s="38"/>
      <c r="E897" s="38"/>
      <c r="F897" s="38"/>
      <c r="G897" s="38"/>
      <c r="H897" s="38"/>
      <c r="I897" s="38"/>
      <c r="J897" s="38"/>
    </row>
    <row r="898">
      <c r="D898" s="38"/>
      <c r="E898" s="38"/>
      <c r="F898" s="38"/>
      <c r="G898" s="38"/>
      <c r="H898" s="38"/>
      <c r="I898" s="38"/>
      <c r="J898" s="38"/>
    </row>
    <row r="899">
      <c r="D899" s="38"/>
      <c r="E899" s="38"/>
      <c r="F899" s="38"/>
      <c r="G899" s="38"/>
      <c r="H899" s="38"/>
      <c r="I899" s="38"/>
      <c r="J899" s="38"/>
    </row>
    <row r="900">
      <c r="D900" s="38"/>
      <c r="E900" s="38"/>
      <c r="F900" s="38"/>
      <c r="G900" s="38"/>
      <c r="H900" s="38"/>
      <c r="I900" s="38"/>
      <c r="J900" s="38"/>
    </row>
    <row r="901">
      <c r="D901" s="38"/>
      <c r="E901" s="38"/>
      <c r="F901" s="38"/>
      <c r="G901" s="38"/>
      <c r="H901" s="38"/>
      <c r="I901" s="38"/>
      <c r="J901" s="38"/>
    </row>
    <row r="902">
      <c r="D902" s="38"/>
      <c r="E902" s="38"/>
      <c r="F902" s="38"/>
      <c r="G902" s="38"/>
      <c r="H902" s="38"/>
      <c r="I902" s="38"/>
      <c r="J902" s="38"/>
    </row>
    <row r="903">
      <c r="D903" s="38"/>
      <c r="E903" s="38"/>
      <c r="F903" s="38"/>
      <c r="G903" s="38"/>
      <c r="H903" s="38"/>
      <c r="I903" s="38"/>
      <c r="J903" s="38"/>
    </row>
    <row r="904">
      <c r="D904" s="38"/>
      <c r="E904" s="38"/>
      <c r="F904" s="38"/>
      <c r="G904" s="38"/>
      <c r="H904" s="38"/>
      <c r="I904" s="38"/>
      <c r="J904" s="38"/>
    </row>
    <row r="905">
      <c r="D905" s="38"/>
      <c r="E905" s="38"/>
      <c r="F905" s="38"/>
      <c r="G905" s="38"/>
      <c r="H905" s="38"/>
      <c r="I905" s="38"/>
      <c r="J905" s="38"/>
    </row>
    <row r="906">
      <c r="D906" s="38"/>
      <c r="E906" s="38"/>
      <c r="F906" s="38"/>
      <c r="G906" s="38"/>
      <c r="H906" s="38"/>
      <c r="I906" s="38"/>
      <c r="J906" s="38"/>
    </row>
    <row r="907">
      <c r="D907" s="38"/>
      <c r="E907" s="38"/>
      <c r="F907" s="38"/>
      <c r="G907" s="38"/>
      <c r="H907" s="38"/>
      <c r="I907" s="38"/>
      <c r="J907" s="38"/>
    </row>
    <row r="908">
      <c r="D908" s="38"/>
      <c r="E908" s="38"/>
      <c r="F908" s="38"/>
      <c r="G908" s="38"/>
      <c r="H908" s="38"/>
      <c r="I908" s="38"/>
      <c r="J908" s="38"/>
    </row>
    <row r="909">
      <c r="D909" s="38"/>
      <c r="E909" s="38"/>
      <c r="F909" s="38"/>
      <c r="G909" s="38"/>
      <c r="H909" s="38"/>
      <c r="I909" s="38"/>
      <c r="J909" s="38"/>
    </row>
    <row r="910">
      <c r="D910" s="38"/>
      <c r="E910" s="38"/>
      <c r="F910" s="38"/>
      <c r="G910" s="38"/>
      <c r="H910" s="38"/>
      <c r="I910" s="38"/>
      <c r="J910" s="38"/>
    </row>
    <row r="911">
      <c r="D911" s="38"/>
      <c r="E911" s="38"/>
      <c r="F911" s="38"/>
      <c r="G911" s="38"/>
      <c r="H911" s="38"/>
      <c r="I911" s="38"/>
      <c r="J911" s="38"/>
    </row>
    <row r="912">
      <c r="D912" s="38"/>
      <c r="E912" s="38"/>
      <c r="F912" s="38"/>
      <c r="G912" s="38"/>
      <c r="H912" s="38"/>
      <c r="I912" s="38"/>
      <c r="J912" s="38"/>
    </row>
    <row r="913">
      <c r="D913" s="38"/>
      <c r="E913" s="38"/>
      <c r="F913" s="38"/>
      <c r="G913" s="38"/>
      <c r="H913" s="38"/>
      <c r="I913" s="38"/>
      <c r="J913" s="38"/>
    </row>
    <row r="914">
      <c r="D914" s="38"/>
      <c r="E914" s="38"/>
      <c r="F914" s="38"/>
      <c r="G914" s="38"/>
      <c r="H914" s="38"/>
      <c r="I914" s="38"/>
      <c r="J914" s="38"/>
    </row>
    <row r="915">
      <c r="D915" s="38"/>
      <c r="E915" s="38"/>
      <c r="F915" s="38"/>
      <c r="G915" s="38"/>
      <c r="H915" s="38"/>
      <c r="I915" s="38"/>
      <c r="J915" s="38"/>
    </row>
    <row r="916">
      <c r="D916" s="38"/>
      <c r="E916" s="38"/>
      <c r="F916" s="38"/>
      <c r="G916" s="38"/>
      <c r="H916" s="38"/>
      <c r="I916" s="38"/>
      <c r="J916" s="38"/>
    </row>
    <row r="917">
      <c r="D917" s="38"/>
      <c r="E917" s="38"/>
      <c r="F917" s="38"/>
      <c r="G917" s="38"/>
      <c r="H917" s="38"/>
      <c r="I917" s="38"/>
      <c r="J917" s="38"/>
    </row>
    <row r="918">
      <c r="D918" s="38"/>
      <c r="E918" s="38"/>
      <c r="F918" s="38"/>
      <c r="G918" s="38"/>
      <c r="H918" s="38"/>
      <c r="I918" s="38"/>
      <c r="J918" s="38"/>
    </row>
    <row r="919">
      <c r="D919" s="38"/>
      <c r="E919" s="38"/>
      <c r="F919" s="38"/>
      <c r="G919" s="38"/>
      <c r="H919" s="38"/>
      <c r="I919" s="38"/>
      <c r="J919" s="38"/>
    </row>
    <row r="920">
      <c r="D920" s="38"/>
      <c r="E920" s="38"/>
      <c r="F920" s="38"/>
      <c r="G920" s="38"/>
      <c r="H920" s="38"/>
      <c r="I920" s="38"/>
      <c r="J920" s="38"/>
    </row>
    <row r="921">
      <c r="D921" s="38"/>
      <c r="E921" s="38"/>
      <c r="F921" s="38"/>
      <c r="G921" s="38"/>
      <c r="H921" s="38"/>
      <c r="I921" s="38"/>
      <c r="J921" s="38"/>
    </row>
    <row r="922">
      <c r="D922" s="38"/>
      <c r="E922" s="38"/>
      <c r="F922" s="38"/>
      <c r="G922" s="38"/>
      <c r="H922" s="38"/>
      <c r="I922" s="38"/>
      <c r="J922" s="38"/>
    </row>
    <row r="923">
      <c r="D923" s="38"/>
      <c r="E923" s="38"/>
      <c r="F923" s="38"/>
      <c r="G923" s="38"/>
      <c r="H923" s="38"/>
      <c r="I923" s="38"/>
      <c r="J923" s="38"/>
    </row>
    <row r="924">
      <c r="D924" s="38"/>
      <c r="E924" s="38"/>
      <c r="F924" s="38"/>
      <c r="G924" s="38"/>
      <c r="H924" s="38"/>
      <c r="I924" s="38"/>
      <c r="J924" s="38"/>
    </row>
    <row r="925">
      <c r="D925" s="38"/>
      <c r="E925" s="38"/>
      <c r="F925" s="38"/>
      <c r="G925" s="38"/>
      <c r="H925" s="38"/>
      <c r="I925" s="38"/>
      <c r="J925" s="38"/>
    </row>
    <row r="926">
      <c r="D926" s="38"/>
      <c r="E926" s="38"/>
      <c r="F926" s="38"/>
      <c r="G926" s="38"/>
      <c r="H926" s="38"/>
      <c r="I926" s="38"/>
      <c r="J926" s="38"/>
    </row>
    <row r="927">
      <c r="D927" s="38"/>
      <c r="E927" s="38"/>
      <c r="F927" s="38"/>
      <c r="G927" s="38"/>
      <c r="H927" s="38"/>
      <c r="I927" s="38"/>
      <c r="J927" s="38"/>
    </row>
    <row r="928">
      <c r="D928" s="38"/>
      <c r="E928" s="38"/>
      <c r="F928" s="38"/>
      <c r="G928" s="38"/>
      <c r="H928" s="38"/>
      <c r="I928" s="38"/>
      <c r="J928" s="38"/>
    </row>
    <row r="929">
      <c r="D929" s="38"/>
      <c r="E929" s="38"/>
      <c r="F929" s="38"/>
      <c r="G929" s="38"/>
      <c r="H929" s="38"/>
      <c r="I929" s="38"/>
      <c r="J929" s="38"/>
    </row>
    <row r="930">
      <c r="D930" s="38"/>
      <c r="E930" s="38"/>
      <c r="F930" s="38"/>
      <c r="G930" s="38"/>
      <c r="H930" s="38"/>
      <c r="I930" s="38"/>
      <c r="J930" s="38"/>
    </row>
    <row r="931">
      <c r="D931" s="38"/>
      <c r="E931" s="38"/>
      <c r="F931" s="38"/>
      <c r="G931" s="38"/>
      <c r="H931" s="38"/>
      <c r="I931" s="38"/>
      <c r="J931" s="38"/>
    </row>
    <row r="932">
      <c r="D932" s="38"/>
      <c r="E932" s="38"/>
      <c r="F932" s="38"/>
      <c r="G932" s="38"/>
      <c r="H932" s="38"/>
      <c r="I932" s="38"/>
      <c r="J932" s="38"/>
    </row>
    <row r="933">
      <c r="D933" s="38"/>
      <c r="E933" s="38"/>
      <c r="F933" s="38"/>
      <c r="G933" s="38"/>
      <c r="H933" s="38"/>
      <c r="I933" s="38"/>
      <c r="J933" s="38"/>
    </row>
    <row r="934">
      <c r="D934" s="38"/>
      <c r="E934" s="38"/>
      <c r="F934" s="38"/>
      <c r="G934" s="38"/>
      <c r="H934" s="38"/>
      <c r="I934" s="38"/>
      <c r="J934" s="38"/>
    </row>
    <row r="935">
      <c r="D935" s="38"/>
      <c r="E935" s="38"/>
      <c r="F935" s="38"/>
      <c r="G935" s="38"/>
      <c r="H935" s="38"/>
      <c r="I935" s="38"/>
      <c r="J935" s="38"/>
    </row>
    <row r="936">
      <c r="D936" s="38"/>
      <c r="E936" s="38"/>
      <c r="F936" s="38"/>
      <c r="G936" s="38"/>
      <c r="H936" s="38"/>
      <c r="I936" s="38"/>
      <c r="J936" s="38"/>
    </row>
    <row r="937">
      <c r="D937" s="38"/>
      <c r="E937" s="38"/>
      <c r="F937" s="38"/>
      <c r="G937" s="38"/>
      <c r="H937" s="38"/>
      <c r="I937" s="38"/>
      <c r="J937" s="38"/>
    </row>
    <row r="938">
      <c r="D938" s="38"/>
      <c r="E938" s="38"/>
      <c r="F938" s="38"/>
      <c r="G938" s="38"/>
      <c r="H938" s="38"/>
      <c r="I938" s="38"/>
      <c r="J938" s="38"/>
    </row>
    <row r="939">
      <c r="D939" s="38"/>
      <c r="E939" s="38"/>
      <c r="F939" s="38"/>
      <c r="G939" s="38"/>
      <c r="H939" s="38"/>
      <c r="I939" s="38"/>
      <c r="J939" s="38"/>
    </row>
    <row r="940">
      <c r="D940" s="38"/>
      <c r="E940" s="38"/>
      <c r="F940" s="38"/>
      <c r="G940" s="38"/>
      <c r="H940" s="38"/>
      <c r="I940" s="38"/>
      <c r="J940" s="38"/>
    </row>
    <row r="941">
      <c r="D941" s="38"/>
      <c r="E941" s="38"/>
      <c r="F941" s="38"/>
      <c r="G941" s="38"/>
      <c r="H941" s="38"/>
      <c r="I941" s="38"/>
      <c r="J941" s="38"/>
    </row>
    <row r="942">
      <c r="D942" s="38"/>
      <c r="E942" s="38"/>
      <c r="F942" s="38"/>
      <c r="G942" s="38"/>
      <c r="H942" s="38"/>
      <c r="I942" s="38"/>
      <c r="J942" s="38"/>
    </row>
    <row r="943">
      <c r="D943" s="38"/>
      <c r="E943" s="38"/>
      <c r="F943" s="38"/>
      <c r="G943" s="38"/>
      <c r="H943" s="38"/>
      <c r="I943" s="38"/>
      <c r="J943" s="38"/>
    </row>
    <row r="944">
      <c r="D944" s="38"/>
      <c r="E944" s="38"/>
      <c r="F944" s="38"/>
      <c r="G944" s="38"/>
      <c r="H944" s="38"/>
      <c r="I944" s="38"/>
      <c r="J944" s="38"/>
    </row>
    <row r="945">
      <c r="D945" s="38"/>
      <c r="E945" s="38"/>
      <c r="F945" s="38"/>
      <c r="G945" s="38"/>
      <c r="H945" s="38"/>
      <c r="I945" s="38"/>
      <c r="J945" s="38"/>
    </row>
    <row r="946">
      <c r="D946" s="38"/>
      <c r="E946" s="38"/>
      <c r="F946" s="38"/>
      <c r="G946" s="38"/>
      <c r="H946" s="38"/>
      <c r="I946" s="38"/>
      <c r="J946" s="38"/>
    </row>
    <row r="947">
      <c r="D947" s="38"/>
      <c r="E947" s="38"/>
      <c r="F947" s="38"/>
      <c r="G947" s="38"/>
      <c r="H947" s="38"/>
      <c r="I947" s="38"/>
      <c r="J947" s="38"/>
    </row>
    <row r="948">
      <c r="D948" s="38"/>
      <c r="E948" s="38"/>
      <c r="F948" s="38"/>
      <c r="G948" s="38"/>
      <c r="H948" s="38"/>
      <c r="I948" s="38"/>
      <c r="J948" s="38"/>
    </row>
    <row r="949">
      <c r="D949" s="38"/>
      <c r="E949" s="38"/>
      <c r="F949" s="38"/>
      <c r="G949" s="38"/>
      <c r="H949" s="38"/>
      <c r="I949" s="38"/>
      <c r="J949" s="38"/>
    </row>
    <row r="950">
      <c r="D950" s="38"/>
      <c r="E950" s="38"/>
      <c r="F950" s="38"/>
      <c r="G950" s="38"/>
      <c r="H950" s="38"/>
      <c r="I950" s="38"/>
      <c r="J950" s="38"/>
    </row>
    <row r="951">
      <c r="D951" s="38"/>
      <c r="E951" s="38"/>
      <c r="F951" s="38"/>
      <c r="G951" s="38"/>
      <c r="H951" s="38"/>
      <c r="I951" s="38"/>
      <c r="J951" s="38"/>
    </row>
    <row r="952">
      <c r="D952" s="38"/>
      <c r="E952" s="38"/>
      <c r="F952" s="38"/>
      <c r="G952" s="38"/>
      <c r="H952" s="38"/>
      <c r="I952" s="38"/>
      <c r="J952" s="38"/>
    </row>
    <row r="953">
      <c r="D953" s="38"/>
      <c r="E953" s="38"/>
      <c r="F953" s="38"/>
      <c r="G953" s="38"/>
      <c r="H953" s="38"/>
      <c r="I953" s="38"/>
      <c r="J953" s="38"/>
    </row>
    <row r="954">
      <c r="D954" s="38"/>
      <c r="E954" s="38"/>
      <c r="F954" s="38"/>
      <c r="G954" s="38"/>
      <c r="H954" s="38"/>
      <c r="I954" s="38"/>
      <c r="J954" s="38"/>
    </row>
    <row r="955">
      <c r="D955" s="38"/>
      <c r="E955" s="38"/>
      <c r="F955" s="38"/>
      <c r="G955" s="38"/>
      <c r="H955" s="38"/>
      <c r="I955" s="38"/>
      <c r="J955" s="38"/>
    </row>
    <row r="956">
      <c r="D956" s="38"/>
      <c r="E956" s="38"/>
      <c r="F956" s="38"/>
      <c r="G956" s="38"/>
      <c r="H956" s="38"/>
      <c r="I956" s="38"/>
      <c r="J956" s="38"/>
    </row>
    <row r="957">
      <c r="D957" s="38"/>
      <c r="E957" s="38"/>
      <c r="F957" s="38"/>
      <c r="G957" s="38"/>
      <c r="H957" s="38"/>
      <c r="I957" s="38"/>
      <c r="J957" s="38"/>
    </row>
    <row r="958">
      <c r="D958" s="38"/>
      <c r="E958" s="38"/>
      <c r="F958" s="38"/>
      <c r="G958" s="38"/>
      <c r="H958" s="38"/>
      <c r="I958" s="38"/>
      <c r="J958" s="38"/>
    </row>
    <row r="959">
      <c r="D959" s="38"/>
      <c r="E959" s="38"/>
      <c r="F959" s="38"/>
      <c r="G959" s="38"/>
      <c r="H959" s="38"/>
      <c r="I959" s="38"/>
      <c r="J959" s="38"/>
    </row>
    <row r="960">
      <c r="D960" s="38"/>
      <c r="E960" s="38"/>
      <c r="F960" s="38"/>
      <c r="G960" s="38"/>
      <c r="H960" s="38"/>
      <c r="I960" s="38"/>
      <c r="J960" s="38"/>
    </row>
    <row r="961">
      <c r="D961" s="38"/>
      <c r="E961" s="38"/>
      <c r="F961" s="38"/>
      <c r="G961" s="38"/>
      <c r="H961" s="38"/>
      <c r="I961" s="38"/>
      <c r="J961" s="38"/>
    </row>
    <row r="962">
      <c r="D962" s="38"/>
      <c r="E962" s="38"/>
      <c r="F962" s="38"/>
      <c r="G962" s="38"/>
      <c r="H962" s="38"/>
      <c r="I962" s="38"/>
      <c r="J962" s="38"/>
    </row>
    <row r="963">
      <c r="D963" s="38"/>
      <c r="E963" s="38"/>
      <c r="F963" s="38"/>
      <c r="G963" s="38"/>
      <c r="H963" s="38"/>
      <c r="I963" s="38"/>
      <c r="J963" s="38"/>
    </row>
    <row r="964">
      <c r="D964" s="38"/>
      <c r="E964" s="38"/>
      <c r="F964" s="38"/>
      <c r="G964" s="38"/>
      <c r="H964" s="38"/>
      <c r="I964" s="38"/>
      <c r="J964" s="38"/>
    </row>
    <row r="965">
      <c r="D965" s="38"/>
      <c r="E965" s="38"/>
      <c r="F965" s="38"/>
      <c r="G965" s="38"/>
      <c r="H965" s="38"/>
      <c r="I965" s="38"/>
      <c r="J965" s="38"/>
    </row>
    <row r="966">
      <c r="D966" s="38"/>
      <c r="E966" s="38"/>
      <c r="F966" s="38"/>
      <c r="G966" s="38"/>
      <c r="H966" s="38"/>
      <c r="I966" s="38"/>
      <c r="J966" s="38"/>
    </row>
    <row r="967">
      <c r="D967" s="38"/>
      <c r="E967" s="38"/>
      <c r="F967" s="38"/>
      <c r="G967" s="38"/>
      <c r="H967" s="38"/>
      <c r="I967" s="38"/>
      <c r="J967" s="38"/>
    </row>
    <row r="968">
      <c r="D968" s="38"/>
      <c r="E968" s="38"/>
      <c r="F968" s="38"/>
      <c r="G968" s="38"/>
      <c r="H968" s="38"/>
      <c r="I968" s="38"/>
      <c r="J968" s="38"/>
    </row>
    <row r="969">
      <c r="D969" s="38"/>
      <c r="E969" s="38"/>
      <c r="F969" s="38"/>
      <c r="G969" s="38"/>
      <c r="H969" s="38"/>
      <c r="I969" s="38"/>
      <c r="J969" s="38"/>
    </row>
    <row r="970">
      <c r="D970" s="38"/>
      <c r="E970" s="38"/>
      <c r="F970" s="38"/>
      <c r="G970" s="38"/>
      <c r="H970" s="38"/>
      <c r="I970" s="38"/>
      <c r="J970" s="38"/>
    </row>
    <row r="971">
      <c r="D971" s="38"/>
      <c r="E971" s="38"/>
      <c r="F971" s="38"/>
      <c r="G971" s="38"/>
      <c r="H971" s="38"/>
      <c r="I971" s="38"/>
      <c r="J971" s="38"/>
    </row>
    <row r="972">
      <c r="D972" s="38"/>
      <c r="E972" s="38"/>
      <c r="F972" s="38"/>
      <c r="G972" s="38"/>
      <c r="H972" s="38"/>
      <c r="I972" s="38"/>
      <c r="J972" s="38"/>
    </row>
    <row r="973">
      <c r="D973" s="38"/>
      <c r="E973" s="38"/>
      <c r="F973" s="38"/>
      <c r="G973" s="38"/>
      <c r="H973" s="38"/>
      <c r="I973" s="38"/>
      <c r="J973" s="38"/>
    </row>
    <row r="974">
      <c r="D974" s="38"/>
      <c r="E974" s="38"/>
      <c r="F974" s="38"/>
      <c r="G974" s="38"/>
      <c r="H974" s="38"/>
      <c r="I974" s="38"/>
      <c r="J974" s="38"/>
    </row>
    <row r="975">
      <c r="D975" s="38"/>
      <c r="E975" s="38"/>
      <c r="F975" s="38"/>
      <c r="G975" s="38"/>
      <c r="H975" s="38"/>
      <c r="I975" s="38"/>
      <c r="J975" s="38"/>
    </row>
    <row r="976">
      <c r="D976" s="38"/>
      <c r="E976" s="38"/>
      <c r="F976" s="38"/>
      <c r="G976" s="38"/>
      <c r="H976" s="38"/>
      <c r="I976" s="38"/>
      <c r="J976" s="38"/>
    </row>
    <row r="977">
      <c r="D977" s="38"/>
      <c r="E977" s="38"/>
      <c r="F977" s="38"/>
      <c r="G977" s="38"/>
      <c r="H977" s="38"/>
      <c r="I977" s="38"/>
      <c r="J977" s="38"/>
    </row>
    <row r="978">
      <c r="D978" s="38"/>
      <c r="E978" s="38"/>
      <c r="F978" s="38"/>
      <c r="G978" s="38"/>
      <c r="H978" s="38"/>
      <c r="I978" s="38"/>
      <c r="J978" s="38"/>
    </row>
    <row r="979">
      <c r="D979" s="38"/>
      <c r="E979" s="38"/>
      <c r="F979" s="38"/>
      <c r="G979" s="38"/>
      <c r="H979" s="38"/>
      <c r="I979" s="38"/>
      <c r="J979" s="38"/>
    </row>
    <row r="980">
      <c r="D980" s="38"/>
      <c r="E980" s="38"/>
      <c r="F980" s="38"/>
      <c r="G980" s="38"/>
      <c r="H980" s="38"/>
      <c r="I980" s="38"/>
      <c r="J980" s="38"/>
    </row>
    <row r="981">
      <c r="D981" s="38"/>
      <c r="E981" s="38"/>
      <c r="F981" s="38"/>
      <c r="G981" s="38"/>
      <c r="H981" s="38"/>
      <c r="I981" s="38"/>
      <c r="J981" s="38"/>
    </row>
    <row r="982">
      <c r="D982" s="38"/>
      <c r="E982" s="38"/>
      <c r="F982" s="38"/>
      <c r="G982" s="38"/>
      <c r="H982" s="38"/>
      <c r="I982" s="38"/>
      <c r="J982" s="38"/>
    </row>
    <row r="983">
      <c r="D983" s="38"/>
      <c r="E983" s="38"/>
      <c r="F983" s="38"/>
      <c r="G983" s="38"/>
      <c r="H983" s="38"/>
      <c r="I983" s="38"/>
      <c r="J983" s="38"/>
    </row>
    <row r="984">
      <c r="D984" s="38"/>
      <c r="E984" s="38"/>
      <c r="F984" s="38"/>
      <c r="G984" s="38"/>
      <c r="H984" s="38"/>
      <c r="I984" s="38"/>
      <c r="J984" s="38"/>
    </row>
    <row r="985">
      <c r="D985" s="38"/>
      <c r="E985" s="38"/>
      <c r="F985" s="38"/>
      <c r="G985" s="38"/>
      <c r="H985" s="38"/>
      <c r="I985" s="38"/>
      <c r="J985" s="38"/>
    </row>
    <row r="986">
      <c r="D986" s="38"/>
      <c r="E986" s="38"/>
      <c r="F986" s="38"/>
      <c r="G986" s="38"/>
      <c r="H986" s="38"/>
      <c r="I986" s="38"/>
      <c r="J986" s="38"/>
    </row>
    <row r="987">
      <c r="D987" s="38"/>
      <c r="E987" s="38"/>
      <c r="F987" s="38"/>
      <c r="G987" s="38"/>
      <c r="H987" s="38"/>
      <c r="I987" s="38"/>
      <c r="J987" s="38"/>
    </row>
    <row r="988">
      <c r="D988" s="38"/>
      <c r="E988" s="38"/>
      <c r="F988" s="38"/>
      <c r="G988" s="38"/>
      <c r="H988" s="38"/>
      <c r="I988" s="38"/>
      <c r="J988" s="38"/>
    </row>
    <row r="989">
      <c r="D989" s="38"/>
      <c r="E989" s="38"/>
      <c r="F989" s="38"/>
      <c r="G989" s="38"/>
      <c r="H989" s="38"/>
      <c r="I989" s="38"/>
      <c r="J989" s="38"/>
    </row>
    <row r="990">
      <c r="D990" s="38"/>
      <c r="E990" s="38"/>
      <c r="F990" s="38"/>
      <c r="G990" s="38"/>
      <c r="H990" s="38"/>
      <c r="I990" s="38"/>
      <c r="J990" s="38"/>
    </row>
    <row r="991">
      <c r="D991" s="38"/>
      <c r="E991" s="38"/>
      <c r="F991" s="38"/>
      <c r="G991" s="38"/>
      <c r="H991" s="38"/>
      <c r="I991" s="38"/>
      <c r="J991" s="38"/>
    </row>
    <row r="992">
      <c r="D992" s="38"/>
      <c r="E992" s="38"/>
      <c r="F992" s="38"/>
      <c r="G992" s="38"/>
      <c r="H992" s="38"/>
      <c r="I992" s="38"/>
      <c r="J992" s="38"/>
    </row>
    <row r="993">
      <c r="D993" s="38"/>
      <c r="E993" s="38"/>
      <c r="F993" s="38"/>
      <c r="G993" s="38"/>
      <c r="H993" s="38"/>
      <c r="I993" s="38"/>
      <c r="J993" s="38"/>
    </row>
    <row r="994">
      <c r="D994" s="38"/>
      <c r="E994" s="38"/>
      <c r="F994" s="38"/>
      <c r="G994" s="38"/>
      <c r="H994" s="38"/>
      <c r="I994" s="38"/>
      <c r="J994" s="38"/>
    </row>
    <row r="995">
      <c r="D995" s="38"/>
      <c r="E995" s="38"/>
      <c r="F995" s="38"/>
      <c r="G995" s="38"/>
      <c r="H995" s="38"/>
      <c r="I995" s="38"/>
      <c r="J995" s="38"/>
    </row>
    <row r="996">
      <c r="D996" s="38"/>
      <c r="E996" s="38"/>
      <c r="F996" s="38"/>
      <c r="G996" s="38"/>
      <c r="H996" s="38"/>
      <c r="I996" s="38"/>
      <c r="J996" s="38"/>
    </row>
    <row r="997">
      <c r="D997" s="38"/>
      <c r="E997" s="38"/>
      <c r="F997" s="38"/>
      <c r="G997" s="38"/>
      <c r="H997" s="38"/>
      <c r="I997" s="38"/>
      <c r="J997" s="38"/>
    </row>
    <row r="998">
      <c r="D998" s="38"/>
      <c r="E998" s="38"/>
      <c r="F998" s="38"/>
      <c r="G998" s="38"/>
      <c r="H998" s="38"/>
      <c r="I998" s="38"/>
      <c r="J998" s="38"/>
    </row>
    <row r="999">
      <c r="D999" s="38"/>
      <c r="E999" s="38"/>
      <c r="F999" s="38"/>
      <c r="G999" s="38"/>
      <c r="H999" s="38"/>
      <c r="I999" s="38"/>
      <c r="J999" s="38"/>
    </row>
    <row r="1000">
      <c r="D1000" s="38"/>
      <c r="E1000" s="38"/>
      <c r="F1000" s="38"/>
      <c r="G1000" s="38"/>
      <c r="H1000" s="38"/>
      <c r="I1000" s="38"/>
      <c r="J1000" s="38"/>
    </row>
    <row r="1001">
      <c r="D1001" s="38"/>
      <c r="E1001" s="38"/>
      <c r="F1001" s="38"/>
      <c r="G1001" s="38"/>
      <c r="H1001" s="38"/>
      <c r="I1001" s="38"/>
      <c r="J1001" s="38"/>
    </row>
  </sheetData>
  <autoFilter ref="$A$1:$J$1001">
    <sortState ref="A1:J1001">
      <sortCondition descending="1" ref="E1:E1001"/>
      <sortCondition descending="1" ref="D1:D1001"/>
    </sortState>
  </autoFilter>
  <customSheetViews>
    <customSheetView guid="{B6312854-6345-493B-9D5A-580178527BAC}" filter="1" showAutoFilter="1">
      <autoFilter ref="$K$1:$O$1001">
        <filterColumn colId="2">
          <filters>
            <filter val="non-Reprod"/>
          </filters>
        </filterColumn>
      </autoFilter>
    </customSheetView>
  </customSheetViews>
  <mergeCells count="1">
    <mergeCell ref="K2:O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3.57"/>
    <col customWidth="1" min="12" max="12" width="23.14"/>
    <col customWidth="1" min="13" max="13" width="14.71"/>
  </cols>
  <sheetData>
    <row r="1">
      <c r="A1" s="32" t="s">
        <v>946</v>
      </c>
      <c r="B1" s="32" t="s">
        <v>947</v>
      </c>
      <c r="C1" s="32" t="s">
        <v>948</v>
      </c>
      <c r="D1" s="32" t="s">
        <v>949</v>
      </c>
      <c r="E1" s="32" t="s">
        <v>950</v>
      </c>
      <c r="F1" s="32" t="s">
        <v>951</v>
      </c>
      <c r="G1" s="32" t="s">
        <v>952</v>
      </c>
      <c r="H1" s="32" t="s">
        <v>953</v>
      </c>
      <c r="I1" s="32" t="s">
        <v>954</v>
      </c>
      <c r="N1" s="33" t="s">
        <v>955</v>
      </c>
    </row>
    <row r="2" hidden="1">
      <c r="A2" s="33">
        <v>416.0</v>
      </c>
      <c r="B2" s="33" t="s">
        <v>830</v>
      </c>
      <c r="C2" s="33" t="s">
        <v>825</v>
      </c>
      <c r="D2" s="34">
        <v>0.797619047619047</v>
      </c>
      <c r="E2" s="34">
        <v>0.971014492753623</v>
      </c>
      <c r="F2" s="34">
        <v>0.986928104575163</v>
      </c>
      <c r="G2" s="34">
        <v>-0.845238095238095</v>
      </c>
      <c r="H2" s="34">
        <v>0.0348639455782313</v>
      </c>
      <c r="I2" s="34">
        <v>1.04570791527313</v>
      </c>
      <c r="J2" s="34">
        <v>2.46428571428571</v>
      </c>
      <c r="K2" s="35" t="s">
        <v>956</v>
      </c>
    </row>
    <row r="3" hidden="1">
      <c r="A3" s="33">
        <v>415.0</v>
      </c>
      <c r="B3" s="33" t="s">
        <v>957</v>
      </c>
      <c r="C3" s="33" t="s">
        <v>826</v>
      </c>
      <c r="D3" s="34">
        <v>0.75</v>
      </c>
      <c r="E3" s="34">
        <v>0.969230769230769</v>
      </c>
      <c r="F3" s="34">
        <v>0.986577181208053</v>
      </c>
      <c r="G3" s="34">
        <v>-0.797619047619047</v>
      </c>
      <c r="H3" s="34">
        <v>0.0314625850340135</v>
      </c>
      <c r="I3" s="34">
        <v>1.04378698224852</v>
      </c>
      <c r="J3" s="34">
        <v>2.32142857142857</v>
      </c>
      <c r="K3" s="36">
        <v>318.0</v>
      </c>
      <c r="L3" s="36" t="s">
        <v>840</v>
      </c>
      <c r="M3" s="36" t="s">
        <v>837</v>
      </c>
      <c r="N3" s="37">
        <v>0.773809523809523</v>
      </c>
      <c r="O3" s="37">
        <v>0.915492957746478</v>
      </c>
    </row>
    <row r="4">
      <c r="A4" s="33">
        <v>414.0</v>
      </c>
      <c r="B4" s="33" t="s">
        <v>958</v>
      </c>
      <c r="C4" s="33" t="s">
        <v>825</v>
      </c>
      <c r="D4" s="34">
        <v>0.726190476190476</v>
      </c>
      <c r="E4" s="34">
        <v>0.968253968253968</v>
      </c>
      <c r="F4" s="34">
        <v>0.986394557823129</v>
      </c>
      <c r="G4" s="34">
        <v>-0.773809523809523</v>
      </c>
      <c r="H4" s="34">
        <v>0.0297619047619047</v>
      </c>
      <c r="I4" s="34">
        <v>1.04273504273504</v>
      </c>
      <c r="J4" s="34">
        <v>2.25</v>
      </c>
      <c r="K4" s="36">
        <v>309.0</v>
      </c>
      <c r="L4" s="36" t="s">
        <v>64</v>
      </c>
      <c r="M4" s="36" t="s">
        <v>825</v>
      </c>
      <c r="N4" s="37">
        <v>0.75</v>
      </c>
      <c r="O4" s="37">
        <v>0.913043478260869</v>
      </c>
    </row>
    <row r="5" hidden="1">
      <c r="A5" s="33">
        <v>411.0</v>
      </c>
      <c r="B5" s="33" t="s">
        <v>959</v>
      </c>
      <c r="C5" s="33" t="s">
        <v>825</v>
      </c>
      <c r="D5" s="34">
        <v>0.714285714285714</v>
      </c>
      <c r="E5" s="34">
        <v>0.967741935483871</v>
      </c>
      <c r="F5" s="34">
        <v>0.986301369863013</v>
      </c>
      <c r="G5" s="34">
        <v>-0.761904761904762</v>
      </c>
      <c r="H5" s="34">
        <v>0.0289115646258503</v>
      </c>
      <c r="I5" s="34">
        <v>1.04218362282878</v>
      </c>
      <c r="J5" s="34">
        <v>2.21428571428571</v>
      </c>
      <c r="K5" s="36">
        <v>302.0</v>
      </c>
      <c r="L5" s="36" t="s">
        <v>842</v>
      </c>
      <c r="M5" s="36" t="s">
        <v>837</v>
      </c>
      <c r="N5" s="37">
        <v>0.738095238095238</v>
      </c>
      <c r="O5" s="37">
        <v>0.911764705882352</v>
      </c>
    </row>
    <row r="6" hidden="1">
      <c r="A6" s="33">
        <v>412.0</v>
      </c>
      <c r="B6" s="33" t="s">
        <v>960</v>
      </c>
      <c r="C6" s="33" t="s">
        <v>825</v>
      </c>
      <c r="D6" s="34">
        <v>0.714285714285714</v>
      </c>
      <c r="E6" s="34">
        <v>0.967741935483871</v>
      </c>
      <c r="F6" s="34">
        <v>0.986301369863013</v>
      </c>
      <c r="G6" s="34">
        <v>-0.761904761904762</v>
      </c>
      <c r="H6" s="34">
        <v>0.0289115646258503</v>
      </c>
      <c r="I6" s="34">
        <v>1.04218362282878</v>
      </c>
      <c r="J6" s="34">
        <v>2.21428571428571</v>
      </c>
      <c r="K6" s="36">
        <v>284.0</v>
      </c>
      <c r="L6" s="36" t="s">
        <v>843</v>
      </c>
      <c r="M6" s="36" t="s">
        <v>837</v>
      </c>
      <c r="N6" s="37">
        <v>0.714285714285714</v>
      </c>
      <c r="O6" s="37">
        <v>0.909090909090909</v>
      </c>
    </row>
    <row r="7" hidden="1">
      <c r="A7" s="33">
        <v>413.0</v>
      </c>
      <c r="B7" s="33" t="s">
        <v>961</v>
      </c>
      <c r="C7" s="33" t="s">
        <v>825</v>
      </c>
      <c r="D7" s="34">
        <v>0.714285714285714</v>
      </c>
      <c r="E7" s="34">
        <v>0.967741935483871</v>
      </c>
      <c r="F7" s="34">
        <v>0.986301369863013</v>
      </c>
      <c r="G7" s="34">
        <v>-0.761904761904762</v>
      </c>
      <c r="H7" s="34">
        <v>0.0289115646258503</v>
      </c>
      <c r="I7" s="34">
        <v>1.04218362282878</v>
      </c>
      <c r="J7" s="34">
        <v>2.21428571428571</v>
      </c>
      <c r="K7" s="36">
        <v>287.0</v>
      </c>
      <c r="L7" s="36" t="s">
        <v>843</v>
      </c>
      <c r="M7" s="36" t="s">
        <v>835</v>
      </c>
      <c r="N7" s="37">
        <v>0.714285714285714</v>
      </c>
      <c r="O7" s="37">
        <v>0.909090909090909</v>
      </c>
    </row>
    <row r="8" hidden="1">
      <c r="A8" s="33">
        <v>409.0</v>
      </c>
      <c r="B8" s="33" t="s">
        <v>829</v>
      </c>
      <c r="C8" s="33" t="s">
        <v>825</v>
      </c>
      <c r="D8" s="34">
        <v>0.702380952380952</v>
      </c>
      <c r="E8" s="34">
        <v>0.967213114754098</v>
      </c>
      <c r="F8" s="34">
        <v>0.986206896551724</v>
      </c>
      <c r="G8" s="34">
        <v>-0.75</v>
      </c>
      <c r="H8" s="34">
        <v>0.0280612244897958</v>
      </c>
      <c r="I8" s="34">
        <v>1.04161412358133</v>
      </c>
      <c r="J8" s="34">
        <v>2.17857142857142</v>
      </c>
      <c r="K8" s="36">
        <v>255.0</v>
      </c>
      <c r="L8" s="36" t="s">
        <v>841</v>
      </c>
      <c r="M8" s="36" t="s">
        <v>837</v>
      </c>
      <c r="N8" s="37">
        <v>0.761904761904761</v>
      </c>
      <c r="O8" s="37">
        <v>0.901408450704225</v>
      </c>
    </row>
    <row r="9" hidden="1">
      <c r="A9" s="33">
        <v>410.0</v>
      </c>
      <c r="B9" s="33" t="s">
        <v>962</v>
      </c>
      <c r="C9" s="33" t="s">
        <v>826</v>
      </c>
      <c r="D9" s="34">
        <v>0.702380952380952</v>
      </c>
      <c r="E9" s="34">
        <v>0.967213114754098</v>
      </c>
      <c r="F9" s="34">
        <v>0.986206896551724</v>
      </c>
      <c r="G9" s="34">
        <v>-0.75</v>
      </c>
      <c r="H9" s="34">
        <v>0.0280612244897958</v>
      </c>
      <c r="I9" s="34">
        <v>1.04161412358133</v>
      </c>
      <c r="J9" s="34">
        <v>2.17857142857142</v>
      </c>
      <c r="K9" s="36">
        <v>256.0</v>
      </c>
      <c r="L9" s="36" t="s">
        <v>841</v>
      </c>
      <c r="M9" s="36" t="s">
        <v>836</v>
      </c>
      <c r="N9" s="37">
        <v>0.761904761904761</v>
      </c>
      <c r="O9" s="37">
        <v>0.901408450704225</v>
      </c>
    </row>
    <row r="10" hidden="1">
      <c r="A10" s="33">
        <v>408.0</v>
      </c>
      <c r="B10" s="33" t="s">
        <v>839</v>
      </c>
      <c r="C10" s="33" t="s">
        <v>826</v>
      </c>
      <c r="D10" s="34">
        <v>0.821428571428571</v>
      </c>
      <c r="E10" s="34">
        <v>0.958333333333333</v>
      </c>
      <c r="F10" s="34">
        <v>0.98076923076923</v>
      </c>
      <c r="G10" s="34">
        <v>-0.892857142857142</v>
      </c>
      <c r="H10" s="34">
        <v>0.0255102040816326</v>
      </c>
      <c r="I10" s="34">
        <v>1.03205128205128</v>
      </c>
      <c r="J10" s="34">
        <v>1.71428571428571</v>
      </c>
      <c r="K10" s="36">
        <v>257.0</v>
      </c>
      <c r="L10" s="36" t="s">
        <v>840</v>
      </c>
      <c r="M10" s="36" t="s">
        <v>835</v>
      </c>
      <c r="N10" s="37">
        <v>0.761904761904761</v>
      </c>
      <c r="O10" s="37">
        <v>0.901408450704225</v>
      </c>
    </row>
    <row r="11" hidden="1">
      <c r="A11" s="33">
        <v>407.0</v>
      </c>
      <c r="B11" s="33" t="s">
        <v>963</v>
      </c>
      <c r="C11" s="33" t="s">
        <v>826</v>
      </c>
      <c r="D11" s="34">
        <v>0.773809523809523</v>
      </c>
      <c r="E11" s="34">
        <v>0.955882352941176</v>
      </c>
      <c r="F11" s="34">
        <v>0.980263157894736</v>
      </c>
      <c r="G11" s="34">
        <v>-0.845238095238095</v>
      </c>
      <c r="H11" s="34">
        <v>0.0221088435374149</v>
      </c>
      <c r="I11" s="34">
        <v>1.02941176470588</v>
      </c>
      <c r="J11" s="34">
        <v>1.61904761904761</v>
      </c>
      <c r="K11" s="36">
        <v>232.0</v>
      </c>
      <c r="L11" s="36" t="s">
        <v>843</v>
      </c>
      <c r="M11" s="36" t="s">
        <v>839</v>
      </c>
      <c r="N11" s="37">
        <v>0.702380952380952</v>
      </c>
      <c r="O11" s="37">
        <v>0.893939393939393</v>
      </c>
    </row>
    <row r="12" hidden="1">
      <c r="A12" s="33">
        <v>406.0</v>
      </c>
      <c r="B12" s="33" t="s">
        <v>964</v>
      </c>
      <c r="C12" s="33" t="s">
        <v>826</v>
      </c>
      <c r="D12" s="34">
        <v>0.75</v>
      </c>
      <c r="E12" s="34">
        <v>0.954545454545454</v>
      </c>
      <c r="F12" s="34">
        <v>0.98</v>
      </c>
      <c r="G12" s="34">
        <v>-0.821428571428571</v>
      </c>
      <c r="H12" s="34">
        <v>0.0204081632653061</v>
      </c>
      <c r="I12" s="34">
        <v>1.02797202797202</v>
      </c>
      <c r="J12" s="34">
        <v>1.57142857142857</v>
      </c>
      <c r="K12" s="36">
        <v>216.0</v>
      </c>
      <c r="L12" s="36" t="s">
        <v>965</v>
      </c>
      <c r="M12" s="36" t="s">
        <v>840</v>
      </c>
      <c r="N12" s="37">
        <v>0.702380952380952</v>
      </c>
      <c r="O12" s="37">
        <v>0.880597014925373</v>
      </c>
    </row>
    <row r="13" hidden="1">
      <c r="A13" s="33">
        <v>405.0</v>
      </c>
      <c r="B13" s="33" t="s">
        <v>966</v>
      </c>
      <c r="C13" s="33" t="s">
        <v>848</v>
      </c>
      <c r="D13" s="34">
        <v>0.726190476190476</v>
      </c>
      <c r="E13" s="34">
        <v>0.953125</v>
      </c>
      <c r="F13" s="34">
        <v>0.979729729729729</v>
      </c>
      <c r="G13" s="34">
        <v>-0.797619047619047</v>
      </c>
      <c r="H13" s="34">
        <v>0.0277777777777777</v>
      </c>
      <c r="I13" s="34">
        <v>1.03977272727272</v>
      </c>
      <c r="J13" s="34">
        <v>1.77777777777777</v>
      </c>
      <c r="K13" s="36">
        <v>214.0</v>
      </c>
      <c r="L13" s="36" t="s">
        <v>835</v>
      </c>
      <c r="M13" s="36" t="s">
        <v>840</v>
      </c>
      <c r="N13" s="37">
        <v>0.761904761904761</v>
      </c>
      <c r="O13" s="37">
        <v>0.876712328767123</v>
      </c>
    </row>
    <row r="14" hidden="1">
      <c r="A14" s="33">
        <v>400.0</v>
      </c>
      <c r="B14" s="33" t="s">
        <v>967</v>
      </c>
      <c r="C14" s="33" t="s">
        <v>826</v>
      </c>
      <c r="D14" s="34">
        <v>0.702380952380952</v>
      </c>
      <c r="E14" s="34">
        <v>0.951612903225806</v>
      </c>
      <c r="F14" s="34">
        <v>0.97945205479452</v>
      </c>
      <c r="G14" s="34">
        <v>-0.773809523809524</v>
      </c>
      <c r="H14" s="34">
        <v>0.0170068027210883</v>
      </c>
      <c r="I14" s="34">
        <v>1.02481389578163</v>
      </c>
      <c r="J14" s="34">
        <v>1.47619047619047</v>
      </c>
      <c r="K14" s="36">
        <v>206.0</v>
      </c>
      <c r="L14" s="36" t="s">
        <v>840</v>
      </c>
      <c r="M14" s="36" t="s">
        <v>836</v>
      </c>
      <c r="N14" s="37">
        <v>0.738095238095238</v>
      </c>
      <c r="O14" s="37">
        <v>0.873239436619718</v>
      </c>
    </row>
    <row r="15" hidden="1">
      <c r="A15" s="33">
        <v>401.0</v>
      </c>
      <c r="B15" s="33" t="s">
        <v>968</v>
      </c>
      <c r="C15" s="33" t="s">
        <v>826</v>
      </c>
      <c r="D15" s="34">
        <v>0.702380952380952</v>
      </c>
      <c r="E15" s="34">
        <v>0.951612903225806</v>
      </c>
      <c r="F15" s="34">
        <v>0.97945205479452</v>
      </c>
      <c r="G15" s="34">
        <v>-0.773809523809524</v>
      </c>
      <c r="H15" s="34">
        <v>0.0170068027210883</v>
      </c>
      <c r="I15" s="34">
        <v>1.02481389578163</v>
      </c>
      <c r="J15" s="34">
        <v>1.47619047619047</v>
      </c>
      <c r="K15" s="36">
        <v>191.0</v>
      </c>
      <c r="L15" s="36" t="s">
        <v>64</v>
      </c>
      <c r="M15" s="36" t="s">
        <v>840</v>
      </c>
      <c r="N15" s="37">
        <v>0.714285714285714</v>
      </c>
      <c r="O15" s="37">
        <v>0.869565217391304</v>
      </c>
    </row>
    <row r="16" hidden="1">
      <c r="A16" s="33">
        <v>402.0</v>
      </c>
      <c r="B16" s="33" t="s">
        <v>969</v>
      </c>
      <c r="C16" s="33" t="s">
        <v>826</v>
      </c>
      <c r="D16" s="34">
        <v>0.702380952380952</v>
      </c>
      <c r="E16" s="34">
        <v>0.951612903225806</v>
      </c>
      <c r="F16" s="34">
        <v>0.97945205479452</v>
      </c>
      <c r="G16" s="34">
        <v>-0.773809523809524</v>
      </c>
      <c r="H16" s="34">
        <v>0.0170068027210883</v>
      </c>
      <c r="I16" s="34">
        <v>1.02481389578163</v>
      </c>
      <c r="J16" s="34">
        <v>1.47619047619047</v>
      </c>
      <c r="K16" s="36">
        <v>176.0</v>
      </c>
      <c r="L16" s="36" t="s">
        <v>836</v>
      </c>
      <c r="M16" s="36" t="s">
        <v>841</v>
      </c>
      <c r="N16" s="37">
        <v>0.761904761904761</v>
      </c>
      <c r="O16" s="37">
        <v>0.864864864864864</v>
      </c>
    </row>
    <row r="17" hidden="1">
      <c r="A17" s="33">
        <v>403.0</v>
      </c>
      <c r="B17" s="33" t="s">
        <v>969</v>
      </c>
      <c r="C17" s="33" t="s">
        <v>848</v>
      </c>
      <c r="D17" s="34">
        <v>0.702380952380952</v>
      </c>
      <c r="E17" s="34">
        <v>0.951612903225806</v>
      </c>
      <c r="F17" s="34">
        <v>0.97945205479452</v>
      </c>
      <c r="G17" s="34">
        <v>-0.773809523809524</v>
      </c>
      <c r="H17" s="34">
        <v>0.0257936507936507</v>
      </c>
      <c r="I17" s="34">
        <v>1.03812316715542</v>
      </c>
      <c r="J17" s="34">
        <v>1.72222222222222</v>
      </c>
      <c r="K17" s="36">
        <v>161.0</v>
      </c>
      <c r="L17" s="36" t="s">
        <v>841</v>
      </c>
      <c r="M17" s="36" t="s">
        <v>839</v>
      </c>
      <c r="N17" s="37">
        <v>0.726190476190476</v>
      </c>
      <c r="O17" s="37">
        <v>0.859154929577464</v>
      </c>
    </row>
    <row r="18" hidden="1">
      <c r="A18" s="33">
        <v>404.0</v>
      </c>
      <c r="B18" s="33" t="s">
        <v>970</v>
      </c>
      <c r="C18" s="33" t="s">
        <v>826</v>
      </c>
      <c r="D18" s="34">
        <v>0.702380952380952</v>
      </c>
      <c r="E18" s="34">
        <v>0.951612903225806</v>
      </c>
      <c r="F18" s="34">
        <v>0.97945205479452</v>
      </c>
      <c r="G18" s="34">
        <v>-0.773809523809524</v>
      </c>
      <c r="H18" s="34">
        <v>0.0170068027210883</v>
      </c>
      <c r="I18" s="34">
        <v>1.02481389578163</v>
      </c>
      <c r="J18" s="34">
        <v>1.47619047619047</v>
      </c>
      <c r="K18" s="36">
        <v>142.0</v>
      </c>
      <c r="L18" s="36" t="s">
        <v>64</v>
      </c>
      <c r="M18" s="36" t="s">
        <v>841</v>
      </c>
      <c r="N18" s="37">
        <v>0.702380952380952</v>
      </c>
      <c r="O18" s="37">
        <v>0.855072463768116</v>
      </c>
    </row>
    <row r="19" hidden="1">
      <c r="A19" s="33">
        <v>399.0</v>
      </c>
      <c r="B19" s="33" t="s">
        <v>835</v>
      </c>
      <c r="C19" s="33" t="s">
        <v>825</v>
      </c>
      <c r="D19" s="34">
        <v>0.821428571428571</v>
      </c>
      <c r="E19" s="34">
        <v>0.945205479452054</v>
      </c>
      <c r="F19" s="34">
        <v>0.97452229299363</v>
      </c>
      <c r="G19" s="34">
        <v>-0.916666666666666</v>
      </c>
      <c r="H19" s="34">
        <v>0.0144557823129251</v>
      </c>
      <c r="I19" s="34">
        <v>1.01791359325605</v>
      </c>
      <c r="J19" s="34">
        <v>1.30357142857142</v>
      </c>
      <c r="K19" s="36">
        <v>132.0</v>
      </c>
      <c r="L19" s="36" t="s">
        <v>839</v>
      </c>
      <c r="M19" s="36" t="s">
        <v>841</v>
      </c>
      <c r="N19" s="37">
        <v>0.726190476190476</v>
      </c>
      <c r="O19" s="37">
        <v>0.847222222222222</v>
      </c>
    </row>
    <row r="20" hidden="1">
      <c r="A20" s="33">
        <v>398.0</v>
      </c>
      <c r="B20" s="33" t="s">
        <v>839</v>
      </c>
      <c r="C20" s="33" t="s">
        <v>848</v>
      </c>
      <c r="D20" s="34">
        <v>0.809523809523809</v>
      </c>
      <c r="E20" s="34">
        <v>0.944444444444444</v>
      </c>
      <c r="F20" s="34">
        <v>0.974358974358974</v>
      </c>
      <c r="G20" s="34">
        <v>-0.904761904761904</v>
      </c>
      <c r="H20" s="34">
        <v>0.0238095238095239</v>
      </c>
      <c r="I20" s="34">
        <v>1.03030303030303</v>
      </c>
      <c r="J20" s="34">
        <v>1.5</v>
      </c>
      <c r="K20" s="36">
        <v>110.0</v>
      </c>
      <c r="L20" s="36" t="s">
        <v>841</v>
      </c>
      <c r="M20" s="36" t="s">
        <v>835</v>
      </c>
      <c r="N20" s="37">
        <v>0.714285714285714</v>
      </c>
      <c r="O20" s="37">
        <v>0.845070422535211</v>
      </c>
    </row>
    <row r="21" hidden="1">
      <c r="A21" s="33">
        <v>397.0</v>
      </c>
      <c r="B21" s="33" t="s">
        <v>971</v>
      </c>
      <c r="C21" s="33" t="s">
        <v>826</v>
      </c>
      <c r="D21" s="34">
        <v>0.785714285714285</v>
      </c>
      <c r="E21" s="34">
        <v>0.942857142857142</v>
      </c>
      <c r="F21" s="34">
        <v>0.974025974025973</v>
      </c>
      <c r="G21" s="34">
        <v>-0.880952380952381</v>
      </c>
      <c r="H21" s="34">
        <v>0.0119047619047618</v>
      </c>
      <c r="I21" s="34">
        <v>1.01538461538461</v>
      </c>
      <c r="J21" s="34">
        <v>1.25</v>
      </c>
      <c r="K21" s="36">
        <v>111.0</v>
      </c>
      <c r="L21" s="36" t="s">
        <v>840</v>
      </c>
      <c r="M21" s="36" t="s">
        <v>64</v>
      </c>
      <c r="N21" s="37">
        <v>0.714285714285714</v>
      </c>
      <c r="O21" s="37">
        <v>0.845070422535211</v>
      </c>
    </row>
    <row r="22" hidden="1">
      <c r="A22" s="33">
        <v>395.0</v>
      </c>
      <c r="B22" s="33" t="s">
        <v>64</v>
      </c>
      <c r="C22" s="33" t="s">
        <v>848</v>
      </c>
      <c r="D22" s="34">
        <v>0.773809523809523</v>
      </c>
      <c r="E22" s="34">
        <v>0.942028985507246</v>
      </c>
      <c r="F22" s="34">
        <v>0.973856209150326</v>
      </c>
      <c r="G22" s="34">
        <v>-0.869047619047619</v>
      </c>
      <c r="H22" s="34">
        <v>0.0208333333333333</v>
      </c>
      <c r="I22" s="34">
        <v>1.02766798418972</v>
      </c>
      <c r="J22" s="34">
        <v>1.4375</v>
      </c>
      <c r="K22" s="36">
        <v>106.0</v>
      </c>
      <c r="L22" s="36" t="s">
        <v>837</v>
      </c>
      <c r="M22" s="36" t="s">
        <v>840</v>
      </c>
      <c r="N22" s="37">
        <v>0.773809523809523</v>
      </c>
      <c r="O22" s="37">
        <v>0.844155844155844</v>
      </c>
    </row>
    <row r="23" hidden="1">
      <c r="A23" s="33">
        <v>396.0</v>
      </c>
      <c r="B23" s="33" t="s">
        <v>972</v>
      </c>
      <c r="C23" s="33" t="s">
        <v>848</v>
      </c>
      <c r="D23" s="34">
        <v>0.773809523809523</v>
      </c>
      <c r="E23" s="34">
        <v>0.942028985507246</v>
      </c>
      <c r="F23" s="34">
        <v>0.973856209150326</v>
      </c>
      <c r="G23" s="34">
        <v>-0.869047619047619</v>
      </c>
      <c r="H23" s="34">
        <v>0.0208333333333333</v>
      </c>
      <c r="I23" s="34">
        <v>1.02766798418972</v>
      </c>
      <c r="J23" s="34">
        <v>1.4375</v>
      </c>
      <c r="K23" s="36">
        <v>100.0</v>
      </c>
      <c r="L23" s="36" t="s">
        <v>836</v>
      </c>
      <c r="M23" s="36" t="s">
        <v>840</v>
      </c>
      <c r="N23" s="37">
        <v>0.738095238095238</v>
      </c>
      <c r="O23" s="37">
        <v>0.837837837837837</v>
      </c>
    </row>
    <row r="24" hidden="1">
      <c r="A24" s="33">
        <v>393.0</v>
      </c>
      <c r="B24" s="33" t="s">
        <v>842</v>
      </c>
      <c r="C24" s="33" t="s">
        <v>826</v>
      </c>
      <c r="D24" s="34">
        <v>0.761904761904761</v>
      </c>
      <c r="E24" s="34">
        <v>0.941176470588235</v>
      </c>
      <c r="F24" s="34">
        <v>0.973684210526315</v>
      </c>
      <c r="G24" s="34">
        <v>-0.857142857142857</v>
      </c>
      <c r="H24" s="34">
        <v>0.0102040816326529</v>
      </c>
      <c r="I24" s="34">
        <v>1.01357466063348</v>
      </c>
      <c r="J24" s="34">
        <v>1.21428571428571</v>
      </c>
      <c r="K24" s="36">
        <v>85.0</v>
      </c>
      <c r="L24" s="36" t="s">
        <v>837</v>
      </c>
      <c r="M24" s="36" t="s">
        <v>841</v>
      </c>
      <c r="N24" s="37">
        <v>0.761904761904761</v>
      </c>
      <c r="O24" s="37">
        <v>0.831168831168831</v>
      </c>
    </row>
    <row r="25" hidden="1">
      <c r="A25" s="33">
        <v>394.0</v>
      </c>
      <c r="B25" s="33" t="s">
        <v>973</v>
      </c>
      <c r="C25" s="33" t="s">
        <v>825</v>
      </c>
      <c r="D25" s="34">
        <v>0.761904761904761</v>
      </c>
      <c r="E25" s="34">
        <v>0.941176470588235</v>
      </c>
      <c r="F25" s="34">
        <v>0.973684210526315</v>
      </c>
      <c r="G25" s="34">
        <v>-0.857142857142857</v>
      </c>
      <c r="H25" s="34">
        <v>0.0102040816326529</v>
      </c>
      <c r="I25" s="34">
        <v>1.01357466063348</v>
      </c>
      <c r="J25" s="34">
        <v>1.21428571428571</v>
      </c>
      <c r="K25" s="36">
        <v>67.0</v>
      </c>
      <c r="L25" s="36" t="s">
        <v>840</v>
      </c>
      <c r="M25" s="36" t="s">
        <v>839</v>
      </c>
      <c r="N25" s="37">
        <v>0.702380952380952</v>
      </c>
      <c r="O25" s="37">
        <v>0.830985915492957</v>
      </c>
    </row>
    <row r="26" hidden="1">
      <c r="A26" s="33">
        <v>389.0</v>
      </c>
      <c r="B26" s="33" t="s">
        <v>965</v>
      </c>
      <c r="C26" s="33" t="s">
        <v>826</v>
      </c>
      <c r="D26" s="34">
        <v>0.75</v>
      </c>
      <c r="E26" s="34">
        <v>0.940298507462686</v>
      </c>
      <c r="F26" s="34">
        <v>0.973509933774834</v>
      </c>
      <c r="G26" s="34">
        <v>-0.845238095238095</v>
      </c>
      <c r="H26" s="34">
        <v>0.00935374149659851</v>
      </c>
      <c r="I26" s="34">
        <v>1.01262916188289</v>
      </c>
      <c r="J26" s="34">
        <v>1.19642857142857</v>
      </c>
      <c r="K26" s="36">
        <v>68.0</v>
      </c>
      <c r="L26" s="36" t="s">
        <v>841</v>
      </c>
      <c r="M26" s="36" t="s">
        <v>64</v>
      </c>
      <c r="N26" s="37">
        <v>0.702380952380952</v>
      </c>
      <c r="O26" s="37">
        <v>0.830985915492957</v>
      </c>
    </row>
    <row r="27" hidden="1">
      <c r="A27" s="33">
        <v>390.0</v>
      </c>
      <c r="B27" s="33" t="s">
        <v>974</v>
      </c>
      <c r="C27" s="33" t="s">
        <v>826</v>
      </c>
      <c r="D27" s="34">
        <v>0.75</v>
      </c>
      <c r="E27" s="34">
        <v>0.940298507462686</v>
      </c>
      <c r="F27" s="34">
        <v>0.973509933774834</v>
      </c>
      <c r="G27" s="34">
        <v>-0.845238095238095</v>
      </c>
      <c r="H27" s="34">
        <v>0.00935374149659851</v>
      </c>
      <c r="I27" s="34">
        <v>1.01262916188289</v>
      </c>
      <c r="J27" s="34">
        <v>1.19642857142857</v>
      </c>
      <c r="K27" s="36">
        <v>58.0</v>
      </c>
      <c r="L27" s="36" t="s">
        <v>835</v>
      </c>
      <c r="M27" s="36" t="s">
        <v>841</v>
      </c>
      <c r="N27" s="37">
        <v>0.714285714285714</v>
      </c>
      <c r="O27" s="37">
        <v>0.821917808219178</v>
      </c>
    </row>
    <row r="28" hidden="1">
      <c r="A28" s="33">
        <v>391.0</v>
      </c>
      <c r="B28" s="33" t="s">
        <v>965</v>
      </c>
      <c r="C28" s="33" t="s">
        <v>825</v>
      </c>
      <c r="D28" s="34">
        <v>0.75</v>
      </c>
      <c r="E28" s="34">
        <v>0.940298507462686</v>
      </c>
      <c r="F28" s="34">
        <v>0.973509933774834</v>
      </c>
      <c r="G28" s="34">
        <v>-0.845238095238095</v>
      </c>
      <c r="H28" s="34">
        <v>0.00935374149659851</v>
      </c>
      <c r="I28" s="34">
        <v>1.01262916188289</v>
      </c>
      <c r="J28" s="34">
        <v>1.19642857142857</v>
      </c>
      <c r="K28" s="36">
        <v>59.0</v>
      </c>
      <c r="L28" s="36" t="s">
        <v>835</v>
      </c>
      <c r="M28" s="36" t="s">
        <v>64</v>
      </c>
      <c r="N28" s="37">
        <v>0.714285714285714</v>
      </c>
      <c r="O28" s="37">
        <v>0.821917808219178</v>
      </c>
    </row>
    <row r="29" hidden="1">
      <c r="A29" s="33">
        <v>392.0</v>
      </c>
      <c r="B29" s="33" t="s">
        <v>974</v>
      </c>
      <c r="C29" s="33" t="s">
        <v>825</v>
      </c>
      <c r="D29" s="34">
        <v>0.75</v>
      </c>
      <c r="E29" s="34">
        <v>0.940298507462686</v>
      </c>
      <c r="F29" s="34">
        <v>0.973509933774834</v>
      </c>
      <c r="G29" s="34">
        <v>-0.845238095238095</v>
      </c>
      <c r="H29" s="34">
        <v>0.00935374149659851</v>
      </c>
      <c r="I29" s="34">
        <v>1.01262916188289</v>
      </c>
      <c r="J29" s="34">
        <v>1.19642857142857</v>
      </c>
      <c r="K29" s="36">
        <v>60.0</v>
      </c>
      <c r="L29" s="36" t="s">
        <v>835</v>
      </c>
      <c r="M29" s="36" t="s">
        <v>842</v>
      </c>
      <c r="N29" s="37">
        <v>0.714285714285714</v>
      </c>
      <c r="O29" s="37">
        <v>0.821917808219178</v>
      </c>
    </row>
    <row r="30" hidden="1">
      <c r="A30" s="33">
        <v>388.0</v>
      </c>
      <c r="B30" s="33" t="s">
        <v>964</v>
      </c>
      <c r="C30" s="33" t="s">
        <v>848</v>
      </c>
      <c r="D30" s="34">
        <v>0.738095238095238</v>
      </c>
      <c r="E30" s="34">
        <v>0.939393939393939</v>
      </c>
      <c r="F30" s="34">
        <v>0.973333333333333</v>
      </c>
      <c r="G30" s="34">
        <v>-0.833333333333333</v>
      </c>
      <c r="H30" s="34">
        <v>0.0178571428571429</v>
      </c>
      <c r="I30" s="34">
        <v>1.02479338842975</v>
      </c>
      <c r="J30" s="34">
        <v>1.375</v>
      </c>
      <c r="K30" s="36">
        <v>61.0</v>
      </c>
      <c r="L30" s="36" t="s">
        <v>835</v>
      </c>
      <c r="M30" s="36" t="s">
        <v>843</v>
      </c>
      <c r="N30" s="37">
        <v>0.714285714285714</v>
      </c>
      <c r="O30" s="37">
        <v>0.821917808219178</v>
      </c>
    </row>
    <row r="31" hidden="1">
      <c r="A31" s="33">
        <v>385.0</v>
      </c>
      <c r="B31" s="33" t="s">
        <v>975</v>
      </c>
      <c r="C31" s="33" t="s">
        <v>848</v>
      </c>
      <c r="D31" s="34">
        <v>0.726190476190476</v>
      </c>
      <c r="E31" s="34">
        <v>0.938461538461538</v>
      </c>
      <c r="F31" s="34">
        <v>0.973154362416107</v>
      </c>
      <c r="G31" s="34">
        <v>-0.821428571428571</v>
      </c>
      <c r="H31" s="34">
        <v>0.0168650793650793</v>
      </c>
      <c r="I31" s="34">
        <v>1.02377622377622</v>
      </c>
      <c r="J31" s="34">
        <v>1.35416666666666</v>
      </c>
      <c r="K31" s="36">
        <v>32.0</v>
      </c>
      <c r="L31" s="36" t="s">
        <v>839</v>
      </c>
      <c r="M31" s="36" t="s">
        <v>840</v>
      </c>
      <c r="N31" s="37">
        <v>0.702380952380952</v>
      </c>
      <c r="O31" s="37">
        <v>0.819444444444444</v>
      </c>
    </row>
    <row r="32" hidden="1">
      <c r="A32" s="33">
        <v>386.0</v>
      </c>
      <c r="B32" s="33" t="s">
        <v>976</v>
      </c>
      <c r="C32" s="33" t="s">
        <v>826</v>
      </c>
      <c r="D32" s="34">
        <v>0.726190476190476</v>
      </c>
      <c r="E32" s="34">
        <v>0.938461538461538</v>
      </c>
      <c r="F32" s="34">
        <v>0.973154362416107</v>
      </c>
      <c r="G32" s="34">
        <v>-0.821428571428571</v>
      </c>
      <c r="H32" s="34">
        <v>0.00765306122448972</v>
      </c>
      <c r="I32" s="34">
        <v>1.01065088757396</v>
      </c>
      <c r="J32" s="34">
        <v>1.16071428571428</v>
      </c>
      <c r="K32" s="36">
        <v>34.0</v>
      </c>
      <c r="L32" s="36" t="s">
        <v>839</v>
      </c>
      <c r="M32" s="36" t="s">
        <v>843</v>
      </c>
      <c r="N32" s="37">
        <v>0.702380952380952</v>
      </c>
      <c r="O32" s="37">
        <v>0.819444444444444</v>
      </c>
    </row>
    <row r="33" hidden="1">
      <c r="A33" s="33">
        <v>387.0</v>
      </c>
      <c r="B33" s="33" t="s">
        <v>957</v>
      </c>
      <c r="C33" s="33" t="s">
        <v>848</v>
      </c>
      <c r="D33" s="34">
        <v>0.726190476190476</v>
      </c>
      <c r="E33" s="34">
        <v>0.938461538461538</v>
      </c>
      <c r="F33" s="34">
        <v>0.973154362416107</v>
      </c>
      <c r="G33" s="34">
        <v>-0.821428571428571</v>
      </c>
      <c r="H33" s="34">
        <v>0.0168650793650793</v>
      </c>
      <c r="I33" s="34">
        <v>1.02377622377622</v>
      </c>
      <c r="J33" s="34">
        <v>1.35416666666666</v>
      </c>
      <c r="K33" s="36">
        <v>9.0</v>
      </c>
      <c r="L33" s="36" t="s">
        <v>825</v>
      </c>
      <c r="M33" s="36" t="s">
        <v>64</v>
      </c>
      <c r="N33" s="37">
        <v>0.75</v>
      </c>
      <c r="O33" s="37">
        <v>0.807692307692307</v>
      </c>
    </row>
    <row r="34" hidden="1">
      <c r="A34" s="33">
        <v>383.0</v>
      </c>
      <c r="B34" s="33" t="s">
        <v>977</v>
      </c>
      <c r="C34" s="33" t="s">
        <v>825</v>
      </c>
      <c r="D34" s="34">
        <v>0.714285714285714</v>
      </c>
      <c r="E34" s="34">
        <v>0.9375</v>
      </c>
      <c r="F34" s="34">
        <v>0.972972972972973</v>
      </c>
      <c r="G34" s="34">
        <v>-0.809523809523809</v>
      </c>
      <c r="H34" s="34">
        <v>0.00680272108843538</v>
      </c>
      <c r="I34" s="34">
        <v>1.00961538461538</v>
      </c>
      <c r="J34" s="34">
        <v>1.14285714285714</v>
      </c>
      <c r="K34" s="36">
        <v>3.0</v>
      </c>
      <c r="L34" s="36" t="s">
        <v>837</v>
      </c>
      <c r="M34" s="36" t="s">
        <v>842</v>
      </c>
      <c r="N34" s="37">
        <v>0.738095238095238</v>
      </c>
      <c r="O34" s="37">
        <v>0.805194805194805</v>
      </c>
    </row>
    <row r="35" hidden="1">
      <c r="A35" s="33">
        <v>384.0</v>
      </c>
      <c r="B35" s="33" t="s">
        <v>978</v>
      </c>
      <c r="C35" s="33" t="s">
        <v>826</v>
      </c>
      <c r="D35" s="34">
        <v>0.714285714285714</v>
      </c>
      <c r="E35" s="34">
        <v>0.9375</v>
      </c>
      <c r="F35" s="34">
        <v>0.972972972972973</v>
      </c>
      <c r="G35" s="34">
        <v>-0.809523809523809</v>
      </c>
      <c r="H35" s="34">
        <v>0.00680272108843538</v>
      </c>
      <c r="I35" s="34">
        <v>1.00961538461538</v>
      </c>
      <c r="J35" s="34">
        <v>1.14285714285714</v>
      </c>
    </row>
    <row r="36" hidden="1">
      <c r="A36" s="33">
        <v>374.0</v>
      </c>
      <c r="B36" s="33" t="s">
        <v>979</v>
      </c>
      <c r="C36" s="33" t="s">
        <v>826</v>
      </c>
      <c r="D36" s="34">
        <v>0.702380952380952</v>
      </c>
      <c r="E36" s="34">
        <v>0.936507936507936</v>
      </c>
      <c r="F36" s="34">
        <v>0.972789115646258</v>
      </c>
      <c r="G36" s="34">
        <v>-0.797619047619047</v>
      </c>
      <c r="H36" s="34">
        <v>0.00595238095238093</v>
      </c>
      <c r="I36" s="34">
        <v>1.008547008547</v>
      </c>
      <c r="J36" s="34">
        <v>1.125</v>
      </c>
    </row>
    <row r="37" hidden="1">
      <c r="A37" s="33">
        <v>375.0</v>
      </c>
      <c r="B37" s="33" t="s">
        <v>980</v>
      </c>
      <c r="C37" s="33" t="s">
        <v>848</v>
      </c>
      <c r="D37" s="34">
        <v>0.702380952380952</v>
      </c>
      <c r="E37" s="34">
        <v>0.936507936507936</v>
      </c>
      <c r="F37" s="34">
        <v>0.972789115646258</v>
      </c>
      <c r="G37" s="34">
        <v>-0.797619047619047</v>
      </c>
      <c r="H37" s="34">
        <v>0.0148809523809523</v>
      </c>
      <c r="I37" s="34">
        <v>1.02164502164502</v>
      </c>
      <c r="J37" s="34">
        <v>1.3125</v>
      </c>
    </row>
    <row r="38" hidden="1">
      <c r="A38" s="33">
        <v>376.0</v>
      </c>
      <c r="B38" s="33" t="s">
        <v>981</v>
      </c>
      <c r="C38" s="33" t="s">
        <v>825</v>
      </c>
      <c r="D38" s="34">
        <v>0.702380952380952</v>
      </c>
      <c r="E38" s="34">
        <v>0.936507936507936</v>
      </c>
      <c r="F38" s="34">
        <v>0.972789115646258</v>
      </c>
      <c r="G38" s="34">
        <v>-0.797619047619047</v>
      </c>
      <c r="H38" s="34">
        <v>0.00595238095238093</v>
      </c>
      <c r="I38" s="34">
        <v>1.008547008547</v>
      </c>
      <c r="J38" s="34">
        <v>1.125</v>
      </c>
    </row>
    <row r="39" hidden="1">
      <c r="A39" s="33">
        <v>377.0</v>
      </c>
      <c r="B39" s="33" t="s">
        <v>982</v>
      </c>
      <c r="C39" s="33" t="s">
        <v>825</v>
      </c>
      <c r="D39" s="34">
        <v>0.702380952380952</v>
      </c>
      <c r="E39" s="34">
        <v>0.936507936507936</v>
      </c>
      <c r="F39" s="34">
        <v>0.972789115646258</v>
      </c>
      <c r="G39" s="34">
        <v>-0.797619047619047</v>
      </c>
      <c r="H39" s="34">
        <v>0.00595238095238093</v>
      </c>
      <c r="I39" s="34">
        <v>1.008547008547</v>
      </c>
      <c r="J39" s="34">
        <v>1.125</v>
      </c>
    </row>
    <row r="40" hidden="1">
      <c r="A40" s="33">
        <v>378.0</v>
      </c>
      <c r="B40" s="33" t="s">
        <v>983</v>
      </c>
      <c r="C40" s="33" t="s">
        <v>826</v>
      </c>
      <c r="D40" s="34">
        <v>0.702380952380952</v>
      </c>
      <c r="E40" s="34">
        <v>0.936507936507936</v>
      </c>
      <c r="F40" s="34">
        <v>0.972789115646258</v>
      </c>
      <c r="G40" s="34">
        <v>-0.797619047619047</v>
      </c>
      <c r="H40" s="34">
        <v>0.00595238095238093</v>
      </c>
      <c r="I40" s="34">
        <v>1.008547008547</v>
      </c>
      <c r="J40" s="34">
        <v>1.125</v>
      </c>
    </row>
    <row r="41" hidden="1">
      <c r="A41" s="33">
        <v>379.0</v>
      </c>
      <c r="B41" s="33" t="s">
        <v>984</v>
      </c>
      <c r="C41" s="33" t="s">
        <v>825</v>
      </c>
      <c r="D41" s="34">
        <v>0.702380952380952</v>
      </c>
      <c r="E41" s="34">
        <v>0.936507936507936</v>
      </c>
      <c r="F41" s="34">
        <v>0.972789115646258</v>
      </c>
      <c r="G41" s="34">
        <v>-0.797619047619047</v>
      </c>
      <c r="H41" s="34">
        <v>0.00595238095238093</v>
      </c>
      <c r="I41" s="34">
        <v>1.008547008547</v>
      </c>
      <c r="J41" s="34">
        <v>1.125</v>
      </c>
    </row>
    <row r="42" hidden="1">
      <c r="A42" s="33">
        <v>380.0</v>
      </c>
      <c r="B42" s="33" t="s">
        <v>985</v>
      </c>
      <c r="C42" s="33" t="s">
        <v>826</v>
      </c>
      <c r="D42" s="34">
        <v>0.702380952380952</v>
      </c>
      <c r="E42" s="34">
        <v>0.936507936507936</v>
      </c>
      <c r="F42" s="34">
        <v>0.972789115646258</v>
      </c>
      <c r="G42" s="34">
        <v>-0.797619047619047</v>
      </c>
      <c r="H42" s="34">
        <v>0.00595238095238093</v>
      </c>
      <c r="I42" s="34">
        <v>1.008547008547</v>
      </c>
      <c r="J42" s="34">
        <v>1.125</v>
      </c>
    </row>
    <row r="43" hidden="1">
      <c r="A43" s="33">
        <v>381.0</v>
      </c>
      <c r="B43" s="33" t="s">
        <v>986</v>
      </c>
      <c r="C43" s="33" t="s">
        <v>848</v>
      </c>
      <c r="D43" s="34">
        <v>0.702380952380952</v>
      </c>
      <c r="E43" s="34">
        <v>0.936507936507936</v>
      </c>
      <c r="F43" s="34">
        <v>0.972789115646258</v>
      </c>
      <c r="G43" s="34">
        <v>-0.797619047619047</v>
      </c>
      <c r="H43" s="34">
        <v>0.0148809523809523</v>
      </c>
      <c r="I43" s="34">
        <v>1.02164502164502</v>
      </c>
      <c r="J43" s="34">
        <v>1.3125</v>
      </c>
    </row>
    <row r="44" hidden="1">
      <c r="A44" s="33">
        <v>382.0</v>
      </c>
      <c r="B44" s="33" t="s">
        <v>987</v>
      </c>
      <c r="C44" s="33" t="s">
        <v>848</v>
      </c>
      <c r="D44" s="34">
        <v>0.702380952380952</v>
      </c>
      <c r="E44" s="34">
        <v>0.936507936507936</v>
      </c>
      <c r="F44" s="34">
        <v>0.972789115646258</v>
      </c>
      <c r="G44" s="34">
        <v>-0.797619047619047</v>
      </c>
      <c r="H44" s="34">
        <v>0.0148809523809523</v>
      </c>
      <c r="I44" s="34">
        <v>1.02164502164502</v>
      </c>
      <c r="J44" s="34">
        <v>1.3125</v>
      </c>
    </row>
    <row r="45" hidden="1">
      <c r="A45" s="33">
        <v>372.0</v>
      </c>
      <c r="B45" s="33" t="s">
        <v>837</v>
      </c>
      <c r="C45" s="33" t="s">
        <v>826</v>
      </c>
      <c r="D45" s="34">
        <v>0.857142857142857</v>
      </c>
      <c r="E45" s="34">
        <v>0.935064935064935</v>
      </c>
      <c r="F45" s="34">
        <v>0.968944099378882</v>
      </c>
      <c r="G45" s="34">
        <v>-0.976190476190476</v>
      </c>
      <c r="H45" s="34">
        <v>0.00595238095238093</v>
      </c>
      <c r="I45" s="34">
        <v>1.006993006993</v>
      </c>
      <c r="J45" s="34">
        <v>1.1</v>
      </c>
    </row>
    <row r="46" hidden="1">
      <c r="A46" s="33">
        <v>373.0</v>
      </c>
      <c r="B46" s="33" t="s">
        <v>848</v>
      </c>
      <c r="C46" s="33" t="s">
        <v>826</v>
      </c>
      <c r="D46" s="34">
        <v>0.857142857142857</v>
      </c>
      <c r="E46" s="34">
        <v>0.935064935064935</v>
      </c>
      <c r="F46" s="34">
        <v>0.968944099378882</v>
      </c>
      <c r="G46" s="34">
        <v>-0.976190476190476</v>
      </c>
      <c r="H46" s="34">
        <v>0.00595238095238093</v>
      </c>
      <c r="I46" s="34">
        <v>1.006993006993</v>
      </c>
      <c r="J46" s="34">
        <v>1.1</v>
      </c>
    </row>
    <row r="47" hidden="1">
      <c r="A47" s="33">
        <v>371.0</v>
      </c>
      <c r="B47" s="33" t="s">
        <v>835</v>
      </c>
      <c r="C47" s="33" t="s">
        <v>826</v>
      </c>
      <c r="D47" s="34">
        <v>0.809523809523809</v>
      </c>
      <c r="E47" s="34">
        <v>0.931506849315068</v>
      </c>
      <c r="F47" s="34">
        <v>0.968152866242038</v>
      </c>
      <c r="G47" s="34">
        <v>-0.928571428571428</v>
      </c>
      <c r="H47" s="34">
        <v>0.00255102040816324</v>
      </c>
      <c r="I47" s="34">
        <v>1.0031612223393</v>
      </c>
      <c r="J47" s="34">
        <v>1.04285714285714</v>
      </c>
    </row>
    <row r="48" hidden="1">
      <c r="A48" s="33">
        <v>367.0</v>
      </c>
      <c r="B48" s="33" t="s">
        <v>841</v>
      </c>
      <c r="C48" s="33" t="s">
        <v>825</v>
      </c>
      <c r="D48" s="34">
        <v>0.785714285714285</v>
      </c>
      <c r="E48" s="34">
        <v>0.929577464788732</v>
      </c>
      <c r="F48" s="34">
        <v>0.96774193548387</v>
      </c>
      <c r="G48" s="34">
        <v>-0.904761904761904</v>
      </c>
      <c r="H48" s="34">
        <v>8.50340136054339E-4</v>
      </c>
      <c r="I48" s="34">
        <v>1.00108342361863</v>
      </c>
      <c r="J48" s="34">
        <v>1.01428571428571</v>
      </c>
    </row>
    <row r="49" hidden="1">
      <c r="A49" s="33">
        <v>368.0</v>
      </c>
      <c r="B49" s="33" t="s">
        <v>840</v>
      </c>
      <c r="C49" s="33" t="s">
        <v>848</v>
      </c>
      <c r="D49" s="34">
        <v>0.785714285714285</v>
      </c>
      <c r="E49" s="34">
        <v>0.929577464788732</v>
      </c>
      <c r="F49" s="34">
        <v>0.96774193548387</v>
      </c>
      <c r="G49" s="34">
        <v>-0.904761904761904</v>
      </c>
      <c r="H49" s="34">
        <v>0.0109126984126984</v>
      </c>
      <c r="I49" s="34">
        <v>1.01408450704225</v>
      </c>
      <c r="J49" s="34">
        <v>1.18333333333333</v>
      </c>
    </row>
    <row r="50" hidden="1">
      <c r="A50" s="33">
        <v>369.0</v>
      </c>
      <c r="B50" s="33" t="s">
        <v>988</v>
      </c>
      <c r="C50" s="33" t="s">
        <v>826</v>
      </c>
      <c r="D50" s="34">
        <v>0.785714285714285</v>
      </c>
      <c r="E50" s="34">
        <v>0.929577464788732</v>
      </c>
      <c r="F50" s="34">
        <v>0.96774193548387</v>
      </c>
      <c r="G50" s="34">
        <v>-0.904761904761904</v>
      </c>
      <c r="H50" s="34">
        <v>8.50340136054339E-4</v>
      </c>
      <c r="I50" s="34">
        <v>1.00108342361863</v>
      </c>
      <c r="J50" s="34">
        <v>1.01428571428571</v>
      </c>
    </row>
    <row r="51" hidden="1">
      <c r="A51" s="33">
        <v>370.0</v>
      </c>
      <c r="B51" s="33" t="s">
        <v>989</v>
      </c>
      <c r="C51" s="33" t="s">
        <v>826</v>
      </c>
      <c r="D51" s="34">
        <v>0.785714285714285</v>
      </c>
      <c r="E51" s="34">
        <v>0.929577464788732</v>
      </c>
      <c r="F51" s="34">
        <v>0.96774193548387</v>
      </c>
      <c r="G51" s="34">
        <v>-0.904761904761904</v>
      </c>
      <c r="H51" s="34">
        <v>8.50340136054339E-4</v>
      </c>
      <c r="I51" s="34">
        <v>1.00108342361863</v>
      </c>
      <c r="J51" s="34">
        <v>1.01428571428571</v>
      </c>
    </row>
    <row r="52" hidden="1">
      <c r="A52" s="33">
        <v>365.0</v>
      </c>
      <c r="B52" s="33" t="s">
        <v>64</v>
      </c>
      <c r="C52" s="33" t="s">
        <v>826</v>
      </c>
      <c r="D52" s="34">
        <v>0.761904761904761</v>
      </c>
      <c r="E52" s="34">
        <v>0.927536231884058</v>
      </c>
      <c r="F52" s="34">
        <v>0.967320261437908</v>
      </c>
      <c r="G52" s="34">
        <v>-0.88095238095238</v>
      </c>
      <c r="H52" s="34">
        <v>-8.5034013605445E-4</v>
      </c>
      <c r="I52" s="34">
        <v>0.998885172798216</v>
      </c>
      <c r="J52" s="34">
        <v>0.985714285714285</v>
      </c>
    </row>
    <row r="53" hidden="1">
      <c r="A53" s="33">
        <v>366.0</v>
      </c>
      <c r="B53" s="33" t="s">
        <v>990</v>
      </c>
      <c r="C53" s="33" t="s">
        <v>826</v>
      </c>
      <c r="D53" s="34">
        <v>0.761904761904761</v>
      </c>
      <c r="E53" s="34">
        <v>0.927536231884058</v>
      </c>
      <c r="F53" s="34">
        <v>0.967320261437908</v>
      </c>
      <c r="G53" s="34">
        <v>-0.88095238095238</v>
      </c>
      <c r="H53" s="34">
        <v>-8.5034013605445E-4</v>
      </c>
      <c r="I53" s="34">
        <v>0.998885172798216</v>
      </c>
      <c r="J53" s="34">
        <v>0.985714285714285</v>
      </c>
    </row>
    <row r="54" hidden="1">
      <c r="A54" s="33">
        <v>362.0</v>
      </c>
      <c r="B54" s="33" t="s">
        <v>842</v>
      </c>
      <c r="C54" s="33" t="s">
        <v>825</v>
      </c>
      <c r="D54" s="34">
        <v>0.75</v>
      </c>
      <c r="E54" s="34">
        <v>0.926470588235294</v>
      </c>
      <c r="F54" s="34">
        <v>0.967105263157894</v>
      </c>
      <c r="G54" s="34">
        <v>-0.869047619047619</v>
      </c>
      <c r="H54" s="34">
        <v>-0.0017006802721089</v>
      </c>
      <c r="I54" s="34">
        <v>0.997737556561086</v>
      </c>
      <c r="J54" s="34">
        <v>0.971428571428571</v>
      </c>
    </row>
    <row r="55" hidden="1">
      <c r="A55" s="33">
        <v>363.0</v>
      </c>
      <c r="B55" s="33" t="s">
        <v>973</v>
      </c>
      <c r="C55" s="33" t="s">
        <v>837</v>
      </c>
      <c r="D55" s="34">
        <v>0.75</v>
      </c>
      <c r="E55" s="34">
        <v>0.926470588235294</v>
      </c>
      <c r="F55" s="34">
        <v>0.967105263157894</v>
      </c>
      <c r="G55" s="34">
        <v>-0.869047619047619</v>
      </c>
      <c r="H55" s="34">
        <v>0.0079365079365079</v>
      </c>
      <c r="I55" s="34">
        <v>1.01069518716577</v>
      </c>
      <c r="J55" s="34">
        <v>1.13333333333333</v>
      </c>
    </row>
    <row r="56" hidden="1">
      <c r="A56" s="33">
        <v>364.0</v>
      </c>
      <c r="B56" s="33" t="s">
        <v>973</v>
      </c>
      <c r="C56" s="33" t="s">
        <v>848</v>
      </c>
      <c r="D56" s="34">
        <v>0.75</v>
      </c>
      <c r="E56" s="34">
        <v>0.926470588235294</v>
      </c>
      <c r="F56" s="34">
        <v>0.967105263157894</v>
      </c>
      <c r="G56" s="34">
        <v>-0.869047619047619</v>
      </c>
      <c r="H56" s="34">
        <v>0.0079365079365079</v>
      </c>
      <c r="I56" s="34">
        <v>1.01069518716577</v>
      </c>
      <c r="J56" s="34">
        <v>1.13333333333333</v>
      </c>
    </row>
    <row r="57" hidden="1">
      <c r="A57" s="33">
        <v>360.0</v>
      </c>
      <c r="B57" s="33" t="s">
        <v>991</v>
      </c>
      <c r="C57" s="33" t="s">
        <v>826</v>
      </c>
      <c r="D57" s="34">
        <v>0.738095238095238</v>
      </c>
      <c r="E57" s="34">
        <v>0.925373134328358</v>
      </c>
      <c r="F57" s="34">
        <v>0.966887417218543</v>
      </c>
      <c r="G57" s="34">
        <v>-0.857142857142857</v>
      </c>
      <c r="H57" s="34">
        <v>-0.00255102040816335</v>
      </c>
      <c r="I57" s="34">
        <v>0.996555683122847</v>
      </c>
      <c r="J57" s="34">
        <v>0.957142857142857</v>
      </c>
    </row>
    <row r="58" hidden="1">
      <c r="A58" s="33">
        <v>361.0</v>
      </c>
      <c r="B58" s="33" t="s">
        <v>992</v>
      </c>
      <c r="C58" s="33" t="s">
        <v>826</v>
      </c>
      <c r="D58" s="34">
        <v>0.738095238095238</v>
      </c>
      <c r="E58" s="34">
        <v>0.925373134328358</v>
      </c>
      <c r="F58" s="34">
        <v>0.966887417218543</v>
      </c>
      <c r="G58" s="34">
        <v>-0.857142857142857</v>
      </c>
      <c r="H58" s="34">
        <v>-0.00255102040816335</v>
      </c>
      <c r="I58" s="34">
        <v>0.996555683122847</v>
      </c>
      <c r="J58" s="34">
        <v>0.957142857142857</v>
      </c>
    </row>
    <row r="59" hidden="1">
      <c r="A59" s="33">
        <v>356.0</v>
      </c>
      <c r="B59" s="33" t="s">
        <v>59</v>
      </c>
      <c r="C59" s="33" t="s">
        <v>826</v>
      </c>
      <c r="D59" s="34">
        <v>0.726190476190476</v>
      </c>
      <c r="E59" s="34">
        <v>0.924242424242424</v>
      </c>
      <c r="F59" s="34">
        <v>0.966666666666666</v>
      </c>
      <c r="G59" s="34">
        <v>-0.845238095238095</v>
      </c>
      <c r="H59" s="34">
        <v>-0.00340136054421769</v>
      </c>
      <c r="I59" s="34">
        <v>0.995337995337995</v>
      </c>
      <c r="J59" s="34">
        <v>0.942857142857142</v>
      </c>
    </row>
    <row r="60" hidden="1">
      <c r="A60" s="33">
        <v>357.0</v>
      </c>
      <c r="B60" s="33" t="s">
        <v>843</v>
      </c>
      <c r="C60" s="33" t="s">
        <v>825</v>
      </c>
      <c r="D60" s="34">
        <v>0.726190476190476</v>
      </c>
      <c r="E60" s="34">
        <v>0.924242424242424</v>
      </c>
      <c r="F60" s="34">
        <v>0.966666666666666</v>
      </c>
      <c r="G60" s="34">
        <v>-0.845238095238095</v>
      </c>
      <c r="H60" s="34">
        <v>-0.00340136054421769</v>
      </c>
      <c r="I60" s="34">
        <v>0.995337995337995</v>
      </c>
      <c r="J60" s="34">
        <v>0.942857142857142</v>
      </c>
    </row>
    <row r="61" hidden="1">
      <c r="A61" s="33">
        <v>358.0</v>
      </c>
      <c r="B61" s="33" t="s">
        <v>59</v>
      </c>
      <c r="C61" s="33" t="s">
        <v>848</v>
      </c>
      <c r="D61" s="34">
        <v>0.726190476190476</v>
      </c>
      <c r="E61" s="34">
        <v>0.924242424242424</v>
      </c>
      <c r="F61" s="34">
        <v>0.966666666666666</v>
      </c>
      <c r="G61" s="34">
        <v>-0.845238095238095</v>
      </c>
      <c r="H61" s="34">
        <v>0.00595238095238093</v>
      </c>
      <c r="I61" s="34">
        <v>1.00826446280991</v>
      </c>
      <c r="J61" s="34">
        <v>1.1</v>
      </c>
    </row>
    <row r="62" hidden="1">
      <c r="A62" s="33">
        <v>359.0</v>
      </c>
      <c r="B62" s="33" t="s">
        <v>993</v>
      </c>
      <c r="C62" s="33" t="s">
        <v>826</v>
      </c>
      <c r="D62" s="34">
        <v>0.726190476190476</v>
      </c>
      <c r="E62" s="34">
        <v>0.924242424242424</v>
      </c>
      <c r="F62" s="34">
        <v>0.966666666666666</v>
      </c>
      <c r="G62" s="34">
        <v>-0.845238095238095</v>
      </c>
      <c r="H62" s="34">
        <v>-0.00340136054421769</v>
      </c>
      <c r="I62" s="34">
        <v>0.995337995337995</v>
      </c>
      <c r="J62" s="34">
        <v>0.942857142857142</v>
      </c>
    </row>
    <row r="63" hidden="1">
      <c r="A63" s="33">
        <v>343.0</v>
      </c>
      <c r="B63" s="33" t="s">
        <v>826</v>
      </c>
      <c r="C63" s="33" t="s">
        <v>825</v>
      </c>
      <c r="D63" s="34">
        <v>0.857142857142857</v>
      </c>
      <c r="E63" s="34">
        <v>0.923076923076923</v>
      </c>
      <c r="F63" s="34">
        <v>0.962962962962963</v>
      </c>
      <c r="G63" s="34">
        <v>-1.0</v>
      </c>
      <c r="H63" s="34">
        <v>-0.00510204081632659</v>
      </c>
      <c r="I63" s="34">
        <v>0.994082840236686</v>
      </c>
      <c r="J63" s="34">
        <v>0.928571428571428</v>
      </c>
    </row>
    <row r="64" hidden="1">
      <c r="A64" s="33">
        <v>344.0</v>
      </c>
      <c r="B64" s="33" t="s">
        <v>825</v>
      </c>
      <c r="C64" s="33" t="s">
        <v>826</v>
      </c>
      <c r="D64" s="34">
        <v>0.857142857142857</v>
      </c>
      <c r="E64" s="34">
        <v>0.923076923076923</v>
      </c>
      <c r="F64" s="34">
        <v>0.962962962962963</v>
      </c>
      <c r="G64" s="34">
        <v>-1.0</v>
      </c>
      <c r="H64" s="34">
        <v>-0.00510204081632659</v>
      </c>
      <c r="I64" s="34">
        <v>0.994082840236686</v>
      </c>
      <c r="J64" s="34">
        <v>0.928571428571428</v>
      </c>
    </row>
    <row r="65" hidden="1">
      <c r="A65" s="33">
        <v>345.0</v>
      </c>
      <c r="B65" s="33" t="s">
        <v>826</v>
      </c>
      <c r="C65" s="33" t="s">
        <v>837</v>
      </c>
      <c r="D65" s="34">
        <v>0.857142857142857</v>
      </c>
      <c r="E65" s="34">
        <v>0.923076923076923</v>
      </c>
      <c r="F65" s="34">
        <v>0.962962962962963</v>
      </c>
      <c r="G65" s="34">
        <v>-1.0</v>
      </c>
      <c r="H65" s="34">
        <v>0.00595238095238093</v>
      </c>
      <c r="I65" s="34">
        <v>1.006993006993</v>
      </c>
      <c r="J65" s="34">
        <v>1.08333333333333</v>
      </c>
    </row>
    <row r="66" hidden="1">
      <c r="A66" s="33">
        <v>346.0</v>
      </c>
      <c r="B66" s="33" t="s">
        <v>826</v>
      </c>
      <c r="C66" s="33" t="s">
        <v>848</v>
      </c>
      <c r="D66" s="34">
        <v>0.857142857142857</v>
      </c>
      <c r="E66" s="34">
        <v>0.923076923076923</v>
      </c>
      <c r="F66" s="34">
        <v>0.962962962962963</v>
      </c>
      <c r="G66" s="34">
        <v>-1.0</v>
      </c>
      <c r="H66" s="34">
        <v>0.00595238095238093</v>
      </c>
      <c r="I66" s="34">
        <v>1.006993006993</v>
      </c>
      <c r="J66" s="34">
        <v>1.08333333333333</v>
      </c>
    </row>
    <row r="67" hidden="1">
      <c r="A67" s="33">
        <v>347.0</v>
      </c>
      <c r="B67" s="33" t="s">
        <v>994</v>
      </c>
      <c r="C67" s="33" t="s">
        <v>825</v>
      </c>
      <c r="D67" s="34">
        <v>0.714285714285714</v>
      </c>
      <c r="E67" s="34">
        <v>0.923076923076923</v>
      </c>
      <c r="F67" s="34">
        <v>0.966442953020134</v>
      </c>
      <c r="G67" s="34">
        <v>-0.833333333333333</v>
      </c>
      <c r="H67" s="34">
        <v>-0.00425170068027214</v>
      </c>
      <c r="I67" s="34">
        <v>0.994082840236686</v>
      </c>
      <c r="J67" s="34">
        <v>0.928571428571428</v>
      </c>
    </row>
    <row r="68" hidden="1">
      <c r="A68" s="33">
        <v>348.0</v>
      </c>
      <c r="B68" s="33" t="s">
        <v>975</v>
      </c>
      <c r="C68" s="33" t="s">
        <v>837</v>
      </c>
      <c r="D68" s="34">
        <v>0.714285714285714</v>
      </c>
      <c r="E68" s="34">
        <v>0.923076923076923</v>
      </c>
      <c r="F68" s="34">
        <v>0.966442953020134</v>
      </c>
      <c r="G68" s="34">
        <v>-0.833333333333333</v>
      </c>
      <c r="H68" s="34">
        <v>0.00496031746031744</v>
      </c>
      <c r="I68" s="34">
        <v>1.006993006993</v>
      </c>
      <c r="J68" s="34">
        <v>1.08333333333333</v>
      </c>
    </row>
    <row r="69" hidden="1">
      <c r="A69" s="33">
        <v>349.0</v>
      </c>
      <c r="B69" s="33" t="s">
        <v>995</v>
      </c>
      <c r="C69" s="33" t="s">
        <v>826</v>
      </c>
      <c r="D69" s="34">
        <v>0.714285714285714</v>
      </c>
      <c r="E69" s="34">
        <v>0.923076923076923</v>
      </c>
      <c r="F69" s="34">
        <v>0.966442953020134</v>
      </c>
      <c r="G69" s="34">
        <v>-0.833333333333333</v>
      </c>
      <c r="H69" s="34">
        <v>-0.00425170068027214</v>
      </c>
      <c r="I69" s="34">
        <v>0.994082840236686</v>
      </c>
      <c r="J69" s="34">
        <v>0.928571428571428</v>
      </c>
    </row>
    <row r="70" hidden="1">
      <c r="A70" s="33">
        <v>350.0</v>
      </c>
      <c r="B70" s="33" t="s">
        <v>994</v>
      </c>
      <c r="C70" s="33" t="s">
        <v>848</v>
      </c>
      <c r="D70" s="34">
        <v>0.714285714285714</v>
      </c>
      <c r="E70" s="34">
        <v>0.923076923076923</v>
      </c>
      <c r="F70" s="34">
        <v>0.966442953020134</v>
      </c>
      <c r="G70" s="34">
        <v>-0.833333333333333</v>
      </c>
      <c r="H70" s="34">
        <v>0.00496031746031744</v>
      </c>
      <c r="I70" s="34">
        <v>1.006993006993</v>
      </c>
      <c r="J70" s="34">
        <v>1.08333333333333</v>
      </c>
    </row>
    <row r="71" hidden="1">
      <c r="A71" s="33">
        <v>351.0</v>
      </c>
      <c r="B71" s="33" t="s">
        <v>996</v>
      </c>
      <c r="C71" s="33" t="s">
        <v>826</v>
      </c>
      <c r="D71" s="34">
        <v>0.714285714285714</v>
      </c>
      <c r="E71" s="34">
        <v>0.923076923076923</v>
      </c>
      <c r="F71" s="34">
        <v>0.966442953020134</v>
      </c>
      <c r="G71" s="34">
        <v>-0.833333333333333</v>
      </c>
      <c r="H71" s="34">
        <v>-0.00425170068027214</v>
      </c>
      <c r="I71" s="34">
        <v>0.994082840236686</v>
      </c>
      <c r="J71" s="34">
        <v>0.928571428571428</v>
      </c>
    </row>
    <row r="72" hidden="1">
      <c r="A72" s="33">
        <v>352.0</v>
      </c>
      <c r="B72" s="33" t="s">
        <v>996</v>
      </c>
      <c r="C72" s="33" t="s">
        <v>825</v>
      </c>
      <c r="D72" s="34">
        <v>0.714285714285714</v>
      </c>
      <c r="E72" s="34">
        <v>0.923076923076923</v>
      </c>
      <c r="F72" s="34">
        <v>0.966442953020134</v>
      </c>
      <c r="G72" s="34">
        <v>-0.833333333333333</v>
      </c>
      <c r="H72" s="34">
        <v>-0.00425170068027214</v>
      </c>
      <c r="I72" s="34">
        <v>0.994082840236686</v>
      </c>
      <c r="J72" s="34">
        <v>0.928571428571428</v>
      </c>
    </row>
    <row r="73" hidden="1">
      <c r="A73" s="33">
        <v>353.0</v>
      </c>
      <c r="B73" s="33" t="s">
        <v>997</v>
      </c>
      <c r="C73" s="33" t="s">
        <v>848</v>
      </c>
      <c r="D73" s="34">
        <v>0.714285714285714</v>
      </c>
      <c r="E73" s="34">
        <v>0.923076923076923</v>
      </c>
      <c r="F73" s="34">
        <v>0.966442953020134</v>
      </c>
      <c r="G73" s="34">
        <v>-0.833333333333333</v>
      </c>
      <c r="H73" s="34">
        <v>0.00496031746031744</v>
      </c>
      <c r="I73" s="34">
        <v>1.006993006993</v>
      </c>
      <c r="J73" s="34">
        <v>1.08333333333333</v>
      </c>
    </row>
    <row r="74" hidden="1">
      <c r="A74" s="33">
        <v>354.0</v>
      </c>
      <c r="B74" s="33" t="s">
        <v>997</v>
      </c>
      <c r="C74" s="33" t="s">
        <v>835</v>
      </c>
      <c r="D74" s="34">
        <v>0.714285714285714</v>
      </c>
      <c r="E74" s="34">
        <v>0.923076923076923</v>
      </c>
      <c r="F74" s="34">
        <v>0.966442953020134</v>
      </c>
      <c r="G74" s="34">
        <v>-0.833333333333333</v>
      </c>
      <c r="H74" s="34">
        <v>0.0418083900226756</v>
      </c>
      <c r="I74" s="34">
        <v>1.06217070600632</v>
      </c>
      <c r="J74" s="34">
        <v>1.70238095238095</v>
      </c>
    </row>
    <row r="75" hidden="1">
      <c r="A75" s="33">
        <v>355.0</v>
      </c>
      <c r="B75" s="33" t="s">
        <v>995</v>
      </c>
      <c r="C75" s="33" t="s">
        <v>848</v>
      </c>
      <c r="D75" s="34">
        <v>0.714285714285714</v>
      </c>
      <c r="E75" s="34">
        <v>0.923076923076923</v>
      </c>
      <c r="F75" s="34">
        <v>0.966442953020134</v>
      </c>
      <c r="G75" s="34">
        <v>-0.833333333333333</v>
      </c>
      <c r="H75" s="34">
        <v>0.00496031746031744</v>
      </c>
      <c r="I75" s="34">
        <v>1.006993006993</v>
      </c>
      <c r="J75" s="34">
        <v>1.08333333333333</v>
      </c>
    </row>
    <row r="76" hidden="1">
      <c r="A76" s="33">
        <v>341.0</v>
      </c>
      <c r="B76" s="33" t="s">
        <v>837</v>
      </c>
      <c r="C76" s="33" t="s">
        <v>825</v>
      </c>
      <c r="D76" s="34">
        <v>0.845238095238095</v>
      </c>
      <c r="E76" s="34">
        <v>0.922077922077922</v>
      </c>
      <c r="F76" s="34">
        <v>0.962732919254658</v>
      </c>
      <c r="G76" s="34">
        <v>-0.988095238095238</v>
      </c>
      <c r="H76" s="34">
        <v>-0.00595238095238093</v>
      </c>
      <c r="I76" s="34">
        <v>0.993006993006993</v>
      </c>
      <c r="J76" s="34">
        <v>0.916666666666666</v>
      </c>
    </row>
    <row r="77" hidden="1">
      <c r="A77" s="33">
        <v>342.0</v>
      </c>
      <c r="B77" s="33" t="s">
        <v>848</v>
      </c>
      <c r="C77" s="33" t="s">
        <v>825</v>
      </c>
      <c r="D77" s="34">
        <v>0.845238095238095</v>
      </c>
      <c r="E77" s="34">
        <v>0.922077922077922</v>
      </c>
      <c r="F77" s="34">
        <v>0.962732919254658</v>
      </c>
      <c r="G77" s="34">
        <v>-0.988095238095238</v>
      </c>
      <c r="H77" s="34">
        <v>-0.00595238095238093</v>
      </c>
      <c r="I77" s="34">
        <v>0.993006993006993</v>
      </c>
      <c r="J77" s="34">
        <v>0.916666666666666</v>
      </c>
    </row>
    <row r="78" hidden="1">
      <c r="A78" s="33">
        <v>331.0</v>
      </c>
      <c r="B78" s="33" t="s">
        <v>998</v>
      </c>
      <c r="C78" s="33" t="s">
        <v>825</v>
      </c>
      <c r="D78" s="34">
        <v>0.702380952380952</v>
      </c>
      <c r="E78" s="34">
        <v>0.921875</v>
      </c>
      <c r="F78" s="34">
        <v>0.966216216216216</v>
      </c>
      <c r="G78" s="34">
        <v>-0.821428571428571</v>
      </c>
      <c r="H78" s="34">
        <v>-0.00510204081632659</v>
      </c>
      <c r="I78" s="34">
        <v>0.992788461538461</v>
      </c>
      <c r="J78" s="34">
        <v>0.914285714285714</v>
      </c>
    </row>
    <row r="79" hidden="1">
      <c r="A79" s="33">
        <v>332.0</v>
      </c>
      <c r="B79" s="33" t="s">
        <v>999</v>
      </c>
      <c r="C79" s="33" t="s">
        <v>826</v>
      </c>
      <c r="D79" s="34">
        <v>0.702380952380952</v>
      </c>
      <c r="E79" s="34">
        <v>0.921875</v>
      </c>
      <c r="F79" s="34">
        <v>0.966216216216216</v>
      </c>
      <c r="G79" s="34">
        <v>-0.821428571428571</v>
      </c>
      <c r="H79" s="34">
        <v>-0.00510204081632659</v>
      </c>
      <c r="I79" s="34">
        <v>0.992788461538461</v>
      </c>
      <c r="J79" s="34">
        <v>0.914285714285714</v>
      </c>
    </row>
    <row r="80" hidden="1">
      <c r="A80" s="33">
        <v>333.0</v>
      </c>
      <c r="B80" s="33" t="s">
        <v>998</v>
      </c>
      <c r="C80" s="33" t="s">
        <v>837</v>
      </c>
      <c r="D80" s="34">
        <v>0.702380952380952</v>
      </c>
      <c r="E80" s="34">
        <v>0.921875</v>
      </c>
      <c r="F80" s="34">
        <v>0.966216216216216</v>
      </c>
      <c r="G80" s="34">
        <v>-0.821428571428571</v>
      </c>
      <c r="H80" s="34">
        <v>0.00396825396825395</v>
      </c>
      <c r="I80" s="34">
        <v>1.00568181818181</v>
      </c>
      <c r="J80" s="34">
        <v>1.06666666666666</v>
      </c>
    </row>
    <row r="81" hidden="1">
      <c r="A81" s="33">
        <v>334.0</v>
      </c>
      <c r="B81" s="33" t="s">
        <v>977</v>
      </c>
      <c r="C81" s="33" t="s">
        <v>826</v>
      </c>
      <c r="D81" s="34">
        <v>0.702380952380952</v>
      </c>
      <c r="E81" s="34">
        <v>0.921875</v>
      </c>
      <c r="F81" s="34">
        <v>0.966216216216216</v>
      </c>
      <c r="G81" s="34">
        <v>-0.821428571428571</v>
      </c>
      <c r="H81" s="34">
        <v>-0.00510204081632659</v>
      </c>
      <c r="I81" s="34">
        <v>0.992788461538461</v>
      </c>
      <c r="J81" s="34">
        <v>0.914285714285714</v>
      </c>
    </row>
    <row r="82" hidden="1">
      <c r="A82" s="33">
        <v>335.0</v>
      </c>
      <c r="B82" s="33" t="s">
        <v>999</v>
      </c>
      <c r="C82" s="33" t="s">
        <v>825</v>
      </c>
      <c r="D82" s="34">
        <v>0.702380952380952</v>
      </c>
      <c r="E82" s="34">
        <v>0.921875</v>
      </c>
      <c r="F82" s="34">
        <v>0.966216216216216</v>
      </c>
      <c r="G82" s="34">
        <v>-0.821428571428571</v>
      </c>
      <c r="H82" s="34">
        <v>-0.00510204081632659</v>
      </c>
      <c r="I82" s="34">
        <v>0.992788461538461</v>
      </c>
      <c r="J82" s="34">
        <v>0.914285714285714</v>
      </c>
    </row>
    <row r="83" hidden="1">
      <c r="A83" s="33">
        <v>336.0</v>
      </c>
      <c r="B83" s="33" t="s">
        <v>1000</v>
      </c>
      <c r="C83" s="33" t="s">
        <v>825</v>
      </c>
      <c r="D83" s="34">
        <v>0.702380952380952</v>
      </c>
      <c r="E83" s="34">
        <v>0.921875</v>
      </c>
      <c r="F83" s="34">
        <v>0.966216216216216</v>
      </c>
      <c r="G83" s="34">
        <v>-0.821428571428571</v>
      </c>
      <c r="H83" s="34">
        <v>-0.00510204081632659</v>
      </c>
      <c r="I83" s="34">
        <v>0.992788461538461</v>
      </c>
      <c r="J83" s="34">
        <v>0.914285714285714</v>
      </c>
    </row>
    <row r="84" hidden="1">
      <c r="A84" s="33">
        <v>337.0</v>
      </c>
      <c r="B84" s="33" t="s">
        <v>977</v>
      </c>
      <c r="C84" s="33" t="s">
        <v>837</v>
      </c>
      <c r="D84" s="34">
        <v>0.702380952380952</v>
      </c>
      <c r="E84" s="34">
        <v>0.921875</v>
      </c>
      <c r="F84" s="34">
        <v>0.966216216216216</v>
      </c>
      <c r="G84" s="34">
        <v>-0.821428571428571</v>
      </c>
      <c r="H84" s="34">
        <v>0.00396825396825395</v>
      </c>
      <c r="I84" s="34">
        <v>1.00568181818181</v>
      </c>
      <c r="J84" s="34">
        <v>1.06666666666666</v>
      </c>
    </row>
    <row r="85" hidden="1">
      <c r="A85" s="33">
        <v>338.0</v>
      </c>
      <c r="B85" s="33" t="s">
        <v>977</v>
      </c>
      <c r="C85" s="33" t="s">
        <v>848</v>
      </c>
      <c r="D85" s="34">
        <v>0.702380952380952</v>
      </c>
      <c r="E85" s="34">
        <v>0.921875</v>
      </c>
      <c r="F85" s="34">
        <v>0.966216216216216</v>
      </c>
      <c r="G85" s="34">
        <v>-0.821428571428571</v>
      </c>
      <c r="H85" s="34">
        <v>0.00396825396825395</v>
      </c>
      <c r="I85" s="34">
        <v>1.00568181818181</v>
      </c>
      <c r="J85" s="34">
        <v>1.06666666666666</v>
      </c>
    </row>
    <row r="86" hidden="1">
      <c r="A86" s="33">
        <v>339.0</v>
      </c>
      <c r="B86" s="33" t="s">
        <v>1001</v>
      </c>
      <c r="C86" s="33" t="s">
        <v>837</v>
      </c>
      <c r="D86" s="34">
        <v>0.702380952380952</v>
      </c>
      <c r="E86" s="34">
        <v>0.921875</v>
      </c>
      <c r="F86" s="34">
        <v>0.966216216216216</v>
      </c>
      <c r="G86" s="34">
        <v>-0.821428571428571</v>
      </c>
      <c r="H86" s="34">
        <v>0.00396825396825395</v>
      </c>
      <c r="I86" s="34">
        <v>1.00568181818181</v>
      </c>
      <c r="J86" s="34">
        <v>1.06666666666666</v>
      </c>
    </row>
    <row r="87" hidden="1">
      <c r="A87" s="33">
        <v>340.0</v>
      </c>
      <c r="B87" s="33" t="s">
        <v>1001</v>
      </c>
      <c r="C87" s="33" t="s">
        <v>848</v>
      </c>
      <c r="D87" s="34">
        <v>0.702380952380952</v>
      </c>
      <c r="E87" s="34">
        <v>0.921875</v>
      </c>
      <c r="F87" s="34">
        <v>0.966216216216216</v>
      </c>
      <c r="G87" s="34">
        <v>-0.821428571428571</v>
      </c>
      <c r="H87" s="34">
        <v>0.00396825396825395</v>
      </c>
      <c r="I87" s="34">
        <v>1.00568181818181</v>
      </c>
      <c r="J87" s="34">
        <v>1.06666666666666</v>
      </c>
    </row>
    <row r="88" hidden="1">
      <c r="A88" s="33">
        <v>329.0</v>
      </c>
      <c r="B88" s="33" t="s">
        <v>836</v>
      </c>
      <c r="C88" s="33" t="s">
        <v>826</v>
      </c>
      <c r="D88" s="34">
        <v>0.809523809523809</v>
      </c>
      <c r="E88" s="34">
        <v>0.918918918918919</v>
      </c>
      <c r="F88" s="34">
        <v>0.962025316455696</v>
      </c>
      <c r="G88" s="34">
        <v>-0.952380952380952</v>
      </c>
      <c r="H88" s="34">
        <v>-0.00850340136054417</v>
      </c>
      <c r="I88" s="34">
        <v>0.989604989604989</v>
      </c>
      <c r="J88" s="34">
        <v>0.88095238095238</v>
      </c>
    </row>
    <row r="89" hidden="1">
      <c r="A89" s="33">
        <v>330.0</v>
      </c>
      <c r="B89" s="33" t="s">
        <v>836</v>
      </c>
      <c r="C89" s="33" t="s">
        <v>825</v>
      </c>
      <c r="D89" s="34">
        <v>0.809523809523809</v>
      </c>
      <c r="E89" s="34">
        <v>0.918918918918919</v>
      </c>
      <c r="F89" s="34">
        <v>0.962025316455696</v>
      </c>
      <c r="G89" s="34">
        <v>-0.952380952380952</v>
      </c>
      <c r="H89" s="34">
        <v>-0.00850340136054417</v>
      </c>
      <c r="I89" s="34">
        <v>0.989604989604989</v>
      </c>
      <c r="J89" s="34">
        <v>0.88095238095238</v>
      </c>
    </row>
    <row r="90" hidden="1">
      <c r="A90" s="33">
        <v>327.0</v>
      </c>
      <c r="B90" s="33" t="s">
        <v>835</v>
      </c>
      <c r="C90" s="33" t="s">
        <v>837</v>
      </c>
      <c r="D90" s="34">
        <v>0.797619047619047</v>
      </c>
      <c r="E90" s="34">
        <v>0.917808219178082</v>
      </c>
      <c r="F90" s="34">
        <v>0.961783439490445</v>
      </c>
      <c r="G90" s="34">
        <v>-0.94047619047619</v>
      </c>
      <c r="H90" s="34">
        <v>9.92063492063599E-4</v>
      </c>
      <c r="I90" s="34">
        <v>1.00124533001245</v>
      </c>
      <c r="J90" s="34">
        <v>1.01388888888888</v>
      </c>
    </row>
    <row r="91" hidden="1">
      <c r="A91" s="33">
        <v>328.0</v>
      </c>
      <c r="B91" s="33" t="s">
        <v>835</v>
      </c>
      <c r="C91" s="33" t="s">
        <v>848</v>
      </c>
      <c r="D91" s="34">
        <v>0.797619047619047</v>
      </c>
      <c r="E91" s="34">
        <v>0.917808219178082</v>
      </c>
      <c r="F91" s="34">
        <v>0.961783439490445</v>
      </c>
      <c r="G91" s="34">
        <v>-0.94047619047619</v>
      </c>
      <c r="H91" s="34">
        <v>9.92063492063599E-4</v>
      </c>
      <c r="I91" s="34">
        <v>1.00124533001245</v>
      </c>
      <c r="J91" s="34">
        <v>1.01388888888888</v>
      </c>
    </row>
    <row r="92" hidden="1">
      <c r="A92" s="33">
        <v>320.0</v>
      </c>
      <c r="B92" s="33" t="s">
        <v>839</v>
      </c>
      <c r="C92" s="33" t="s">
        <v>825</v>
      </c>
      <c r="D92" s="34">
        <v>0.785714285714285</v>
      </c>
      <c r="E92" s="34">
        <v>0.916666666666666</v>
      </c>
      <c r="F92" s="34">
        <v>0.961538461538461</v>
      </c>
      <c r="G92" s="34">
        <v>-0.928571428571428</v>
      </c>
      <c r="H92" s="34">
        <v>-0.010204081632653</v>
      </c>
      <c r="I92" s="34">
        <v>0.987179487179487</v>
      </c>
      <c r="J92" s="34">
        <v>0.857142857142857</v>
      </c>
    </row>
    <row r="93" hidden="1">
      <c r="A93" s="33">
        <v>321.0</v>
      </c>
      <c r="B93" s="33" t="s">
        <v>1002</v>
      </c>
      <c r="C93" s="33" t="s">
        <v>837</v>
      </c>
      <c r="D93" s="34">
        <v>0.785714285714285</v>
      </c>
      <c r="E93" s="34">
        <v>0.916666666666666</v>
      </c>
      <c r="F93" s="34">
        <v>0.961538461538461</v>
      </c>
      <c r="G93" s="34">
        <v>-0.928571428571428</v>
      </c>
      <c r="H93" s="34">
        <v>1.11022302462515E-16</v>
      </c>
      <c r="I93" s="34">
        <v>1.0</v>
      </c>
      <c r="J93" s="34">
        <v>1.0</v>
      </c>
    </row>
    <row r="94" hidden="1">
      <c r="A94" s="33">
        <v>322.0</v>
      </c>
      <c r="B94" s="33" t="s">
        <v>1003</v>
      </c>
      <c r="C94" s="33" t="s">
        <v>825</v>
      </c>
      <c r="D94" s="34">
        <v>0.785714285714285</v>
      </c>
      <c r="E94" s="34">
        <v>0.916666666666666</v>
      </c>
      <c r="F94" s="34">
        <v>0.961538461538461</v>
      </c>
      <c r="G94" s="34">
        <v>-0.928571428571428</v>
      </c>
      <c r="H94" s="34">
        <v>-0.010204081632653</v>
      </c>
      <c r="I94" s="34">
        <v>0.987179487179487</v>
      </c>
      <c r="J94" s="34">
        <v>0.857142857142857</v>
      </c>
    </row>
    <row r="95" hidden="1">
      <c r="A95" s="33">
        <v>323.0</v>
      </c>
      <c r="B95" s="33" t="s">
        <v>1002</v>
      </c>
      <c r="C95" s="33" t="s">
        <v>848</v>
      </c>
      <c r="D95" s="34">
        <v>0.785714285714285</v>
      </c>
      <c r="E95" s="34">
        <v>0.916666666666666</v>
      </c>
      <c r="F95" s="34">
        <v>0.961538461538461</v>
      </c>
      <c r="G95" s="34">
        <v>-0.928571428571428</v>
      </c>
      <c r="H95" s="34">
        <v>1.11022302462515E-16</v>
      </c>
      <c r="I95" s="34">
        <v>1.0</v>
      </c>
      <c r="J95" s="34">
        <v>1.0</v>
      </c>
    </row>
    <row r="96" hidden="1">
      <c r="A96" s="33">
        <v>324.0</v>
      </c>
      <c r="B96" s="33" t="s">
        <v>1004</v>
      </c>
      <c r="C96" s="33" t="s">
        <v>825</v>
      </c>
      <c r="D96" s="34">
        <v>0.785714285714285</v>
      </c>
      <c r="E96" s="34">
        <v>0.916666666666666</v>
      </c>
      <c r="F96" s="34">
        <v>0.961538461538461</v>
      </c>
      <c r="G96" s="34">
        <v>-0.928571428571428</v>
      </c>
      <c r="H96" s="34">
        <v>-0.010204081632653</v>
      </c>
      <c r="I96" s="34">
        <v>0.987179487179487</v>
      </c>
      <c r="J96" s="34">
        <v>0.857142857142857</v>
      </c>
    </row>
    <row r="97" hidden="1">
      <c r="A97" s="33">
        <v>325.0</v>
      </c>
      <c r="B97" s="33" t="s">
        <v>1003</v>
      </c>
      <c r="C97" s="33" t="s">
        <v>848</v>
      </c>
      <c r="D97" s="34">
        <v>0.785714285714285</v>
      </c>
      <c r="E97" s="34">
        <v>0.916666666666666</v>
      </c>
      <c r="F97" s="34">
        <v>0.961538461538461</v>
      </c>
      <c r="G97" s="34">
        <v>-0.928571428571428</v>
      </c>
      <c r="H97" s="34">
        <v>1.11022302462515E-16</v>
      </c>
      <c r="I97" s="34">
        <v>1.0</v>
      </c>
      <c r="J97" s="34">
        <v>1.0</v>
      </c>
    </row>
    <row r="98" hidden="1">
      <c r="A98" s="33">
        <v>326.0</v>
      </c>
      <c r="B98" s="33" t="s">
        <v>1004</v>
      </c>
      <c r="C98" s="33" t="s">
        <v>837</v>
      </c>
      <c r="D98" s="34">
        <v>0.785714285714285</v>
      </c>
      <c r="E98" s="34">
        <v>0.916666666666666</v>
      </c>
      <c r="F98" s="34">
        <v>0.961538461538461</v>
      </c>
      <c r="G98" s="34">
        <v>-0.928571428571428</v>
      </c>
      <c r="H98" s="34">
        <v>1.11022302462515E-16</v>
      </c>
      <c r="I98" s="34">
        <v>1.0</v>
      </c>
      <c r="J98" s="34">
        <v>1.0</v>
      </c>
    </row>
    <row r="99" hidden="1">
      <c r="A99" s="33">
        <v>315.0</v>
      </c>
      <c r="B99" s="33" t="s">
        <v>841</v>
      </c>
      <c r="C99" s="33" t="s">
        <v>826</v>
      </c>
      <c r="D99" s="34">
        <v>0.773809523809523</v>
      </c>
      <c r="E99" s="34">
        <v>0.915492957746478</v>
      </c>
      <c r="F99" s="34">
        <v>0.961290322580645</v>
      </c>
      <c r="G99" s="34">
        <v>-0.916666666666666</v>
      </c>
      <c r="H99" s="34">
        <v>-0.0110544217687075</v>
      </c>
      <c r="I99" s="34">
        <v>0.985915492957746</v>
      </c>
      <c r="J99" s="34">
        <v>0.845238095238095</v>
      </c>
    </row>
    <row r="100" hidden="1">
      <c r="A100" s="33">
        <v>316.0</v>
      </c>
      <c r="B100" s="33" t="s">
        <v>840</v>
      </c>
      <c r="C100" s="33" t="s">
        <v>826</v>
      </c>
      <c r="D100" s="34">
        <v>0.773809523809523</v>
      </c>
      <c r="E100" s="34">
        <v>0.915492957746478</v>
      </c>
      <c r="F100" s="34">
        <v>0.961290322580645</v>
      </c>
      <c r="G100" s="34">
        <v>-0.916666666666666</v>
      </c>
      <c r="H100" s="34">
        <v>-0.0110544217687075</v>
      </c>
      <c r="I100" s="34">
        <v>0.985915492957746</v>
      </c>
      <c r="J100" s="34">
        <v>0.845238095238095</v>
      </c>
    </row>
    <row r="101" hidden="1">
      <c r="A101" s="33">
        <v>317.0</v>
      </c>
      <c r="B101" s="33" t="s">
        <v>840</v>
      </c>
      <c r="C101" s="33" t="s">
        <v>825</v>
      </c>
      <c r="D101" s="34">
        <v>0.773809523809523</v>
      </c>
      <c r="E101" s="34">
        <v>0.915492957746478</v>
      </c>
      <c r="F101" s="34">
        <v>0.961290322580645</v>
      </c>
      <c r="G101" s="34">
        <v>-0.916666666666666</v>
      </c>
      <c r="H101" s="34">
        <v>-0.0110544217687075</v>
      </c>
      <c r="I101" s="34">
        <v>0.985915492957746</v>
      </c>
      <c r="J101" s="34">
        <v>0.845238095238095</v>
      </c>
    </row>
    <row r="102" hidden="1">
      <c r="A102" s="36">
        <v>318.0</v>
      </c>
      <c r="B102" s="36" t="s">
        <v>840</v>
      </c>
      <c r="C102" s="36" t="s">
        <v>837</v>
      </c>
      <c r="D102" s="37">
        <v>0.773809523809523</v>
      </c>
      <c r="E102" s="37">
        <v>0.915492957746478</v>
      </c>
      <c r="F102" s="37">
        <v>0.961290322580645</v>
      </c>
      <c r="G102" s="37">
        <v>-0.916666666666666</v>
      </c>
      <c r="H102" s="37">
        <v>-9.92063492063377E-4</v>
      </c>
      <c r="I102" s="37">
        <v>0.998719590268886</v>
      </c>
      <c r="J102" s="37">
        <v>0.986111111111111</v>
      </c>
    </row>
    <row r="103" hidden="1">
      <c r="A103" s="33">
        <v>319.0</v>
      </c>
      <c r="B103" s="33" t="s">
        <v>841</v>
      </c>
      <c r="C103" s="33" t="s">
        <v>848</v>
      </c>
      <c r="D103" s="34">
        <v>0.773809523809523</v>
      </c>
      <c r="E103" s="34">
        <v>0.915492957746478</v>
      </c>
      <c r="F103" s="34">
        <v>0.961290322580645</v>
      </c>
      <c r="G103" s="34">
        <v>-0.916666666666666</v>
      </c>
      <c r="H103" s="34">
        <v>-9.92063492063377E-4</v>
      </c>
      <c r="I103" s="34">
        <v>0.998719590268886</v>
      </c>
      <c r="J103" s="34">
        <v>0.986111111111111</v>
      </c>
    </row>
    <row r="104" hidden="1">
      <c r="A104" s="33">
        <v>314.0</v>
      </c>
      <c r="B104" s="33" t="s">
        <v>971</v>
      </c>
      <c r="C104" s="33" t="s">
        <v>825</v>
      </c>
      <c r="D104" s="34">
        <v>0.761904761904761</v>
      </c>
      <c r="E104" s="34">
        <v>0.914285714285714</v>
      </c>
      <c r="F104" s="34">
        <v>0.96103896103896</v>
      </c>
      <c r="G104" s="34">
        <v>-0.904761904761904</v>
      </c>
      <c r="H104" s="34">
        <v>-0.0119047619047619</v>
      </c>
      <c r="I104" s="34">
        <v>0.984615384615384</v>
      </c>
      <c r="J104" s="34">
        <v>0.833333333333333</v>
      </c>
    </row>
    <row r="105" hidden="1">
      <c r="A105" s="33">
        <v>308.0</v>
      </c>
      <c r="B105" s="33" t="s">
        <v>830</v>
      </c>
      <c r="C105" s="33" t="s">
        <v>826</v>
      </c>
      <c r="D105" s="34">
        <v>0.75</v>
      </c>
      <c r="E105" s="34">
        <v>0.913043478260869</v>
      </c>
      <c r="F105" s="34">
        <v>0.96078431372549</v>
      </c>
      <c r="G105" s="34">
        <v>-0.892857142857142</v>
      </c>
      <c r="H105" s="34">
        <v>-0.0127551020408163</v>
      </c>
      <c r="I105" s="34">
        <v>0.983277591973244</v>
      </c>
      <c r="J105" s="34">
        <v>0.821428571428571</v>
      </c>
    </row>
    <row r="106" hidden="1">
      <c r="A106" s="36">
        <v>309.0</v>
      </c>
      <c r="B106" s="36" t="s">
        <v>64</v>
      </c>
      <c r="C106" s="36" t="s">
        <v>825</v>
      </c>
      <c r="D106" s="37">
        <v>0.75</v>
      </c>
      <c r="E106" s="37">
        <v>0.913043478260869</v>
      </c>
      <c r="F106" s="37">
        <v>0.96078431372549</v>
      </c>
      <c r="G106" s="37">
        <v>-0.892857142857142</v>
      </c>
      <c r="H106" s="37">
        <v>-0.0127551020408163</v>
      </c>
      <c r="I106" s="37">
        <v>0.983277591973244</v>
      </c>
      <c r="J106" s="37">
        <v>0.821428571428571</v>
      </c>
    </row>
    <row r="107" hidden="1">
      <c r="A107" s="33">
        <v>310.0</v>
      </c>
      <c r="B107" s="33" t="s">
        <v>972</v>
      </c>
      <c r="C107" s="33" t="s">
        <v>825</v>
      </c>
      <c r="D107" s="34">
        <v>0.75</v>
      </c>
      <c r="E107" s="34">
        <v>0.913043478260869</v>
      </c>
      <c r="F107" s="34">
        <v>0.96078431372549</v>
      </c>
      <c r="G107" s="34">
        <v>-0.892857142857142</v>
      </c>
      <c r="H107" s="34">
        <v>-0.0127551020408163</v>
      </c>
      <c r="I107" s="34">
        <v>0.983277591973244</v>
      </c>
      <c r="J107" s="34">
        <v>0.821428571428571</v>
      </c>
    </row>
    <row r="108" hidden="1">
      <c r="A108" s="33">
        <v>311.0</v>
      </c>
      <c r="B108" s="33" t="s">
        <v>972</v>
      </c>
      <c r="C108" s="33" t="s">
        <v>837</v>
      </c>
      <c r="D108" s="34">
        <v>0.75</v>
      </c>
      <c r="E108" s="34">
        <v>0.913043478260869</v>
      </c>
      <c r="F108" s="34">
        <v>0.96078431372549</v>
      </c>
      <c r="G108" s="34">
        <v>-0.892857142857142</v>
      </c>
      <c r="H108" s="34">
        <v>-0.00297619047619046</v>
      </c>
      <c r="I108" s="34">
        <v>0.996047430830039</v>
      </c>
      <c r="J108" s="34">
        <v>0.958333333333333</v>
      </c>
    </row>
    <row r="109" hidden="1">
      <c r="A109" s="33">
        <v>312.0</v>
      </c>
      <c r="B109" s="33" t="s">
        <v>990</v>
      </c>
      <c r="C109" s="33" t="s">
        <v>837</v>
      </c>
      <c r="D109" s="34">
        <v>0.75</v>
      </c>
      <c r="E109" s="34">
        <v>0.913043478260869</v>
      </c>
      <c r="F109" s="34">
        <v>0.96078431372549</v>
      </c>
      <c r="G109" s="34">
        <v>-0.892857142857142</v>
      </c>
      <c r="H109" s="34">
        <v>-0.00297619047619046</v>
      </c>
      <c r="I109" s="34">
        <v>0.996047430830039</v>
      </c>
      <c r="J109" s="34">
        <v>0.958333333333333</v>
      </c>
    </row>
    <row r="110" hidden="1">
      <c r="A110" s="33">
        <v>313.0</v>
      </c>
      <c r="B110" s="33" t="s">
        <v>990</v>
      </c>
      <c r="C110" s="33" t="s">
        <v>848</v>
      </c>
      <c r="D110" s="34">
        <v>0.75</v>
      </c>
      <c r="E110" s="34">
        <v>0.913043478260869</v>
      </c>
      <c r="F110" s="34">
        <v>0.96078431372549</v>
      </c>
      <c r="G110" s="34">
        <v>-0.892857142857142</v>
      </c>
      <c r="H110" s="34">
        <v>-0.00297619047619046</v>
      </c>
      <c r="I110" s="34">
        <v>0.996047430830039</v>
      </c>
      <c r="J110" s="34">
        <v>0.958333333333333</v>
      </c>
    </row>
    <row r="111" hidden="1">
      <c r="A111" s="36">
        <v>302.0</v>
      </c>
      <c r="B111" s="36" t="s">
        <v>842</v>
      </c>
      <c r="C111" s="36" t="s">
        <v>837</v>
      </c>
      <c r="D111" s="37">
        <v>0.738095238095238</v>
      </c>
      <c r="E111" s="37">
        <v>0.911764705882352</v>
      </c>
      <c r="F111" s="37">
        <v>0.960526315789473</v>
      </c>
      <c r="G111" s="37">
        <v>-0.88095238095238</v>
      </c>
      <c r="H111" s="37">
        <v>-0.00396825396825395</v>
      </c>
      <c r="I111" s="37">
        <v>0.994652406417112</v>
      </c>
      <c r="J111" s="37">
        <v>0.944444444444444</v>
      </c>
    </row>
    <row r="112" hidden="1">
      <c r="A112" s="33">
        <v>303.0</v>
      </c>
      <c r="B112" s="33" t="s">
        <v>1005</v>
      </c>
      <c r="C112" s="33" t="s">
        <v>825</v>
      </c>
      <c r="D112" s="34">
        <v>0.738095238095238</v>
      </c>
      <c r="E112" s="34">
        <v>0.911764705882352</v>
      </c>
      <c r="F112" s="34">
        <v>0.960526315789473</v>
      </c>
      <c r="G112" s="34">
        <v>-0.88095238095238</v>
      </c>
      <c r="H112" s="34">
        <v>-0.0136054421768707</v>
      </c>
      <c r="I112" s="34">
        <v>0.981900452488687</v>
      </c>
      <c r="J112" s="34">
        <v>0.809523809523809</v>
      </c>
    </row>
    <row r="113" hidden="1">
      <c r="A113" s="33">
        <v>304.0</v>
      </c>
      <c r="B113" s="33" t="s">
        <v>1006</v>
      </c>
      <c r="C113" s="33" t="s">
        <v>826</v>
      </c>
      <c r="D113" s="34">
        <v>0.738095238095238</v>
      </c>
      <c r="E113" s="34">
        <v>0.911764705882352</v>
      </c>
      <c r="F113" s="34">
        <v>0.960526315789473</v>
      </c>
      <c r="G113" s="34">
        <v>-0.88095238095238</v>
      </c>
      <c r="H113" s="34">
        <v>-0.0136054421768707</v>
      </c>
      <c r="I113" s="34">
        <v>0.981900452488687</v>
      </c>
      <c r="J113" s="34">
        <v>0.809523809523809</v>
      </c>
    </row>
    <row r="114" hidden="1">
      <c r="A114" s="33">
        <v>305.0</v>
      </c>
      <c r="B114" s="33" t="s">
        <v>1005</v>
      </c>
      <c r="C114" s="33" t="s">
        <v>837</v>
      </c>
      <c r="D114" s="34">
        <v>0.738095238095238</v>
      </c>
      <c r="E114" s="34">
        <v>0.911764705882352</v>
      </c>
      <c r="F114" s="34">
        <v>0.960526315789473</v>
      </c>
      <c r="G114" s="34">
        <v>-0.88095238095238</v>
      </c>
      <c r="H114" s="34">
        <v>-0.00396825396825395</v>
      </c>
      <c r="I114" s="34">
        <v>0.994652406417112</v>
      </c>
      <c r="J114" s="34">
        <v>0.944444444444444</v>
      </c>
    </row>
    <row r="115" hidden="1">
      <c r="A115" s="33">
        <v>306.0</v>
      </c>
      <c r="B115" s="33" t="s">
        <v>1005</v>
      </c>
      <c r="C115" s="33" t="s">
        <v>848</v>
      </c>
      <c r="D115" s="34">
        <v>0.738095238095238</v>
      </c>
      <c r="E115" s="34">
        <v>0.911764705882352</v>
      </c>
      <c r="F115" s="34">
        <v>0.960526315789473</v>
      </c>
      <c r="G115" s="34">
        <v>-0.88095238095238</v>
      </c>
      <c r="H115" s="34">
        <v>-0.00396825396825395</v>
      </c>
      <c r="I115" s="34">
        <v>0.994652406417112</v>
      </c>
      <c r="J115" s="34">
        <v>0.944444444444444</v>
      </c>
    </row>
    <row r="116" hidden="1">
      <c r="A116" s="33">
        <v>307.0</v>
      </c>
      <c r="B116" s="33" t="s">
        <v>963</v>
      </c>
      <c r="C116" s="33" t="s">
        <v>825</v>
      </c>
      <c r="D116" s="34">
        <v>0.738095238095238</v>
      </c>
      <c r="E116" s="34">
        <v>0.911764705882352</v>
      </c>
      <c r="F116" s="34">
        <v>0.960526315789473</v>
      </c>
      <c r="G116" s="34">
        <v>-0.88095238095238</v>
      </c>
      <c r="H116" s="34">
        <v>-0.0136054421768707</v>
      </c>
      <c r="I116" s="34">
        <v>0.981900452488687</v>
      </c>
      <c r="J116" s="34">
        <v>0.809523809523809</v>
      </c>
    </row>
    <row r="117" hidden="1">
      <c r="A117" s="33">
        <v>297.0</v>
      </c>
      <c r="B117" s="33" t="s">
        <v>1007</v>
      </c>
      <c r="C117" s="33" t="s">
        <v>826</v>
      </c>
      <c r="D117" s="34">
        <v>0.726190476190476</v>
      </c>
      <c r="E117" s="34">
        <v>0.910447761194029</v>
      </c>
      <c r="F117" s="34">
        <v>0.960264900662251</v>
      </c>
      <c r="G117" s="34">
        <v>-0.869047619047619</v>
      </c>
      <c r="H117" s="34">
        <v>-0.0144557823129253</v>
      </c>
      <c r="I117" s="34">
        <v>0.980482204362801</v>
      </c>
      <c r="J117" s="34">
        <v>0.797619047619047</v>
      </c>
    </row>
    <row r="118" hidden="1">
      <c r="A118" s="33">
        <v>298.0</v>
      </c>
      <c r="B118" s="33" t="s">
        <v>991</v>
      </c>
      <c r="C118" s="33" t="s">
        <v>825</v>
      </c>
      <c r="D118" s="34">
        <v>0.726190476190476</v>
      </c>
      <c r="E118" s="34">
        <v>0.910447761194029</v>
      </c>
      <c r="F118" s="34">
        <v>0.960264900662251</v>
      </c>
      <c r="G118" s="34">
        <v>-0.869047619047619</v>
      </c>
      <c r="H118" s="34">
        <v>-0.0144557823129253</v>
      </c>
      <c r="I118" s="34">
        <v>0.980482204362801</v>
      </c>
      <c r="J118" s="34">
        <v>0.797619047619047</v>
      </c>
    </row>
    <row r="119" hidden="1">
      <c r="A119" s="33">
        <v>299.0</v>
      </c>
      <c r="B119" s="33" t="s">
        <v>992</v>
      </c>
      <c r="C119" s="33" t="s">
        <v>825</v>
      </c>
      <c r="D119" s="34">
        <v>0.726190476190476</v>
      </c>
      <c r="E119" s="34">
        <v>0.910447761194029</v>
      </c>
      <c r="F119" s="34">
        <v>0.960264900662251</v>
      </c>
      <c r="G119" s="34">
        <v>-0.869047619047619</v>
      </c>
      <c r="H119" s="34">
        <v>-0.0144557823129253</v>
      </c>
      <c r="I119" s="34">
        <v>0.980482204362801</v>
      </c>
      <c r="J119" s="34">
        <v>0.797619047619047</v>
      </c>
    </row>
    <row r="120" hidden="1">
      <c r="A120" s="33">
        <v>300.0</v>
      </c>
      <c r="B120" s="33" t="s">
        <v>965</v>
      </c>
      <c r="C120" s="33" t="s">
        <v>848</v>
      </c>
      <c r="D120" s="34">
        <v>0.726190476190476</v>
      </c>
      <c r="E120" s="34">
        <v>0.910447761194029</v>
      </c>
      <c r="F120" s="34">
        <v>0.960264900662251</v>
      </c>
      <c r="G120" s="34">
        <v>-0.869047619047619</v>
      </c>
      <c r="H120" s="34">
        <v>-0.00496031746031755</v>
      </c>
      <c r="I120" s="34">
        <v>0.993215739484396</v>
      </c>
      <c r="J120" s="34">
        <v>0.930555555555555</v>
      </c>
    </row>
    <row r="121" hidden="1">
      <c r="A121" s="33">
        <v>301.0</v>
      </c>
      <c r="B121" s="33" t="s">
        <v>974</v>
      </c>
      <c r="C121" s="33" t="s">
        <v>837</v>
      </c>
      <c r="D121" s="34">
        <v>0.726190476190476</v>
      </c>
      <c r="E121" s="34">
        <v>0.910447761194029</v>
      </c>
      <c r="F121" s="34">
        <v>0.960264900662251</v>
      </c>
      <c r="G121" s="34">
        <v>-0.869047619047619</v>
      </c>
      <c r="H121" s="34">
        <v>-0.00496031746031755</v>
      </c>
      <c r="I121" s="34">
        <v>0.993215739484396</v>
      </c>
      <c r="J121" s="34">
        <v>0.930555555555555</v>
      </c>
    </row>
    <row r="122" hidden="1">
      <c r="A122" s="33">
        <v>295.0</v>
      </c>
      <c r="B122" s="33" t="s">
        <v>825</v>
      </c>
      <c r="C122" s="33" t="s">
        <v>837</v>
      </c>
      <c r="D122" s="34">
        <v>0.845238095238095</v>
      </c>
      <c r="E122" s="34">
        <v>0.91025641025641</v>
      </c>
      <c r="F122" s="34">
        <v>0.95679012345679</v>
      </c>
      <c r="G122" s="34">
        <v>-1.01190476190476</v>
      </c>
      <c r="H122" s="34">
        <v>-0.00595238095238093</v>
      </c>
      <c r="I122" s="34">
        <v>0.993006993006993</v>
      </c>
      <c r="J122" s="34">
        <v>0.928571428571428</v>
      </c>
    </row>
    <row r="123" hidden="1">
      <c r="A123" s="33">
        <v>296.0</v>
      </c>
      <c r="B123" s="33" t="s">
        <v>825</v>
      </c>
      <c r="C123" s="33" t="s">
        <v>848</v>
      </c>
      <c r="D123" s="34">
        <v>0.845238095238095</v>
      </c>
      <c r="E123" s="34">
        <v>0.91025641025641</v>
      </c>
      <c r="F123" s="34">
        <v>0.95679012345679</v>
      </c>
      <c r="G123" s="34">
        <v>-1.01190476190476</v>
      </c>
      <c r="H123" s="34">
        <v>-0.00595238095238093</v>
      </c>
      <c r="I123" s="34">
        <v>0.993006993006993</v>
      </c>
      <c r="J123" s="34">
        <v>0.928571428571428</v>
      </c>
    </row>
    <row r="124" hidden="1">
      <c r="A124" s="33">
        <v>281.0</v>
      </c>
      <c r="B124" s="33" t="s">
        <v>837</v>
      </c>
      <c r="C124" s="33" t="s">
        <v>848</v>
      </c>
      <c r="D124" s="34">
        <v>0.833333333333333</v>
      </c>
      <c r="E124" s="34">
        <v>0.909090909090909</v>
      </c>
      <c r="F124" s="34">
        <v>0.956521739130434</v>
      </c>
      <c r="G124" s="34">
        <v>-0.999999999999999</v>
      </c>
      <c r="H124" s="34">
        <v>-0.0069444444444443</v>
      </c>
      <c r="I124" s="34">
        <v>0.991735537190082</v>
      </c>
      <c r="J124" s="34">
        <v>0.916666666666666</v>
      </c>
    </row>
    <row r="125" hidden="1">
      <c r="A125" s="33">
        <v>282.0</v>
      </c>
      <c r="B125" s="33" t="s">
        <v>848</v>
      </c>
      <c r="C125" s="33" t="s">
        <v>837</v>
      </c>
      <c r="D125" s="34">
        <v>0.833333333333333</v>
      </c>
      <c r="E125" s="34">
        <v>0.909090909090909</v>
      </c>
      <c r="F125" s="34">
        <v>0.956521739130434</v>
      </c>
      <c r="G125" s="34">
        <v>-0.999999999999999</v>
      </c>
      <c r="H125" s="34">
        <v>-0.0069444444444443</v>
      </c>
      <c r="I125" s="34">
        <v>0.991735537190082</v>
      </c>
      <c r="J125" s="34">
        <v>0.916666666666666</v>
      </c>
    </row>
    <row r="126" hidden="1">
      <c r="A126" s="33">
        <v>277.0</v>
      </c>
      <c r="B126" s="33" t="s">
        <v>850</v>
      </c>
      <c r="C126" s="33" t="s">
        <v>826</v>
      </c>
      <c r="D126" s="34">
        <v>0.714285714285714</v>
      </c>
      <c r="E126" s="34">
        <v>0.909090909090909</v>
      </c>
      <c r="F126" s="34">
        <v>0.96</v>
      </c>
      <c r="G126" s="34">
        <v>-0.857142857142857</v>
      </c>
      <c r="H126" s="34">
        <v>-0.0153061224489795</v>
      </c>
      <c r="I126" s="34">
        <v>0.979020979020979</v>
      </c>
      <c r="J126" s="34">
        <v>0.785714285714285</v>
      </c>
    </row>
    <row r="127" hidden="1">
      <c r="A127" s="33">
        <v>278.0</v>
      </c>
      <c r="B127" s="33" t="s">
        <v>843</v>
      </c>
      <c r="C127" s="33" t="s">
        <v>826</v>
      </c>
      <c r="D127" s="34">
        <v>0.714285714285714</v>
      </c>
      <c r="E127" s="34">
        <v>0.909090909090909</v>
      </c>
      <c r="F127" s="34">
        <v>0.96</v>
      </c>
      <c r="G127" s="34">
        <v>-0.857142857142857</v>
      </c>
      <c r="H127" s="34">
        <v>-0.0153061224489795</v>
      </c>
      <c r="I127" s="34">
        <v>0.979020979020979</v>
      </c>
      <c r="J127" s="34">
        <v>0.785714285714285</v>
      </c>
    </row>
    <row r="128" hidden="1">
      <c r="A128" s="33">
        <v>279.0</v>
      </c>
      <c r="B128" s="33" t="s">
        <v>59</v>
      </c>
      <c r="C128" s="33" t="s">
        <v>825</v>
      </c>
      <c r="D128" s="34">
        <v>0.714285714285714</v>
      </c>
      <c r="E128" s="34">
        <v>0.909090909090909</v>
      </c>
      <c r="F128" s="34">
        <v>0.96</v>
      </c>
      <c r="G128" s="34">
        <v>-0.857142857142857</v>
      </c>
      <c r="H128" s="34">
        <v>-0.0153061224489795</v>
      </c>
      <c r="I128" s="34">
        <v>0.979020979020979</v>
      </c>
      <c r="J128" s="34">
        <v>0.785714285714285</v>
      </c>
    </row>
    <row r="129" hidden="1">
      <c r="A129" s="33">
        <v>280.0</v>
      </c>
      <c r="B129" s="33" t="s">
        <v>850</v>
      </c>
      <c r="C129" s="33" t="s">
        <v>825</v>
      </c>
      <c r="D129" s="34">
        <v>0.714285714285714</v>
      </c>
      <c r="E129" s="34">
        <v>0.909090909090909</v>
      </c>
      <c r="F129" s="34">
        <v>0.96</v>
      </c>
      <c r="G129" s="34">
        <v>-0.857142857142857</v>
      </c>
      <c r="H129" s="34">
        <v>-0.0153061224489795</v>
      </c>
      <c r="I129" s="34">
        <v>0.979020979020979</v>
      </c>
      <c r="J129" s="34">
        <v>0.785714285714285</v>
      </c>
    </row>
    <row r="130" hidden="1">
      <c r="A130" s="33">
        <v>283.0</v>
      </c>
      <c r="B130" s="33" t="s">
        <v>59</v>
      </c>
      <c r="C130" s="33" t="s">
        <v>837</v>
      </c>
      <c r="D130" s="34">
        <v>0.714285714285714</v>
      </c>
      <c r="E130" s="34">
        <v>0.909090909090909</v>
      </c>
      <c r="F130" s="34">
        <v>0.96</v>
      </c>
      <c r="G130" s="34">
        <v>-0.857142857142857</v>
      </c>
      <c r="H130" s="34">
        <v>-0.00595238095238093</v>
      </c>
      <c r="I130" s="34">
        <v>0.991735537190082</v>
      </c>
      <c r="J130" s="34">
        <v>0.916666666666666</v>
      </c>
    </row>
    <row r="131" hidden="1">
      <c r="A131" s="36">
        <v>284.0</v>
      </c>
      <c r="B131" s="36" t="s">
        <v>843</v>
      </c>
      <c r="C131" s="36" t="s">
        <v>837</v>
      </c>
      <c r="D131" s="37">
        <v>0.714285714285714</v>
      </c>
      <c r="E131" s="37">
        <v>0.909090909090909</v>
      </c>
      <c r="F131" s="37">
        <v>0.96</v>
      </c>
      <c r="G131" s="37">
        <v>-0.857142857142857</v>
      </c>
      <c r="H131" s="37">
        <v>-0.00595238095238093</v>
      </c>
      <c r="I131" s="37">
        <v>0.991735537190082</v>
      </c>
      <c r="J131" s="37">
        <v>0.916666666666666</v>
      </c>
    </row>
    <row r="132" hidden="1">
      <c r="A132" s="33">
        <v>285.0</v>
      </c>
      <c r="B132" s="33" t="s">
        <v>850</v>
      </c>
      <c r="C132" s="33" t="s">
        <v>848</v>
      </c>
      <c r="D132" s="34">
        <v>0.714285714285714</v>
      </c>
      <c r="E132" s="34">
        <v>0.909090909090909</v>
      </c>
      <c r="F132" s="34">
        <v>0.96</v>
      </c>
      <c r="G132" s="34">
        <v>-0.857142857142857</v>
      </c>
      <c r="H132" s="34">
        <v>-0.00595238095238093</v>
      </c>
      <c r="I132" s="34">
        <v>0.991735537190082</v>
      </c>
      <c r="J132" s="34">
        <v>0.916666666666666</v>
      </c>
    </row>
    <row r="133" hidden="1">
      <c r="A133" s="33">
        <v>286.0</v>
      </c>
      <c r="B133" s="33" t="s">
        <v>843</v>
      </c>
      <c r="C133" s="33" t="s">
        <v>848</v>
      </c>
      <c r="D133" s="34">
        <v>0.714285714285714</v>
      </c>
      <c r="E133" s="34">
        <v>0.909090909090909</v>
      </c>
      <c r="F133" s="34">
        <v>0.96</v>
      </c>
      <c r="G133" s="34">
        <v>-0.857142857142857</v>
      </c>
      <c r="H133" s="34">
        <v>-0.00595238095238093</v>
      </c>
      <c r="I133" s="34">
        <v>0.991735537190082</v>
      </c>
      <c r="J133" s="34">
        <v>0.916666666666666</v>
      </c>
    </row>
    <row r="134" hidden="1">
      <c r="A134" s="36">
        <v>287.0</v>
      </c>
      <c r="B134" s="36" t="s">
        <v>843</v>
      </c>
      <c r="C134" s="36" t="s">
        <v>835</v>
      </c>
      <c r="D134" s="37">
        <v>0.714285714285714</v>
      </c>
      <c r="E134" s="37">
        <v>0.909090909090909</v>
      </c>
      <c r="F134" s="37">
        <v>0.96</v>
      </c>
      <c r="G134" s="37">
        <v>-0.857142857142857</v>
      </c>
      <c r="H134" s="37">
        <v>0.0314625850340136</v>
      </c>
      <c r="I134" s="37">
        <v>1.04607721046077</v>
      </c>
      <c r="J134" s="37">
        <v>1.44047619047619</v>
      </c>
    </row>
    <row r="135" hidden="1">
      <c r="A135" s="33">
        <v>288.0</v>
      </c>
      <c r="B135" s="33" t="s">
        <v>1008</v>
      </c>
      <c r="C135" s="33" t="s">
        <v>826</v>
      </c>
      <c r="D135" s="34">
        <v>0.714285714285714</v>
      </c>
      <c r="E135" s="34">
        <v>0.909090909090909</v>
      </c>
      <c r="F135" s="34">
        <v>0.96</v>
      </c>
      <c r="G135" s="34">
        <v>-0.857142857142857</v>
      </c>
      <c r="H135" s="34">
        <v>-0.0153061224489795</v>
      </c>
      <c r="I135" s="34">
        <v>0.979020979020979</v>
      </c>
      <c r="J135" s="34">
        <v>0.785714285714285</v>
      </c>
    </row>
    <row r="136" hidden="1">
      <c r="A136" s="33">
        <v>289.0</v>
      </c>
      <c r="B136" s="33" t="s">
        <v>1008</v>
      </c>
      <c r="C136" s="33" t="s">
        <v>848</v>
      </c>
      <c r="D136" s="34">
        <v>0.714285714285714</v>
      </c>
      <c r="E136" s="34">
        <v>0.909090909090909</v>
      </c>
      <c r="F136" s="34">
        <v>0.96</v>
      </c>
      <c r="G136" s="34">
        <v>-0.857142857142857</v>
      </c>
      <c r="H136" s="34">
        <v>-0.00595238095238093</v>
      </c>
      <c r="I136" s="34">
        <v>0.991735537190082</v>
      </c>
      <c r="J136" s="34">
        <v>0.916666666666666</v>
      </c>
    </row>
    <row r="137" hidden="1">
      <c r="A137" s="33">
        <v>290.0</v>
      </c>
      <c r="B137" s="33" t="s">
        <v>993</v>
      </c>
      <c r="C137" s="33" t="s">
        <v>825</v>
      </c>
      <c r="D137" s="34">
        <v>0.714285714285714</v>
      </c>
      <c r="E137" s="34">
        <v>0.909090909090909</v>
      </c>
      <c r="F137" s="34">
        <v>0.96</v>
      </c>
      <c r="G137" s="34">
        <v>-0.857142857142857</v>
      </c>
      <c r="H137" s="34">
        <v>-0.0153061224489795</v>
      </c>
      <c r="I137" s="34">
        <v>0.979020979020979</v>
      </c>
      <c r="J137" s="34">
        <v>0.785714285714285</v>
      </c>
    </row>
    <row r="138" hidden="1">
      <c r="A138" s="33">
        <v>291.0</v>
      </c>
      <c r="B138" s="33" t="s">
        <v>993</v>
      </c>
      <c r="C138" s="33" t="s">
        <v>837</v>
      </c>
      <c r="D138" s="34">
        <v>0.714285714285714</v>
      </c>
      <c r="E138" s="34">
        <v>0.909090909090909</v>
      </c>
      <c r="F138" s="34">
        <v>0.96</v>
      </c>
      <c r="G138" s="34">
        <v>-0.857142857142857</v>
      </c>
      <c r="H138" s="34">
        <v>-0.00595238095238093</v>
      </c>
      <c r="I138" s="34">
        <v>0.991735537190082</v>
      </c>
      <c r="J138" s="34">
        <v>0.916666666666666</v>
      </c>
    </row>
    <row r="139" hidden="1">
      <c r="A139" s="33">
        <v>292.0</v>
      </c>
      <c r="B139" s="33" t="s">
        <v>1009</v>
      </c>
      <c r="C139" s="33" t="s">
        <v>848</v>
      </c>
      <c r="D139" s="34">
        <v>0.714285714285714</v>
      </c>
      <c r="E139" s="34">
        <v>0.909090909090909</v>
      </c>
      <c r="F139" s="34">
        <v>0.96</v>
      </c>
      <c r="G139" s="34">
        <v>-0.857142857142857</v>
      </c>
      <c r="H139" s="34">
        <v>-0.00595238095238093</v>
      </c>
      <c r="I139" s="34">
        <v>0.991735537190082</v>
      </c>
      <c r="J139" s="34">
        <v>0.916666666666666</v>
      </c>
    </row>
    <row r="140" hidden="1">
      <c r="A140" s="33">
        <v>293.0</v>
      </c>
      <c r="B140" s="33" t="s">
        <v>1010</v>
      </c>
      <c r="C140" s="33" t="s">
        <v>837</v>
      </c>
      <c r="D140" s="34">
        <v>0.714285714285714</v>
      </c>
      <c r="E140" s="34">
        <v>0.909090909090909</v>
      </c>
      <c r="F140" s="34">
        <v>0.96</v>
      </c>
      <c r="G140" s="34">
        <v>-0.857142857142857</v>
      </c>
      <c r="H140" s="34">
        <v>-0.00595238095238093</v>
      </c>
      <c r="I140" s="34">
        <v>0.991735537190082</v>
      </c>
      <c r="J140" s="34">
        <v>0.916666666666666</v>
      </c>
    </row>
    <row r="141" hidden="1">
      <c r="A141" s="33">
        <v>294.0</v>
      </c>
      <c r="B141" s="33" t="s">
        <v>1011</v>
      </c>
      <c r="C141" s="33" t="s">
        <v>825</v>
      </c>
      <c r="D141" s="34">
        <v>0.714285714285714</v>
      </c>
      <c r="E141" s="34">
        <v>0.909090909090909</v>
      </c>
      <c r="F141" s="34">
        <v>0.96</v>
      </c>
      <c r="G141" s="34">
        <v>-0.857142857142857</v>
      </c>
      <c r="H141" s="34">
        <v>-0.0153061224489795</v>
      </c>
      <c r="I141" s="34">
        <v>0.979020979020979</v>
      </c>
      <c r="J141" s="34">
        <v>0.785714285714285</v>
      </c>
    </row>
    <row r="142" hidden="1">
      <c r="A142" s="33">
        <v>265.0</v>
      </c>
      <c r="B142" s="33" t="s">
        <v>975</v>
      </c>
      <c r="C142" s="33" t="s">
        <v>825</v>
      </c>
      <c r="D142" s="34">
        <v>0.702380952380952</v>
      </c>
      <c r="E142" s="34">
        <v>0.907692307692307</v>
      </c>
      <c r="F142" s="34">
        <v>0.959731543624161</v>
      </c>
      <c r="G142" s="34">
        <v>-0.845238095238095</v>
      </c>
      <c r="H142" s="34">
        <v>-0.0161564625850341</v>
      </c>
      <c r="I142" s="34">
        <v>0.977514792899408</v>
      </c>
      <c r="J142" s="34">
        <v>0.773809523809523</v>
      </c>
    </row>
    <row r="143" hidden="1">
      <c r="A143" s="33">
        <v>266.0</v>
      </c>
      <c r="B143" s="33" t="s">
        <v>997</v>
      </c>
      <c r="C143" s="33" t="s">
        <v>826</v>
      </c>
      <c r="D143" s="34">
        <v>0.702380952380952</v>
      </c>
      <c r="E143" s="34">
        <v>0.907692307692307</v>
      </c>
      <c r="F143" s="34">
        <v>0.959731543624161</v>
      </c>
      <c r="G143" s="34">
        <v>-0.845238095238095</v>
      </c>
      <c r="H143" s="34">
        <v>-0.0161564625850341</v>
      </c>
      <c r="I143" s="34">
        <v>0.977514792899408</v>
      </c>
      <c r="J143" s="34">
        <v>0.773809523809523</v>
      </c>
    </row>
    <row r="144" hidden="1">
      <c r="A144" s="33">
        <v>267.0</v>
      </c>
      <c r="B144" s="33" t="s">
        <v>994</v>
      </c>
      <c r="C144" s="33" t="s">
        <v>837</v>
      </c>
      <c r="D144" s="34">
        <v>0.702380952380952</v>
      </c>
      <c r="E144" s="34">
        <v>0.907692307692307</v>
      </c>
      <c r="F144" s="34">
        <v>0.959731543624161</v>
      </c>
      <c r="G144" s="34">
        <v>-0.845238095238095</v>
      </c>
      <c r="H144" s="34">
        <v>-0.00694444444444453</v>
      </c>
      <c r="I144" s="34">
        <v>0.99020979020979</v>
      </c>
      <c r="J144" s="34">
        <v>0.902777777777777</v>
      </c>
    </row>
    <row r="145" hidden="1">
      <c r="A145" s="33">
        <v>268.0</v>
      </c>
      <c r="B145" s="33" t="s">
        <v>975</v>
      </c>
      <c r="C145" s="33" t="s">
        <v>835</v>
      </c>
      <c r="D145" s="34">
        <v>0.702380952380952</v>
      </c>
      <c r="E145" s="34">
        <v>0.907692307692307</v>
      </c>
      <c r="F145" s="34">
        <v>0.959731543624161</v>
      </c>
      <c r="G145" s="34">
        <v>-0.845238095238095</v>
      </c>
      <c r="H145" s="34">
        <v>0.0299036281179136</v>
      </c>
      <c r="I145" s="34">
        <v>1.04446786090621</v>
      </c>
      <c r="J145" s="34">
        <v>1.41865079365079</v>
      </c>
    </row>
    <row r="146" hidden="1">
      <c r="A146" s="33">
        <v>269.0</v>
      </c>
      <c r="B146" s="33" t="s">
        <v>957</v>
      </c>
      <c r="C146" s="33" t="s">
        <v>825</v>
      </c>
      <c r="D146" s="34">
        <v>0.702380952380952</v>
      </c>
      <c r="E146" s="34">
        <v>0.907692307692307</v>
      </c>
      <c r="F146" s="34">
        <v>0.959731543624161</v>
      </c>
      <c r="G146" s="34">
        <v>-0.845238095238095</v>
      </c>
      <c r="H146" s="34">
        <v>-0.0161564625850341</v>
      </c>
      <c r="I146" s="34">
        <v>0.977514792899408</v>
      </c>
      <c r="J146" s="34">
        <v>0.773809523809523</v>
      </c>
    </row>
    <row r="147" hidden="1">
      <c r="A147" s="33">
        <v>270.0</v>
      </c>
      <c r="B147" s="33" t="s">
        <v>997</v>
      </c>
      <c r="C147" s="33" t="s">
        <v>837</v>
      </c>
      <c r="D147" s="34">
        <v>0.702380952380952</v>
      </c>
      <c r="E147" s="34">
        <v>0.907692307692307</v>
      </c>
      <c r="F147" s="34">
        <v>0.959731543624161</v>
      </c>
      <c r="G147" s="34">
        <v>-0.845238095238095</v>
      </c>
      <c r="H147" s="34">
        <v>-0.00694444444444453</v>
      </c>
      <c r="I147" s="34">
        <v>0.99020979020979</v>
      </c>
      <c r="J147" s="34">
        <v>0.902777777777777</v>
      </c>
    </row>
    <row r="148" hidden="1">
      <c r="A148" s="33">
        <v>271.0</v>
      </c>
      <c r="B148" s="33" t="s">
        <v>995</v>
      </c>
      <c r="C148" s="33" t="s">
        <v>825</v>
      </c>
      <c r="D148" s="34">
        <v>0.702380952380952</v>
      </c>
      <c r="E148" s="34">
        <v>0.907692307692307</v>
      </c>
      <c r="F148" s="34">
        <v>0.959731543624161</v>
      </c>
      <c r="G148" s="34">
        <v>-0.845238095238095</v>
      </c>
      <c r="H148" s="34">
        <v>-0.0161564625850341</v>
      </c>
      <c r="I148" s="34">
        <v>0.977514792899408</v>
      </c>
      <c r="J148" s="34">
        <v>0.773809523809523</v>
      </c>
    </row>
    <row r="149" hidden="1">
      <c r="A149" s="33">
        <v>272.0</v>
      </c>
      <c r="B149" s="33" t="s">
        <v>976</v>
      </c>
      <c r="C149" s="33" t="s">
        <v>825</v>
      </c>
      <c r="D149" s="34">
        <v>0.702380952380952</v>
      </c>
      <c r="E149" s="34">
        <v>0.907692307692307</v>
      </c>
      <c r="F149" s="34">
        <v>0.959731543624161</v>
      </c>
      <c r="G149" s="34">
        <v>-0.845238095238095</v>
      </c>
      <c r="H149" s="34">
        <v>-0.0161564625850341</v>
      </c>
      <c r="I149" s="34">
        <v>0.977514792899408</v>
      </c>
      <c r="J149" s="34">
        <v>0.773809523809523</v>
      </c>
    </row>
    <row r="150" hidden="1">
      <c r="A150" s="33">
        <v>273.0</v>
      </c>
      <c r="B150" s="33" t="s">
        <v>995</v>
      </c>
      <c r="C150" s="33" t="s">
        <v>835</v>
      </c>
      <c r="D150" s="34">
        <v>0.702380952380952</v>
      </c>
      <c r="E150" s="34">
        <v>0.907692307692307</v>
      </c>
      <c r="F150" s="34">
        <v>0.959731543624161</v>
      </c>
      <c r="G150" s="34">
        <v>-0.845238095238095</v>
      </c>
      <c r="H150" s="34">
        <v>0.0299036281179136</v>
      </c>
      <c r="I150" s="34">
        <v>1.04446786090621</v>
      </c>
      <c r="J150" s="34">
        <v>1.41865079365079</v>
      </c>
    </row>
    <row r="151" hidden="1">
      <c r="A151" s="33">
        <v>274.0</v>
      </c>
      <c r="B151" s="33" t="s">
        <v>1012</v>
      </c>
      <c r="C151" s="33" t="s">
        <v>825</v>
      </c>
      <c r="D151" s="34">
        <v>0.702380952380952</v>
      </c>
      <c r="E151" s="34">
        <v>0.907692307692307</v>
      </c>
      <c r="F151" s="34">
        <v>0.959731543624161</v>
      </c>
      <c r="G151" s="34">
        <v>-0.845238095238095</v>
      </c>
      <c r="H151" s="34">
        <v>-0.0161564625850341</v>
      </c>
      <c r="I151" s="34">
        <v>0.977514792899408</v>
      </c>
      <c r="J151" s="34">
        <v>0.773809523809523</v>
      </c>
    </row>
    <row r="152" hidden="1">
      <c r="A152" s="33">
        <v>275.0</v>
      </c>
      <c r="B152" s="33" t="s">
        <v>957</v>
      </c>
      <c r="C152" s="33" t="s">
        <v>1004</v>
      </c>
      <c r="D152" s="34">
        <v>0.702380952380952</v>
      </c>
      <c r="E152" s="34">
        <v>0.907692307692307</v>
      </c>
      <c r="F152" s="34">
        <v>0.959731543624161</v>
      </c>
      <c r="G152" s="34">
        <v>-0.845238095238095</v>
      </c>
      <c r="H152" s="34">
        <v>0.0391156462585033</v>
      </c>
      <c r="I152" s="34">
        <v>1.05897435897435</v>
      </c>
      <c r="J152" s="34">
        <v>1.54761904761904</v>
      </c>
    </row>
    <row r="153" hidden="1">
      <c r="A153" s="33">
        <v>276.0</v>
      </c>
      <c r="B153" s="33" t="s">
        <v>1012</v>
      </c>
      <c r="C153" s="33" t="s">
        <v>837</v>
      </c>
      <c r="D153" s="34">
        <v>0.702380952380952</v>
      </c>
      <c r="E153" s="34">
        <v>0.907692307692307</v>
      </c>
      <c r="F153" s="34">
        <v>0.959731543624161</v>
      </c>
      <c r="G153" s="34">
        <v>-0.845238095238095</v>
      </c>
      <c r="H153" s="34">
        <v>-0.00694444444444453</v>
      </c>
      <c r="I153" s="34">
        <v>0.99020979020979</v>
      </c>
      <c r="J153" s="34">
        <v>0.902777777777777</v>
      </c>
    </row>
    <row r="154" hidden="1">
      <c r="A154" s="33">
        <v>263.0</v>
      </c>
      <c r="B154" s="33" t="s">
        <v>836</v>
      </c>
      <c r="C154" s="33" t="s">
        <v>837</v>
      </c>
      <c r="D154" s="34">
        <v>0.797619047619047</v>
      </c>
      <c r="E154" s="34">
        <v>0.905405405405405</v>
      </c>
      <c r="F154" s="34">
        <v>0.955696202531645</v>
      </c>
      <c r="G154" s="34">
        <v>-0.964285714285714</v>
      </c>
      <c r="H154" s="34">
        <v>-0.00992063492063477</v>
      </c>
      <c r="I154" s="34">
        <v>0.987714987714987</v>
      </c>
      <c r="J154" s="34">
        <v>0.88095238095238</v>
      </c>
    </row>
    <row r="155" hidden="1">
      <c r="A155" s="33">
        <v>264.0</v>
      </c>
      <c r="B155" s="33" t="s">
        <v>836</v>
      </c>
      <c r="C155" s="33" t="s">
        <v>848</v>
      </c>
      <c r="D155" s="34">
        <v>0.797619047619047</v>
      </c>
      <c r="E155" s="34">
        <v>0.905405405405405</v>
      </c>
      <c r="F155" s="34">
        <v>0.955696202531645</v>
      </c>
      <c r="G155" s="34">
        <v>-0.964285714285714</v>
      </c>
      <c r="H155" s="34">
        <v>-0.00992063492063477</v>
      </c>
      <c r="I155" s="34">
        <v>0.987714987714987</v>
      </c>
      <c r="J155" s="34">
        <v>0.88095238095238</v>
      </c>
    </row>
    <row r="156" hidden="1">
      <c r="A156" s="33">
        <v>260.0</v>
      </c>
      <c r="B156" s="33" t="s">
        <v>839</v>
      </c>
      <c r="C156" s="33" t="s">
        <v>837</v>
      </c>
      <c r="D156" s="34">
        <v>0.773809523809523</v>
      </c>
      <c r="E156" s="34">
        <v>0.902777777777777</v>
      </c>
      <c r="F156" s="34">
        <v>0.955128205128205</v>
      </c>
      <c r="G156" s="34">
        <v>-0.94047619047619</v>
      </c>
      <c r="H156" s="34">
        <v>-0.0119047619047617</v>
      </c>
      <c r="I156" s="34">
        <v>0.984848484848484</v>
      </c>
      <c r="J156" s="34">
        <v>0.857142857142857</v>
      </c>
    </row>
    <row r="157" hidden="1">
      <c r="A157" s="33">
        <v>261.0</v>
      </c>
      <c r="B157" s="33" t="s">
        <v>1004</v>
      </c>
      <c r="C157" s="33" t="s">
        <v>839</v>
      </c>
      <c r="D157" s="34">
        <v>0.773809523809523</v>
      </c>
      <c r="E157" s="34">
        <v>0.902777777777777</v>
      </c>
      <c r="F157" s="34">
        <v>0.955128205128205</v>
      </c>
      <c r="G157" s="34">
        <v>-0.94047619047619</v>
      </c>
      <c r="H157" s="34">
        <v>0.0391156462585035</v>
      </c>
      <c r="I157" s="34">
        <v>1.05324074074074</v>
      </c>
      <c r="J157" s="34">
        <v>1.46938775510204</v>
      </c>
    </row>
    <row r="158" hidden="1">
      <c r="A158" s="33">
        <v>262.0</v>
      </c>
      <c r="B158" s="33" t="s">
        <v>839</v>
      </c>
      <c r="C158" s="33" t="s">
        <v>1004</v>
      </c>
      <c r="D158" s="34">
        <v>0.773809523809523</v>
      </c>
      <c r="E158" s="34">
        <v>0.902777777777777</v>
      </c>
      <c r="F158" s="34">
        <v>0.955128205128205</v>
      </c>
      <c r="G158" s="34">
        <v>-0.94047619047619</v>
      </c>
      <c r="H158" s="34">
        <v>0.0391156462585035</v>
      </c>
      <c r="I158" s="34">
        <v>1.05324074074074</v>
      </c>
      <c r="J158" s="34">
        <v>1.46938775510204</v>
      </c>
    </row>
    <row r="159" hidden="1">
      <c r="A159" s="36">
        <v>255.0</v>
      </c>
      <c r="B159" s="36" t="s">
        <v>841</v>
      </c>
      <c r="C159" s="36" t="s">
        <v>837</v>
      </c>
      <c r="D159" s="37">
        <v>0.761904761904761</v>
      </c>
      <c r="E159" s="37">
        <v>0.901408450704225</v>
      </c>
      <c r="F159" s="37">
        <v>0.954838709677419</v>
      </c>
      <c r="G159" s="37">
        <v>-0.928571428571428</v>
      </c>
      <c r="H159" s="37">
        <v>-0.0128968253968253</v>
      </c>
      <c r="I159" s="37">
        <v>0.983354673495518</v>
      </c>
      <c r="J159" s="37">
        <v>0.845238095238095</v>
      </c>
    </row>
    <row r="160" hidden="1">
      <c r="A160" s="36">
        <v>256.0</v>
      </c>
      <c r="B160" s="36" t="s">
        <v>841</v>
      </c>
      <c r="C160" s="36" t="s">
        <v>836</v>
      </c>
      <c r="D160" s="37">
        <v>0.761904761904761</v>
      </c>
      <c r="E160" s="37">
        <v>0.901408450704225</v>
      </c>
      <c r="F160" s="37">
        <v>0.954838709677419</v>
      </c>
      <c r="G160" s="37">
        <v>-0.928571428571428</v>
      </c>
      <c r="H160" s="37">
        <v>0.0172902494331065</v>
      </c>
      <c r="I160" s="37">
        <v>1.02322040350209</v>
      </c>
      <c r="J160" s="37">
        <v>1.20748299319727</v>
      </c>
    </row>
    <row r="161" hidden="1">
      <c r="A161" s="36">
        <v>257.0</v>
      </c>
      <c r="B161" s="36" t="s">
        <v>840</v>
      </c>
      <c r="C161" s="36" t="s">
        <v>835</v>
      </c>
      <c r="D161" s="37">
        <v>0.761904761904761</v>
      </c>
      <c r="E161" s="37">
        <v>0.901408450704225</v>
      </c>
      <c r="F161" s="37">
        <v>0.954838709677419</v>
      </c>
      <c r="G161" s="37">
        <v>-0.928571428571428</v>
      </c>
      <c r="H161" s="37">
        <v>0.0273526077097505</v>
      </c>
      <c r="I161" s="37">
        <v>1.03723712135828</v>
      </c>
      <c r="J161" s="37">
        <v>1.328231292517</v>
      </c>
    </row>
    <row r="162" hidden="1">
      <c r="A162" s="33">
        <v>258.0</v>
      </c>
      <c r="B162" s="33" t="s">
        <v>988</v>
      </c>
      <c r="C162" s="33" t="s">
        <v>848</v>
      </c>
      <c r="D162" s="34">
        <v>0.761904761904761</v>
      </c>
      <c r="E162" s="34">
        <v>0.901408450704225</v>
      </c>
      <c r="F162" s="34">
        <v>0.954838709677419</v>
      </c>
      <c r="G162" s="34">
        <v>-0.928571428571428</v>
      </c>
      <c r="H162" s="34">
        <v>-0.0128968253968253</v>
      </c>
      <c r="I162" s="34">
        <v>0.983354673495518</v>
      </c>
      <c r="J162" s="34">
        <v>0.845238095238095</v>
      </c>
    </row>
    <row r="163" hidden="1">
      <c r="A163" s="33">
        <v>259.0</v>
      </c>
      <c r="B163" s="33" t="s">
        <v>989</v>
      </c>
      <c r="C163" s="33" t="s">
        <v>837</v>
      </c>
      <c r="D163" s="34">
        <v>0.761904761904761</v>
      </c>
      <c r="E163" s="34">
        <v>0.901408450704225</v>
      </c>
      <c r="F163" s="34">
        <v>0.954838709677419</v>
      </c>
      <c r="G163" s="34">
        <v>-0.928571428571428</v>
      </c>
      <c r="H163" s="34">
        <v>-0.0128968253968253</v>
      </c>
      <c r="I163" s="34">
        <v>0.983354673495518</v>
      </c>
      <c r="J163" s="34">
        <v>0.845238095238095</v>
      </c>
    </row>
    <row r="164" hidden="1">
      <c r="A164" s="33">
        <v>251.0</v>
      </c>
      <c r="B164" s="33" t="s">
        <v>830</v>
      </c>
      <c r="C164" s="33" t="s">
        <v>837</v>
      </c>
      <c r="D164" s="34">
        <v>0.738095238095238</v>
      </c>
      <c r="E164" s="34">
        <v>0.898550724637681</v>
      </c>
      <c r="F164" s="34">
        <v>0.954248366013072</v>
      </c>
      <c r="G164" s="34">
        <v>-0.904761904761904</v>
      </c>
      <c r="H164" s="34">
        <v>-0.0148809523809523</v>
      </c>
      <c r="I164" s="34">
        <v>0.980237154150197</v>
      </c>
      <c r="J164" s="34">
        <v>0.821428571428571</v>
      </c>
    </row>
    <row r="165" hidden="1">
      <c r="A165" s="33">
        <v>252.0</v>
      </c>
      <c r="B165" s="33" t="s">
        <v>64</v>
      </c>
      <c r="C165" s="33" t="s">
        <v>837</v>
      </c>
      <c r="D165" s="34">
        <v>0.738095238095238</v>
      </c>
      <c r="E165" s="34">
        <v>0.898550724637681</v>
      </c>
      <c r="F165" s="34">
        <v>0.954248366013072</v>
      </c>
      <c r="G165" s="34">
        <v>-0.904761904761904</v>
      </c>
      <c r="H165" s="34">
        <v>-0.0148809523809523</v>
      </c>
      <c r="I165" s="34">
        <v>0.980237154150197</v>
      </c>
      <c r="J165" s="34">
        <v>0.821428571428571</v>
      </c>
    </row>
    <row r="166" hidden="1">
      <c r="A166" s="33">
        <v>253.0</v>
      </c>
      <c r="B166" s="33" t="s">
        <v>830</v>
      </c>
      <c r="C166" s="33" t="s">
        <v>848</v>
      </c>
      <c r="D166" s="34">
        <v>0.738095238095238</v>
      </c>
      <c r="E166" s="34">
        <v>0.898550724637681</v>
      </c>
      <c r="F166" s="34">
        <v>0.954248366013072</v>
      </c>
      <c r="G166" s="34">
        <v>-0.904761904761904</v>
      </c>
      <c r="H166" s="34">
        <v>-0.0148809523809523</v>
      </c>
      <c r="I166" s="34">
        <v>0.980237154150197</v>
      </c>
      <c r="J166" s="34">
        <v>0.821428571428571</v>
      </c>
    </row>
    <row r="167" hidden="1">
      <c r="A167" s="33">
        <v>254.0</v>
      </c>
      <c r="B167" s="33" t="s">
        <v>830</v>
      </c>
      <c r="C167" s="33" t="s">
        <v>835</v>
      </c>
      <c r="D167" s="34">
        <v>0.738095238095238</v>
      </c>
      <c r="E167" s="34">
        <v>0.898550724637681</v>
      </c>
      <c r="F167" s="34">
        <v>0.954248366013072</v>
      </c>
      <c r="G167" s="34">
        <v>-0.904761904761904</v>
      </c>
      <c r="H167" s="34">
        <v>0.024234693877551</v>
      </c>
      <c r="I167" s="34">
        <v>1.03394877903514</v>
      </c>
      <c r="J167" s="34">
        <v>1.29081632653061</v>
      </c>
    </row>
    <row r="168" hidden="1">
      <c r="A168" s="33">
        <v>247.0</v>
      </c>
      <c r="B168" s="33" t="s">
        <v>842</v>
      </c>
      <c r="C168" s="33" t="s">
        <v>848</v>
      </c>
      <c r="D168" s="34">
        <v>0.726190476190476</v>
      </c>
      <c r="E168" s="34">
        <v>0.897058823529411</v>
      </c>
      <c r="F168" s="34">
        <v>0.953947368421052</v>
      </c>
      <c r="G168" s="34">
        <v>-0.892857142857142</v>
      </c>
      <c r="H168" s="34">
        <v>-0.0158730158730159</v>
      </c>
      <c r="I168" s="34">
        <v>0.978609625668449</v>
      </c>
      <c r="J168" s="34">
        <v>0.809523809523809</v>
      </c>
    </row>
    <row r="169" hidden="1">
      <c r="A169" s="33">
        <v>248.0</v>
      </c>
      <c r="B169" s="33" t="s">
        <v>1006</v>
      </c>
      <c r="C169" s="33" t="s">
        <v>837</v>
      </c>
      <c r="D169" s="34">
        <v>0.726190476190476</v>
      </c>
      <c r="E169" s="34">
        <v>0.897058823529411</v>
      </c>
      <c r="F169" s="34">
        <v>0.953947368421052</v>
      </c>
      <c r="G169" s="34">
        <v>-0.892857142857142</v>
      </c>
      <c r="H169" s="34">
        <v>-0.0158730158730159</v>
      </c>
      <c r="I169" s="34">
        <v>0.978609625668449</v>
      </c>
      <c r="J169" s="34">
        <v>0.809523809523809</v>
      </c>
    </row>
    <row r="170" hidden="1">
      <c r="A170" s="33">
        <v>249.0</v>
      </c>
      <c r="B170" s="33" t="s">
        <v>1006</v>
      </c>
      <c r="C170" s="33" t="s">
        <v>848</v>
      </c>
      <c r="D170" s="34">
        <v>0.726190476190476</v>
      </c>
      <c r="E170" s="34">
        <v>0.897058823529411</v>
      </c>
      <c r="F170" s="34">
        <v>0.953947368421052</v>
      </c>
      <c r="G170" s="34">
        <v>-0.892857142857142</v>
      </c>
      <c r="H170" s="34">
        <v>-0.0158730158730159</v>
      </c>
      <c r="I170" s="34">
        <v>0.978609625668449</v>
      </c>
      <c r="J170" s="34">
        <v>0.809523809523809</v>
      </c>
    </row>
    <row r="171" hidden="1">
      <c r="A171" s="33">
        <v>250.0</v>
      </c>
      <c r="B171" s="33" t="s">
        <v>963</v>
      </c>
      <c r="C171" s="33" t="s">
        <v>837</v>
      </c>
      <c r="D171" s="34">
        <v>0.726190476190476</v>
      </c>
      <c r="E171" s="34">
        <v>0.897058823529411</v>
      </c>
      <c r="F171" s="34">
        <v>0.953947368421052</v>
      </c>
      <c r="G171" s="34">
        <v>-0.892857142857142</v>
      </c>
      <c r="H171" s="34">
        <v>-0.0158730158730159</v>
      </c>
      <c r="I171" s="34">
        <v>0.978609625668449</v>
      </c>
      <c r="J171" s="34">
        <v>0.809523809523809</v>
      </c>
    </row>
    <row r="172" hidden="1">
      <c r="A172" s="33">
        <v>242.0</v>
      </c>
      <c r="B172" s="33" t="s">
        <v>1007</v>
      </c>
      <c r="C172" s="33" t="s">
        <v>837</v>
      </c>
      <c r="D172" s="34">
        <v>0.714285714285714</v>
      </c>
      <c r="E172" s="34">
        <v>0.895522388059701</v>
      </c>
      <c r="F172" s="34">
        <v>0.95364238410596</v>
      </c>
      <c r="G172" s="34">
        <v>-0.880952380952381</v>
      </c>
      <c r="H172" s="34">
        <v>-0.0168650793650794</v>
      </c>
      <c r="I172" s="34">
        <v>0.976933514246947</v>
      </c>
      <c r="J172" s="34">
        <v>0.797619047619047</v>
      </c>
    </row>
    <row r="173" hidden="1">
      <c r="A173" s="33">
        <v>243.0</v>
      </c>
      <c r="B173" s="33" t="s">
        <v>1007</v>
      </c>
      <c r="C173" s="33" t="s">
        <v>848</v>
      </c>
      <c r="D173" s="34">
        <v>0.714285714285714</v>
      </c>
      <c r="E173" s="34">
        <v>0.895522388059701</v>
      </c>
      <c r="F173" s="34">
        <v>0.95364238410596</v>
      </c>
      <c r="G173" s="34">
        <v>-0.880952380952381</v>
      </c>
      <c r="H173" s="34">
        <v>-0.0168650793650794</v>
      </c>
      <c r="I173" s="34">
        <v>0.976933514246947</v>
      </c>
      <c r="J173" s="34">
        <v>0.797619047619047</v>
      </c>
    </row>
    <row r="174" hidden="1">
      <c r="A174" s="33">
        <v>244.0</v>
      </c>
      <c r="B174" s="33" t="s">
        <v>1007</v>
      </c>
      <c r="C174" s="33" t="s">
        <v>835</v>
      </c>
      <c r="D174" s="34">
        <v>0.714285714285714</v>
      </c>
      <c r="E174" s="34">
        <v>0.895522388059701</v>
      </c>
      <c r="F174" s="34">
        <v>0.95364238410596</v>
      </c>
      <c r="G174" s="34">
        <v>-0.880952380952381</v>
      </c>
      <c r="H174" s="34">
        <v>0.0211167800453514</v>
      </c>
      <c r="I174" s="34">
        <v>1.03046411776732</v>
      </c>
      <c r="J174" s="34">
        <v>1.25340136054421</v>
      </c>
    </row>
    <row r="175" hidden="1">
      <c r="A175" s="33">
        <v>245.0</v>
      </c>
      <c r="B175" s="33" t="s">
        <v>991</v>
      </c>
      <c r="C175" s="33" t="s">
        <v>848</v>
      </c>
      <c r="D175" s="34">
        <v>0.714285714285714</v>
      </c>
      <c r="E175" s="34">
        <v>0.895522388059701</v>
      </c>
      <c r="F175" s="34">
        <v>0.95364238410596</v>
      </c>
      <c r="G175" s="34">
        <v>-0.880952380952381</v>
      </c>
      <c r="H175" s="34">
        <v>-0.0168650793650794</v>
      </c>
      <c r="I175" s="34">
        <v>0.976933514246947</v>
      </c>
      <c r="J175" s="34">
        <v>0.797619047619047</v>
      </c>
    </row>
    <row r="176" hidden="1">
      <c r="A176" s="33">
        <v>246.0</v>
      </c>
      <c r="B176" s="33" t="s">
        <v>992</v>
      </c>
      <c r="C176" s="33" t="s">
        <v>837</v>
      </c>
      <c r="D176" s="34">
        <v>0.714285714285714</v>
      </c>
      <c r="E176" s="34">
        <v>0.895522388059701</v>
      </c>
      <c r="F176" s="34">
        <v>0.95364238410596</v>
      </c>
      <c r="G176" s="34">
        <v>-0.880952380952381</v>
      </c>
      <c r="H176" s="34">
        <v>-0.0168650793650794</v>
      </c>
      <c r="I176" s="34">
        <v>0.976933514246947</v>
      </c>
      <c r="J176" s="34">
        <v>0.797619047619047</v>
      </c>
    </row>
    <row r="177" hidden="1">
      <c r="A177" s="33">
        <v>231.0</v>
      </c>
      <c r="B177" s="33" t="s">
        <v>850</v>
      </c>
      <c r="C177" s="33" t="s">
        <v>837</v>
      </c>
      <c r="D177" s="34">
        <v>0.702380952380952</v>
      </c>
      <c r="E177" s="34">
        <v>0.893939393939393</v>
      </c>
      <c r="F177" s="34">
        <v>0.953333333333333</v>
      </c>
      <c r="G177" s="34">
        <v>-0.869047619047619</v>
      </c>
      <c r="H177" s="34">
        <v>-0.0178571428571429</v>
      </c>
      <c r="I177" s="34">
        <v>0.975206611570247</v>
      </c>
      <c r="J177" s="34">
        <v>0.785714285714285</v>
      </c>
    </row>
    <row r="178" hidden="1">
      <c r="A178" s="36">
        <v>232.0</v>
      </c>
      <c r="B178" s="36" t="s">
        <v>843</v>
      </c>
      <c r="C178" s="36" t="s">
        <v>839</v>
      </c>
      <c r="D178" s="37">
        <v>0.702380952380952</v>
      </c>
      <c r="E178" s="37">
        <v>0.893939393939393</v>
      </c>
      <c r="F178" s="37">
        <v>0.953333333333333</v>
      </c>
      <c r="G178" s="37">
        <v>-0.869047619047619</v>
      </c>
      <c r="H178" s="37">
        <v>0.0289115646258503</v>
      </c>
      <c r="I178" s="37">
        <v>1.04292929292929</v>
      </c>
      <c r="J178" s="37">
        <v>1.3469387755102</v>
      </c>
    </row>
    <row r="179" hidden="1">
      <c r="A179" s="33">
        <v>233.0</v>
      </c>
      <c r="B179" s="33" t="s">
        <v>964</v>
      </c>
      <c r="C179" s="33" t="s">
        <v>837</v>
      </c>
      <c r="D179" s="34">
        <v>0.702380952380952</v>
      </c>
      <c r="E179" s="34">
        <v>0.893939393939393</v>
      </c>
      <c r="F179" s="34">
        <v>0.953333333333333</v>
      </c>
      <c r="G179" s="34">
        <v>-0.869047619047619</v>
      </c>
      <c r="H179" s="34">
        <v>-0.0178571428571429</v>
      </c>
      <c r="I179" s="34">
        <v>0.975206611570247</v>
      </c>
      <c r="J179" s="34">
        <v>0.785714285714285</v>
      </c>
    </row>
    <row r="180" hidden="1">
      <c r="A180" s="33">
        <v>234.0</v>
      </c>
      <c r="B180" s="33" t="s">
        <v>1008</v>
      </c>
      <c r="C180" s="33" t="s">
        <v>837</v>
      </c>
      <c r="D180" s="34">
        <v>0.702380952380952</v>
      </c>
      <c r="E180" s="34">
        <v>0.893939393939393</v>
      </c>
      <c r="F180" s="34">
        <v>0.953333333333333</v>
      </c>
      <c r="G180" s="34">
        <v>-0.869047619047619</v>
      </c>
      <c r="H180" s="34">
        <v>-0.0178571428571429</v>
      </c>
      <c r="I180" s="34">
        <v>0.975206611570247</v>
      </c>
      <c r="J180" s="34">
        <v>0.785714285714285</v>
      </c>
    </row>
    <row r="181" hidden="1">
      <c r="A181" s="33">
        <v>235.0</v>
      </c>
      <c r="B181" s="33" t="s">
        <v>1008</v>
      </c>
      <c r="C181" s="33" t="s">
        <v>836</v>
      </c>
      <c r="D181" s="34">
        <v>0.702380952380952</v>
      </c>
      <c r="E181" s="34">
        <v>0.893939393939393</v>
      </c>
      <c r="F181" s="34">
        <v>0.953333333333333</v>
      </c>
      <c r="G181" s="34">
        <v>-0.869047619047619</v>
      </c>
      <c r="H181" s="34">
        <v>0.010204081632653</v>
      </c>
      <c r="I181" s="34">
        <v>1.01474201474201</v>
      </c>
      <c r="J181" s="34">
        <v>1.12244897959183</v>
      </c>
    </row>
    <row r="182" hidden="1">
      <c r="A182" s="33">
        <v>236.0</v>
      </c>
      <c r="B182" s="33" t="s">
        <v>993</v>
      </c>
      <c r="C182" s="33" t="s">
        <v>835</v>
      </c>
      <c r="D182" s="34">
        <v>0.702380952380952</v>
      </c>
      <c r="E182" s="34">
        <v>0.893939393939393</v>
      </c>
      <c r="F182" s="34">
        <v>0.953333333333333</v>
      </c>
      <c r="G182" s="34">
        <v>-0.869047619047619</v>
      </c>
      <c r="H182" s="34">
        <v>0.0195578231292516</v>
      </c>
      <c r="I182" s="34">
        <v>1.02864259028642</v>
      </c>
      <c r="J182" s="34">
        <v>1.23469387755102</v>
      </c>
    </row>
    <row r="183" hidden="1">
      <c r="A183" s="33">
        <v>237.0</v>
      </c>
      <c r="B183" s="33" t="s">
        <v>1009</v>
      </c>
      <c r="C183" s="33" t="s">
        <v>835</v>
      </c>
      <c r="D183" s="34">
        <v>0.702380952380952</v>
      </c>
      <c r="E183" s="34">
        <v>0.893939393939393</v>
      </c>
      <c r="F183" s="34">
        <v>0.953333333333333</v>
      </c>
      <c r="G183" s="34">
        <v>-0.869047619047619</v>
      </c>
      <c r="H183" s="34">
        <v>0.0195578231292516</v>
      </c>
      <c r="I183" s="34">
        <v>1.02864259028642</v>
      </c>
      <c r="J183" s="34">
        <v>1.23469387755102</v>
      </c>
    </row>
    <row r="184" hidden="1">
      <c r="A184" s="33">
        <v>238.0</v>
      </c>
      <c r="B184" s="33" t="s">
        <v>1010</v>
      </c>
      <c r="C184" s="33" t="s">
        <v>835</v>
      </c>
      <c r="D184" s="34">
        <v>0.702380952380952</v>
      </c>
      <c r="E184" s="34">
        <v>0.893939393939393</v>
      </c>
      <c r="F184" s="34">
        <v>0.953333333333333</v>
      </c>
      <c r="G184" s="34">
        <v>-0.869047619047619</v>
      </c>
      <c r="H184" s="34">
        <v>0.0195578231292516</v>
      </c>
      <c r="I184" s="34">
        <v>1.02864259028642</v>
      </c>
      <c r="J184" s="34">
        <v>1.23469387755102</v>
      </c>
    </row>
    <row r="185" hidden="1">
      <c r="A185" s="33">
        <v>239.0</v>
      </c>
      <c r="B185" s="33" t="s">
        <v>1010</v>
      </c>
      <c r="C185" s="33" t="s">
        <v>839</v>
      </c>
      <c r="D185" s="34">
        <v>0.702380952380952</v>
      </c>
      <c r="E185" s="34">
        <v>0.893939393939393</v>
      </c>
      <c r="F185" s="34">
        <v>0.953333333333333</v>
      </c>
      <c r="G185" s="34">
        <v>-0.869047619047619</v>
      </c>
      <c r="H185" s="34">
        <v>0.0289115646258503</v>
      </c>
      <c r="I185" s="34">
        <v>1.04292929292929</v>
      </c>
      <c r="J185" s="34">
        <v>1.3469387755102</v>
      </c>
    </row>
    <row r="186" hidden="1">
      <c r="A186" s="33">
        <v>240.0</v>
      </c>
      <c r="B186" s="33" t="s">
        <v>964</v>
      </c>
      <c r="C186" s="33" t="s">
        <v>1004</v>
      </c>
      <c r="D186" s="34">
        <v>0.702380952380952</v>
      </c>
      <c r="E186" s="34">
        <v>0.893939393939393</v>
      </c>
      <c r="F186" s="34">
        <v>0.953333333333333</v>
      </c>
      <c r="G186" s="34">
        <v>-0.869047619047619</v>
      </c>
      <c r="H186" s="34">
        <v>0.0289115646258503</v>
      </c>
      <c r="I186" s="34">
        <v>1.04292929292929</v>
      </c>
      <c r="J186" s="34">
        <v>1.3469387755102</v>
      </c>
    </row>
    <row r="187" hidden="1">
      <c r="A187" s="33">
        <v>241.0</v>
      </c>
      <c r="B187" s="33" t="s">
        <v>1011</v>
      </c>
      <c r="C187" s="33" t="s">
        <v>839</v>
      </c>
      <c r="D187" s="34">
        <v>0.702380952380952</v>
      </c>
      <c r="E187" s="34">
        <v>0.893939393939393</v>
      </c>
      <c r="F187" s="34">
        <v>0.953333333333333</v>
      </c>
      <c r="G187" s="34">
        <v>-0.869047619047619</v>
      </c>
      <c r="H187" s="34">
        <v>0.0289115646258503</v>
      </c>
      <c r="I187" s="34">
        <v>1.04292929292929</v>
      </c>
      <c r="J187" s="34">
        <v>1.3469387755102</v>
      </c>
    </row>
    <row r="188" hidden="1">
      <c r="A188" s="33">
        <v>230.0</v>
      </c>
      <c r="B188" s="33" t="s">
        <v>1002</v>
      </c>
      <c r="C188" s="33" t="s">
        <v>835</v>
      </c>
      <c r="D188" s="34">
        <v>0.761904761904761</v>
      </c>
      <c r="E188" s="34">
        <v>0.888888888888888</v>
      </c>
      <c r="F188" s="34">
        <v>0.948717948717948</v>
      </c>
      <c r="G188" s="34">
        <v>-0.952380952380952</v>
      </c>
      <c r="H188" s="34">
        <v>0.0170068027210884</v>
      </c>
      <c r="I188" s="34">
        <v>1.02283105022831</v>
      </c>
      <c r="J188" s="34">
        <v>1.17857142857142</v>
      </c>
    </row>
    <row r="189" hidden="1">
      <c r="A189" s="33">
        <v>228.0</v>
      </c>
      <c r="B189" s="33" t="s">
        <v>988</v>
      </c>
      <c r="C189" s="33" t="s">
        <v>835</v>
      </c>
      <c r="D189" s="34">
        <v>0.75</v>
      </c>
      <c r="E189" s="34">
        <v>0.887323943661971</v>
      </c>
      <c r="F189" s="34">
        <v>0.948387096774193</v>
      </c>
      <c r="G189" s="34">
        <v>-0.94047619047619</v>
      </c>
      <c r="H189" s="34">
        <v>0.0154478458049887</v>
      </c>
      <c r="I189" s="34">
        <v>1.02103029133706</v>
      </c>
      <c r="J189" s="34">
        <v>1.16220238095238</v>
      </c>
    </row>
    <row r="190" hidden="1">
      <c r="A190" s="33">
        <v>229.0</v>
      </c>
      <c r="B190" s="33" t="s">
        <v>989</v>
      </c>
      <c r="C190" s="33" t="s">
        <v>835</v>
      </c>
      <c r="D190" s="34">
        <v>0.75</v>
      </c>
      <c r="E190" s="34">
        <v>0.887323943661971</v>
      </c>
      <c r="F190" s="34">
        <v>0.948387096774193</v>
      </c>
      <c r="G190" s="34">
        <v>-0.94047619047619</v>
      </c>
      <c r="H190" s="34">
        <v>0.0154478458049887</v>
      </c>
      <c r="I190" s="34">
        <v>1.02103029133706</v>
      </c>
      <c r="J190" s="34">
        <v>1.16220238095238</v>
      </c>
    </row>
    <row r="191" hidden="1">
      <c r="A191" s="33">
        <v>226.0</v>
      </c>
      <c r="B191" s="33" t="s">
        <v>826</v>
      </c>
      <c r="C191" s="33" t="s">
        <v>839</v>
      </c>
      <c r="D191" s="34">
        <v>0.821428571428571</v>
      </c>
      <c r="E191" s="34">
        <v>0.884615384615384</v>
      </c>
      <c r="F191" s="34">
        <v>0.944444444444444</v>
      </c>
      <c r="G191" s="34">
        <v>-1.03571428571428</v>
      </c>
      <c r="H191" s="34">
        <v>0.0255102040816326</v>
      </c>
      <c r="I191" s="34">
        <v>1.03205128205128</v>
      </c>
      <c r="J191" s="34">
        <v>1.23809523809523</v>
      </c>
    </row>
    <row r="192" hidden="1">
      <c r="A192" s="33">
        <v>227.0</v>
      </c>
      <c r="B192" s="33" t="s">
        <v>825</v>
      </c>
      <c r="C192" s="33" t="s">
        <v>835</v>
      </c>
      <c r="D192" s="34">
        <v>0.821428571428571</v>
      </c>
      <c r="E192" s="34">
        <v>0.884615384615384</v>
      </c>
      <c r="F192" s="34">
        <v>0.944444444444444</v>
      </c>
      <c r="G192" s="34">
        <v>-1.03571428571428</v>
      </c>
      <c r="H192" s="34">
        <v>0.0144557823129251</v>
      </c>
      <c r="I192" s="34">
        <v>1.01791359325605</v>
      </c>
      <c r="J192" s="34">
        <v>1.13492063492063</v>
      </c>
    </row>
    <row r="193" hidden="1">
      <c r="A193" s="33">
        <v>223.0</v>
      </c>
      <c r="B193" s="33" t="s">
        <v>64</v>
      </c>
      <c r="C193" s="33" t="s">
        <v>836</v>
      </c>
      <c r="D193" s="34">
        <v>0.726190476190476</v>
      </c>
      <c r="E193" s="34">
        <v>0.884057971014492</v>
      </c>
      <c r="F193" s="34">
        <v>0.947712418300653</v>
      </c>
      <c r="G193" s="34">
        <v>-0.916666666666666</v>
      </c>
      <c r="H193" s="34">
        <v>0.00255102040816324</v>
      </c>
      <c r="I193" s="34">
        <v>1.00352526439482</v>
      </c>
      <c r="J193" s="34">
        <v>1.02678571428571</v>
      </c>
    </row>
    <row r="194" hidden="1">
      <c r="A194" s="33">
        <v>224.0</v>
      </c>
      <c r="B194" s="33" t="s">
        <v>830</v>
      </c>
      <c r="C194" s="33" t="s">
        <v>1002</v>
      </c>
      <c r="D194" s="34">
        <v>0.726190476190476</v>
      </c>
      <c r="E194" s="34">
        <v>0.884057971014492</v>
      </c>
      <c r="F194" s="34">
        <v>0.947712418300653</v>
      </c>
      <c r="G194" s="34">
        <v>-0.916666666666666</v>
      </c>
      <c r="H194" s="34">
        <v>0.022108843537415</v>
      </c>
      <c r="I194" s="34">
        <v>1.03140096618357</v>
      </c>
      <c r="J194" s="34">
        <v>1.23214285714285</v>
      </c>
    </row>
    <row r="195" hidden="1">
      <c r="A195" s="33">
        <v>225.0</v>
      </c>
      <c r="B195" s="33" t="s">
        <v>64</v>
      </c>
      <c r="C195" s="33" t="s">
        <v>1004</v>
      </c>
      <c r="D195" s="34">
        <v>0.726190476190476</v>
      </c>
      <c r="E195" s="34">
        <v>0.884057971014492</v>
      </c>
      <c r="F195" s="34">
        <v>0.947712418300653</v>
      </c>
      <c r="G195" s="34">
        <v>-0.916666666666666</v>
      </c>
      <c r="H195" s="34">
        <v>0.022108843537415</v>
      </c>
      <c r="I195" s="34">
        <v>1.03140096618357</v>
      </c>
      <c r="J195" s="34">
        <v>1.23214285714285</v>
      </c>
    </row>
    <row r="196" hidden="1">
      <c r="A196" s="33">
        <v>222.0</v>
      </c>
      <c r="B196" s="33" t="s">
        <v>848</v>
      </c>
      <c r="C196" s="33" t="s">
        <v>839</v>
      </c>
      <c r="D196" s="34">
        <v>0.809523809523809</v>
      </c>
      <c r="E196" s="34">
        <v>0.883116883116883</v>
      </c>
      <c r="F196" s="34">
        <v>0.944099378881987</v>
      </c>
      <c r="G196" s="34">
        <v>-1.02380952380952</v>
      </c>
      <c r="H196" s="34">
        <v>0.0238095238095239</v>
      </c>
      <c r="I196" s="34">
        <v>1.03030303030303</v>
      </c>
      <c r="J196" s="34">
        <v>1.22222222222222</v>
      </c>
    </row>
    <row r="197" hidden="1">
      <c r="A197" s="33">
        <v>221.0</v>
      </c>
      <c r="B197" s="33" t="s">
        <v>842</v>
      </c>
      <c r="C197" s="33" t="s">
        <v>835</v>
      </c>
      <c r="D197" s="34">
        <v>0.714285714285714</v>
      </c>
      <c r="E197" s="34">
        <v>0.88235294117647</v>
      </c>
      <c r="F197" s="34">
        <v>0.947368421052631</v>
      </c>
      <c r="G197" s="34">
        <v>-0.904761904761904</v>
      </c>
      <c r="H197" s="34">
        <v>0.0107709750566893</v>
      </c>
      <c r="I197" s="34">
        <v>1.01531023368251</v>
      </c>
      <c r="J197" s="34">
        <v>1.11309523809523</v>
      </c>
    </row>
    <row r="198" hidden="1">
      <c r="A198" s="36">
        <v>216.0</v>
      </c>
      <c r="B198" s="36" t="s">
        <v>965</v>
      </c>
      <c r="C198" s="36" t="s">
        <v>840</v>
      </c>
      <c r="D198" s="37">
        <v>0.702380952380952</v>
      </c>
      <c r="E198" s="37">
        <v>0.880597014925373</v>
      </c>
      <c r="F198" s="37">
        <v>0.947019867549668</v>
      </c>
      <c r="G198" s="37">
        <v>-0.892857142857143</v>
      </c>
      <c r="H198" s="37">
        <v>0.0282029478458049</v>
      </c>
      <c r="I198" s="37">
        <v>1.04183308808072</v>
      </c>
      <c r="J198" s="37">
        <v>1.29613095238095</v>
      </c>
    </row>
    <row r="199" hidden="1">
      <c r="A199" s="33">
        <v>217.0</v>
      </c>
      <c r="B199" s="33" t="s">
        <v>974</v>
      </c>
      <c r="C199" s="33" t="s">
        <v>839</v>
      </c>
      <c r="D199" s="34">
        <v>0.702380952380952</v>
      </c>
      <c r="E199" s="34">
        <v>0.880597014925373</v>
      </c>
      <c r="F199" s="34">
        <v>0.947019867549668</v>
      </c>
      <c r="G199" s="34">
        <v>-0.892857142857143</v>
      </c>
      <c r="H199" s="34">
        <v>0.0187074829931972</v>
      </c>
      <c r="I199" s="34">
        <v>1.0273631840796</v>
      </c>
      <c r="J199" s="34">
        <v>1.19642857142857</v>
      </c>
    </row>
    <row r="200" hidden="1">
      <c r="A200" s="33">
        <v>218.0</v>
      </c>
      <c r="B200" s="33" t="s">
        <v>974</v>
      </c>
      <c r="C200" s="33" t="s">
        <v>840</v>
      </c>
      <c r="D200" s="34">
        <v>0.702380952380952</v>
      </c>
      <c r="E200" s="34">
        <v>0.880597014925373</v>
      </c>
      <c r="F200" s="34">
        <v>0.947019867549668</v>
      </c>
      <c r="G200" s="34">
        <v>-0.892857142857143</v>
      </c>
      <c r="H200" s="34">
        <v>0.0282029478458049</v>
      </c>
      <c r="I200" s="34">
        <v>1.04183308808072</v>
      </c>
      <c r="J200" s="34">
        <v>1.29613095238095</v>
      </c>
    </row>
    <row r="201" hidden="1">
      <c r="A201" s="33">
        <v>219.0</v>
      </c>
      <c r="B201" s="33" t="s">
        <v>965</v>
      </c>
      <c r="C201" s="33" t="s">
        <v>1002</v>
      </c>
      <c r="D201" s="34">
        <v>0.702380952380952</v>
      </c>
      <c r="E201" s="34">
        <v>0.880597014925373</v>
      </c>
      <c r="F201" s="34">
        <v>0.947019867549668</v>
      </c>
      <c r="G201" s="34">
        <v>-0.892857142857143</v>
      </c>
      <c r="H201" s="34">
        <v>0.0187074829931972</v>
      </c>
      <c r="I201" s="34">
        <v>1.0273631840796</v>
      </c>
      <c r="J201" s="34">
        <v>1.19642857142857</v>
      </c>
    </row>
    <row r="202" hidden="1">
      <c r="A202" s="33">
        <v>220.0</v>
      </c>
      <c r="B202" s="33" t="s">
        <v>974</v>
      </c>
      <c r="C202" s="33" t="s">
        <v>1002</v>
      </c>
      <c r="D202" s="34">
        <v>0.702380952380952</v>
      </c>
      <c r="E202" s="34">
        <v>0.880597014925373</v>
      </c>
      <c r="F202" s="34">
        <v>0.947019867549668</v>
      </c>
      <c r="G202" s="34">
        <v>-0.892857142857143</v>
      </c>
      <c r="H202" s="34">
        <v>0.0187074829931972</v>
      </c>
      <c r="I202" s="34">
        <v>1.0273631840796</v>
      </c>
      <c r="J202" s="34">
        <v>1.19642857142857</v>
      </c>
    </row>
    <row r="203" hidden="1">
      <c r="A203" s="36">
        <v>214.0</v>
      </c>
      <c r="B203" s="36" t="s">
        <v>835</v>
      </c>
      <c r="C203" s="36" t="s">
        <v>840</v>
      </c>
      <c r="D203" s="37">
        <v>0.761904761904761</v>
      </c>
      <c r="E203" s="37">
        <v>0.876712328767123</v>
      </c>
      <c r="F203" s="37">
        <v>0.942675159235668</v>
      </c>
      <c r="G203" s="37">
        <v>-0.976190476190476</v>
      </c>
      <c r="H203" s="37">
        <v>0.0273526077097505</v>
      </c>
      <c r="I203" s="37">
        <v>1.03723712135828</v>
      </c>
      <c r="J203" s="37">
        <v>1.255291005291</v>
      </c>
    </row>
    <row r="204" hidden="1">
      <c r="A204" s="33">
        <v>215.0</v>
      </c>
      <c r="B204" s="33" t="s">
        <v>835</v>
      </c>
      <c r="C204" s="33" t="s">
        <v>1002</v>
      </c>
      <c r="D204" s="34">
        <v>0.761904761904761</v>
      </c>
      <c r="E204" s="34">
        <v>0.876712328767123</v>
      </c>
      <c r="F204" s="34">
        <v>0.942675159235668</v>
      </c>
      <c r="G204" s="34">
        <v>-0.976190476190476</v>
      </c>
      <c r="H204" s="34">
        <v>0.0170068027210884</v>
      </c>
      <c r="I204" s="34">
        <v>1.02283105022831</v>
      </c>
      <c r="J204" s="34">
        <v>1.15873015873015</v>
      </c>
    </row>
    <row r="205" hidden="1">
      <c r="A205" s="33">
        <v>208.0</v>
      </c>
      <c r="B205" s="33" t="s">
        <v>1002</v>
      </c>
      <c r="C205" s="33" t="s">
        <v>839</v>
      </c>
      <c r="D205" s="34">
        <v>0.75</v>
      </c>
      <c r="E205" s="34">
        <v>0.875</v>
      </c>
      <c r="F205" s="34">
        <v>0.942307692307692</v>
      </c>
      <c r="G205" s="34">
        <v>-0.964285714285714</v>
      </c>
      <c r="H205" s="34">
        <v>0.0153061224489796</v>
      </c>
      <c r="I205" s="34">
        <v>1.02083333333333</v>
      </c>
      <c r="J205" s="34">
        <v>1.14285714285714</v>
      </c>
    </row>
    <row r="206" hidden="1">
      <c r="A206" s="33">
        <v>209.0</v>
      </c>
      <c r="B206" s="33" t="s">
        <v>839</v>
      </c>
      <c r="C206" s="33" t="s">
        <v>1002</v>
      </c>
      <c r="D206" s="34">
        <v>0.75</v>
      </c>
      <c r="E206" s="34">
        <v>0.875</v>
      </c>
      <c r="F206" s="34">
        <v>0.942307692307692</v>
      </c>
      <c r="G206" s="34">
        <v>-0.964285714285714</v>
      </c>
      <c r="H206" s="34">
        <v>0.0153061224489796</v>
      </c>
      <c r="I206" s="34">
        <v>1.02083333333333</v>
      </c>
      <c r="J206" s="34">
        <v>1.14285714285714</v>
      </c>
    </row>
    <row r="207" hidden="1">
      <c r="A207" s="33">
        <v>210.0</v>
      </c>
      <c r="B207" s="33" t="s">
        <v>1003</v>
      </c>
      <c r="C207" s="33" t="s">
        <v>835</v>
      </c>
      <c r="D207" s="34">
        <v>0.75</v>
      </c>
      <c r="E207" s="34">
        <v>0.875</v>
      </c>
      <c r="F207" s="34">
        <v>0.942307692307692</v>
      </c>
      <c r="G207" s="34">
        <v>-0.964285714285714</v>
      </c>
      <c r="H207" s="34">
        <v>0.00510204081632659</v>
      </c>
      <c r="I207" s="34">
        <v>1.00684931506849</v>
      </c>
      <c r="J207" s="34">
        <v>1.04761904761904</v>
      </c>
    </row>
    <row r="208" hidden="1">
      <c r="A208" s="33">
        <v>211.0</v>
      </c>
      <c r="B208" s="33" t="s">
        <v>1003</v>
      </c>
      <c r="C208" s="33" t="s">
        <v>839</v>
      </c>
      <c r="D208" s="34">
        <v>0.75</v>
      </c>
      <c r="E208" s="34">
        <v>0.875</v>
      </c>
      <c r="F208" s="34">
        <v>0.942307692307692</v>
      </c>
      <c r="G208" s="34">
        <v>-0.964285714285714</v>
      </c>
      <c r="H208" s="34">
        <v>0.0153061224489796</v>
      </c>
      <c r="I208" s="34">
        <v>1.02083333333333</v>
      </c>
      <c r="J208" s="34">
        <v>1.14285714285714</v>
      </c>
    </row>
    <row r="209" hidden="1">
      <c r="A209" s="33">
        <v>212.0</v>
      </c>
      <c r="B209" s="33" t="s">
        <v>839</v>
      </c>
      <c r="C209" s="33" t="s">
        <v>1003</v>
      </c>
      <c r="D209" s="34">
        <v>0.75</v>
      </c>
      <c r="E209" s="34">
        <v>0.875</v>
      </c>
      <c r="F209" s="34">
        <v>0.942307692307692</v>
      </c>
      <c r="G209" s="34">
        <v>-0.964285714285714</v>
      </c>
      <c r="H209" s="34">
        <v>0.0153061224489796</v>
      </c>
      <c r="I209" s="34">
        <v>1.02083333333333</v>
      </c>
      <c r="J209" s="34">
        <v>1.14285714285714</v>
      </c>
    </row>
    <row r="210" hidden="1">
      <c r="A210" s="33">
        <v>213.0</v>
      </c>
      <c r="B210" s="33" t="s">
        <v>1004</v>
      </c>
      <c r="C210" s="33" t="s">
        <v>835</v>
      </c>
      <c r="D210" s="34">
        <v>0.75</v>
      </c>
      <c r="E210" s="34">
        <v>0.875</v>
      </c>
      <c r="F210" s="34">
        <v>0.942307692307692</v>
      </c>
      <c r="G210" s="34">
        <v>-0.964285714285714</v>
      </c>
      <c r="H210" s="34">
        <v>0.00510204081632659</v>
      </c>
      <c r="I210" s="34">
        <v>1.00684931506849</v>
      </c>
      <c r="J210" s="34">
        <v>1.04761904761904</v>
      </c>
    </row>
    <row r="211" hidden="1">
      <c r="A211" s="36">
        <v>206.0</v>
      </c>
      <c r="B211" s="36" t="s">
        <v>840</v>
      </c>
      <c r="C211" s="36" t="s">
        <v>836</v>
      </c>
      <c r="D211" s="37">
        <v>0.738095238095238</v>
      </c>
      <c r="E211" s="37">
        <v>0.873239436619718</v>
      </c>
      <c r="F211" s="37">
        <v>0.941935483870967</v>
      </c>
      <c r="G211" s="37">
        <v>-0.952380952380952</v>
      </c>
      <c r="H211" s="37">
        <v>-0.00651927437641719</v>
      </c>
      <c r="I211" s="37">
        <v>0.991244765892653</v>
      </c>
      <c r="J211" s="37">
        <v>0.939153439153439</v>
      </c>
    </row>
    <row r="212" hidden="1">
      <c r="A212" s="33">
        <v>207.0</v>
      </c>
      <c r="B212" s="33" t="s">
        <v>989</v>
      </c>
      <c r="C212" s="33" t="s">
        <v>839</v>
      </c>
      <c r="D212" s="34">
        <v>0.738095238095238</v>
      </c>
      <c r="E212" s="34">
        <v>0.873239436619718</v>
      </c>
      <c r="F212" s="34">
        <v>0.941935483870967</v>
      </c>
      <c r="G212" s="34">
        <v>-0.952380952380952</v>
      </c>
      <c r="H212" s="34">
        <v>0.0136054421768708</v>
      </c>
      <c r="I212" s="34">
        <v>1.018779342723</v>
      </c>
      <c r="J212" s="34">
        <v>1.12698412698412</v>
      </c>
    </row>
    <row r="213" hidden="1">
      <c r="A213" s="33">
        <v>203.0</v>
      </c>
      <c r="B213" s="33" t="s">
        <v>826</v>
      </c>
      <c r="C213" s="33" t="s">
        <v>836</v>
      </c>
      <c r="D213" s="34">
        <v>0.809523809523809</v>
      </c>
      <c r="E213" s="34">
        <v>0.871794871794871</v>
      </c>
      <c r="F213" s="34">
        <v>0.938271604938271</v>
      </c>
      <c r="G213" s="34">
        <v>-1.04761904761904</v>
      </c>
      <c r="H213" s="34">
        <v>-0.00850340136054417</v>
      </c>
      <c r="I213" s="34">
        <v>0.989604989604989</v>
      </c>
      <c r="J213" s="34">
        <v>0.928571428571428</v>
      </c>
    </row>
    <row r="214" hidden="1">
      <c r="A214" s="33">
        <v>204.0</v>
      </c>
      <c r="B214" s="33" t="s">
        <v>826</v>
      </c>
      <c r="C214" s="33" t="s">
        <v>835</v>
      </c>
      <c r="D214" s="34">
        <v>0.809523809523809</v>
      </c>
      <c r="E214" s="34">
        <v>0.871794871794871</v>
      </c>
      <c r="F214" s="34">
        <v>0.938271604938271</v>
      </c>
      <c r="G214" s="34">
        <v>-1.04761904761904</v>
      </c>
      <c r="H214" s="34">
        <v>0.00255102040816324</v>
      </c>
      <c r="I214" s="34">
        <v>1.0031612223393</v>
      </c>
      <c r="J214" s="34">
        <v>1.02142857142857</v>
      </c>
    </row>
    <row r="215" hidden="1">
      <c r="A215" s="33">
        <v>205.0</v>
      </c>
      <c r="B215" s="33" t="s">
        <v>825</v>
      </c>
      <c r="C215" s="33" t="s">
        <v>836</v>
      </c>
      <c r="D215" s="34">
        <v>0.809523809523809</v>
      </c>
      <c r="E215" s="34">
        <v>0.871794871794871</v>
      </c>
      <c r="F215" s="34">
        <v>0.938271604938271</v>
      </c>
      <c r="G215" s="34">
        <v>-1.04761904761904</v>
      </c>
      <c r="H215" s="34">
        <v>-0.00850340136054417</v>
      </c>
      <c r="I215" s="34">
        <v>0.989604989604989</v>
      </c>
      <c r="J215" s="34">
        <v>0.928571428571428</v>
      </c>
    </row>
    <row r="216" hidden="1">
      <c r="A216" s="33">
        <v>201.0</v>
      </c>
      <c r="B216" s="33" t="s">
        <v>971</v>
      </c>
      <c r="C216" s="33" t="s">
        <v>835</v>
      </c>
      <c r="D216" s="34">
        <v>0.726190476190476</v>
      </c>
      <c r="E216" s="34">
        <v>0.871428571428571</v>
      </c>
      <c r="F216" s="34">
        <v>0.941558441558441</v>
      </c>
      <c r="G216" s="34">
        <v>-0.94047619047619</v>
      </c>
      <c r="H216" s="34">
        <v>0.00198412698412686</v>
      </c>
      <c r="I216" s="34">
        <v>1.00273972602739</v>
      </c>
      <c r="J216" s="34">
        <v>1.01851851851851</v>
      </c>
    </row>
    <row r="217" hidden="1">
      <c r="A217" s="33">
        <v>202.0</v>
      </c>
      <c r="B217" s="33" t="s">
        <v>971</v>
      </c>
      <c r="C217" s="33" t="s">
        <v>839</v>
      </c>
      <c r="D217" s="34">
        <v>0.726190476190476</v>
      </c>
      <c r="E217" s="34">
        <v>0.871428571428571</v>
      </c>
      <c r="F217" s="34">
        <v>0.941558441558441</v>
      </c>
      <c r="G217" s="34">
        <v>-0.94047619047619</v>
      </c>
      <c r="H217" s="34">
        <v>0.0119047619047618</v>
      </c>
      <c r="I217" s="34">
        <v>1.01666666666666</v>
      </c>
      <c r="J217" s="34">
        <v>1.11111111111111</v>
      </c>
    </row>
    <row r="218" hidden="1">
      <c r="A218" s="33">
        <v>197.0</v>
      </c>
      <c r="B218" s="33" t="s">
        <v>837</v>
      </c>
      <c r="C218" s="33" t="s">
        <v>836</v>
      </c>
      <c r="D218" s="34">
        <v>0.797619047619047</v>
      </c>
      <c r="E218" s="34">
        <v>0.87012987012987</v>
      </c>
      <c r="F218" s="34">
        <v>0.937888198757764</v>
      </c>
      <c r="G218" s="34">
        <v>-1.03571428571428</v>
      </c>
      <c r="H218" s="34">
        <v>-0.00992063492063477</v>
      </c>
      <c r="I218" s="34">
        <v>0.987714987714987</v>
      </c>
      <c r="J218" s="34">
        <v>0.916666666666666</v>
      </c>
    </row>
    <row r="219" hidden="1">
      <c r="A219" s="33">
        <v>198.0</v>
      </c>
      <c r="B219" s="33" t="s">
        <v>837</v>
      </c>
      <c r="C219" s="33" t="s">
        <v>835</v>
      </c>
      <c r="D219" s="34">
        <v>0.797619047619047</v>
      </c>
      <c r="E219" s="34">
        <v>0.87012987012987</v>
      </c>
      <c r="F219" s="34">
        <v>0.937888198757764</v>
      </c>
      <c r="G219" s="34">
        <v>-1.03571428571428</v>
      </c>
      <c r="H219" s="34">
        <v>9.92063492063599E-4</v>
      </c>
      <c r="I219" s="34">
        <v>1.00124533001245</v>
      </c>
      <c r="J219" s="34">
        <v>1.00833333333333</v>
      </c>
    </row>
    <row r="220" hidden="1">
      <c r="A220" s="33">
        <v>199.0</v>
      </c>
      <c r="B220" s="33" t="s">
        <v>848</v>
      </c>
      <c r="C220" s="33" t="s">
        <v>836</v>
      </c>
      <c r="D220" s="34">
        <v>0.797619047619047</v>
      </c>
      <c r="E220" s="34">
        <v>0.87012987012987</v>
      </c>
      <c r="F220" s="34">
        <v>0.937888198757764</v>
      </c>
      <c r="G220" s="34">
        <v>-1.03571428571428</v>
      </c>
      <c r="H220" s="34">
        <v>-0.00992063492063477</v>
      </c>
      <c r="I220" s="34">
        <v>0.987714987714987</v>
      </c>
      <c r="J220" s="34">
        <v>0.916666666666666</v>
      </c>
    </row>
    <row r="221" hidden="1">
      <c r="A221" s="33">
        <v>200.0</v>
      </c>
      <c r="B221" s="33" t="s">
        <v>848</v>
      </c>
      <c r="C221" s="33" t="s">
        <v>835</v>
      </c>
      <c r="D221" s="34">
        <v>0.797619047619047</v>
      </c>
      <c r="E221" s="34">
        <v>0.87012987012987</v>
      </c>
      <c r="F221" s="34">
        <v>0.937888198757764</v>
      </c>
      <c r="G221" s="34">
        <v>-1.03571428571428</v>
      </c>
      <c r="H221" s="34">
        <v>9.92063492063599E-4</v>
      </c>
      <c r="I221" s="34">
        <v>1.00124533001245</v>
      </c>
      <c r="J221" s="34">
        <v>1.00833333333333</v>
      </c>
    </row>
    <row r="222" hidden="1">
      <c r="A222" s="33">
        <v>190.0</v>
      </c>
      <c r="B222" s="33" t="s">
        <v>64</v>
      </c>
      <c r="C222" s="33" t="s">
        <v>835</v>
      </c>
      <c r="D222" s="34">
        <v>0.714285714285714</v>
      </c>
      <c r="E222" s="34">
        <v>0.869565217391304</v>
      </c>
      <c r="F222" s="34">
        <v>0.941176470588235</v>
      </c>
      <c r="G222" s="34">
        <v>-0.928571428571428</v>
      </c>
      <c r="H222" s="34">
        <v>4.25170068027225E-4</v>
      </c>
      <c r="I222" s="34">
        <v>1.00059559261465</v>
      </c>
      <c r="J222" s="34">
        <v>1.00396825396825</v>
      </c>
    </row>
    <row r="223" hidden="1">
      <c r="A223" s="36">
        <v>191.0</v>
      </c>
      <c r="B223" s="36" t="s">
        <v>64</v>
      </c>
      <c r="C223" s="36" t="s">
        <v>840</v>
      </c>
      <c r="D223" s="37">
        <v>0.714285714285714</v>
      </c>
      <c r="E223" s="37">
        <v>0.869565217391304</v>
      </c>
      <c r="F223" s="37">
        <v>0.941176470588235</v>
      </c>
      <c r="G223" s="37">
        <v>-0.928571428571428</v>
      </c>
      <c r="H223" s="37">
        <v>0.0199829931972789</v>
      </c>
      <c r="I223" s="37">
        <v>1.0287813839559</v>
      </c>
      <c r="J223" s="37">
        <v>1.18650793650793</v>
      </c>
    </row>
    <row r="224" hidden="1">
      <c r="A224" s="33">
        <v>192.0</v>
      </c>
      <c r="B224" s="33" t="s">
        <v>830</v>
      </c>
      <c r="C224" s="33" t="s">
        <v>988</v>
      </c>
      <c r="D224" s="34">
        <v>0.714285714285714</v>
      </c>
      <c r="E224" s="34">
        <v>0.869565217391304</v>
      </c>
      <c r="F224" s="34">
        <v>0.941176470588235</v>
      </c>
      <c r="G224" s="34">
        <v>-0.928571428571428</v>
      </c>
      <c r="H224" s="34">
        <v>0.0199829931972789</v>
      </c>
      <c r="I224" s="34">
        <v>1.0287813839559</v>
      </c>
      <c r="J224" s="34">
        <v>1.18650793650793</v>
      </c>
    </row>
    <row r="225" hidden="1">
      <c r="A225" s="33">
        <v>193.0</v>
      </c>
      <c r="B225" s="33" t="s">
        <v>830</v>
      </c>
      <c r="C225" s="33" t="s">
        <v>989</v>
      </c>
      <c r="D225" s="34">
        <v>0.714285714285714</v>
      </c>
      <c r="E225" s="34">
        <v>0.869565217391304</v>
      </c>
      <c r="F225" s="34">
        <v>0.941176470588235</v>
      </c>
      <c r="G225" s="34">
        <v>-0.928571428571428</v>
      </c>
      <c r="H225" s="34">
        <v>0.0199829931972789</v>
      </c>
      <c r="I225" s="34">
        <v>1.0287813839559</v>
      </c>
      <c r="J225" s="34">
        <v>1.18650793650793</v>
      </c>
    </row>
    <row r="226" hidden="1">
      <c r="A226" s="33">
        <v>194.0</v>
      </c>
      <c r="B226" s="33" t="s">
        <v>990</v>
      </c>
      <c r="C226" s="33" t="s">
        <v>840</v>
      </c>
      <c r="D226" s="34">
        <v>0.714285714285714</v>
      </c>
      <c r="E226" s="34">
        <v>0.869565217391304</v>
      </c>
      <c r="F226" s="34">
        <v>0.941176470588235</v>
      </c>
      <c r="G226" s="34">
        <v>-0.928571428571428</v>
      </c>
      <c r="H226" s="34">
        <v>0.0199829931972789</v>
      </c>
      <c r="I226" s="34">
        <v>1.0287813839559</v>
      </c>
      <c r="J226" s="34">
        <v>1.18650793650793</v>
      </c>
    </row>
    <row r="227" hidden="1">
      <c r="A227" s="33">
        <v>195.0</v>
      </c>
      <c r="B227" s="33" t="s">
        <v>990</v>
      </c>
      <c r="C227" s="33" t="s">
        <v>830</v>
      </c>
      <c r="D227" s="34">
        <v>0.714285714285714</v>
      </c>
      <c r="E227" s="34">
        <v>0.869565217391304</v>
      </c>
      <c r="F227" s="34">
        <v>0.941176470588235</v>
      </c>
      <c r="G227" s="34">
        <v>-0.928571428571428</v>
      </c>
      <c r="H227" s="34">
        <v>0.0395408163265307</v>
      </c>
      <c r="I227" s="34">
        <v>1.0586011342155</v>
      </c>
      <c r="J227" s="34">
        <v>1.36904761904761</v>
      </c>
    </row>
    <row r="228" hidden="1">
      <c r="A228" s="33">
        <v>196.0</v>
      </c>
      <c r="B228" s="33" t="s">
        <v>830</v>
      </c>
      <c r="C228" s="33" t="s">
        <v>990</v>
      </c>
      <c r="D228" s="34">
        <v>0.714285714285714</v>
      </c>
      <c r="E228" s="34">
        <v>0.869565217391304</v>
      </c>
      <c r="F228" s="34">
        <v>0.941176470588235</v>
      </c>
      <c r="G228" s="34">
        <v>-0.928571428571428</v>
      </c>
      <c r="H228" s="34">
        <v>0.0395408163265307</v>
      </c>
      <c r="I228" s="34">
        <v>1.0586011342155</v>
      </c>
      <c r="J228" s="34">
        <v>1.36904761904761</v>
      </c>
    </row>
    <row r="229" hidden="1">
      <c r="A229" s="33">
        <v>177.0</v>
      </c>
      <c r="B229" s="33" t="s">
        <v>842</v>
      </c>
      <c r="C229" s="33" t="s">
        <v>836</v>
      </c>
      <c r="D229" s="34">
        <v>0.702380952380952</v>
      </c>
      <c r="E229" s="34">
        <v>0.867647058823529</v>
      </c>
      <c r="F229" s="34">
        <v>0.94078947368421</v>
      </c>
      <c r="G229" s="34">
        <v>-0.916666666666666</v>
      </c>
      <c r="H229" s="34">
        <v>-0.0107709750566893</v>
      </c>
      <c r="I229" s="34">
        <v>0.984896661367249</v>
      </c>
      <c r="J229" s="34">
        <v>0.899470899470899</v>
      </c>
    </row>
    <row r="230" hidden="1">
      <c r="A230" s="33">
        <v>178.0</v>
      </c>
      <c r="B230" s="33" t="s">
        <v>842</v>
      </c>
      <c r="C230" s="33" t="s">
        <v>1002</v>
      </c>
      <c r="D230" s="34">
        <v>0.702380952380952</v>
      </c>
      <c r="E230" s="34">
        <v>0.867647058823529</v>
      </c>
      <c r="F230" s="34">
        <v>0.94078947368421</v>
      </c>
      <c r="G230" s="34">
        <v>-0.916666666666666</v>
      </c>
      <c r="H230" s="34">
        <v>0.00850340136054417</v>
      </c>
      <c r="I230" s="34">
        <v>1.01225490196078</v>
      </c>
      <c r="J230" s="34">
        <v>1.07936507936507</v>
      </c>
    </row>
    <row r="231" hidden="1">
      <c r="A231" s="33">
        <v>179.0</v>
      </c>
      <c r="B231" s="33" t="s">
        <v>842</v>
      </c>
      <c r="C231" s="33" t="s">
        <v>1003</v>
      </c>
      <c r="D231" s="34">
        <v>0.702380952380952</v>
      </c>
      <c r="E231" s="34">
        <v>0.867647058823529</v>
      </c>
      <c r="F231" s="34">
        <v>0.94078947368421</v>
      </c>
      <c r="G231" s="34">
        <v>-0.916666666666666</v>
      </c>
      <c r="H231" s="34">
        <v>0.00850340136054417</v>
      </c>
      <c r="I231" s="34">
        <v>1.01225490196078</v>
      </c>
      <c r="J231" s="34">
        <v>1.07936507936507</v>
      </c>
    </row>
    <row r="232" hidden="1">
      <c r="A232" s="33">
        <v>180.0</v>
      </c>
      <c r="B232" s="33" t="s">
        <v>1005</v>
      </c>
      <c r="C232" s="33" t="s">
        <v>839</v>
      </c>
      <c r="D232" s="34">
        <v>0.702380952380952</v>
      </c>
      <c r="E232" s="34">
        <v>0.867647058823529</v>
      </c>
      <c r="F232" s="34">
        <v>0.94078947368421</v>
      </c>
      <c r="G232" s="34">
        <v>-0.916666666666666</v>
      </c>
      <c r="H232" s="34">
        <v>0.00850340136054417</v>
      </c>
      <c r="I232" s="34">
        <v>1.01225490196078</v>
      </c>
      <c r="J232" s="34">
        <v>1.07936507936507</v>
      </c>
    </row>
    <row r="233" hidden="1">
      <c r="A233" s="33">
        <v>181.0</v>
      </c>
      <c r="B233" s="33" t="s">
        <v>973</v>
      </c>
      <c r="C233" s="33" t="s">
        <v>839</v>
      </c>
      <c r="D233" s="34">
        <v>0.702380952380952</v>
      </c>
      <c r="E233" s="34">
        <v>0.867647058823529</v>
      </c>
      <c r="F233" s="34">
        <v>0.94078947368421</v>
      </c>
      <c r="G233" s="34">
        <v>-0.916666666666666</v>
      </c>
      <c r="H233" s="34">
        <v>0.00850340136054417</v>
      </c>
      <c r="I233" s="34">
        <v>1.01225490196078</v>
      </c>
      <c r="J233" s="34">
        <v>1.07936507936507</v>
      </c>
    </row>
    <row r="234" hidden="1">
      <c r="A234" s="33">
        <v>182.0</v>
      </c>
      <c r="B234" s="33" t="s">
        <v>973</v>
      </c>
      <c r="C234" s="33" t="s">
        <v>840</v>
      </c>
      <c r="D234" s="34">
        <v>0.702380952380952</v>
      </c>
      <c r="E234" s="34">
        <v>0.867647058823529</v>
      </c>
      <c r="F234" s="34">
        <v>0.94078947368421</v>
      </c>
      <c r="G234" s="34">
        <v>-0.916666666666666</v>
      </c>
      <c r="H234" s="34">
        <v>0.0181405895691609</v>
      </c>
      <c r="I234" s="34">
        <v>1.026512013256</v>
      </c>
      <c r="J234" s="34">
        <v>1.16931216931216</v>
      </c>
    </row>
    <row r="235" hidden="1">
      <c r="A235" s="33">
        <v>183.0</v>
      </c>
      <c r="B235" s="33" t="s">
        <v>1006</v>
      </c>
      <c r="C235" s="33" t="s">
        <v>835</v>
      </c>
      <c r="D235" s="34">
        <v>0.702380952380952</v>
      </c>
      <c r="E235" s="34">
        <v>0.867647058823529</v>
      </c>
      <c r="F235" s="34">
        <v>0.94078947368421</v>
      </c>
      <c r="G235" s="34">
        <v>-0.916666666666666</v>
      </c>
      <c r="H235" s="34">
        <v>-0.00113378684807263</v>
      </c>
      <c r="I235" s="34">
        <v>0.998388396454472</v>
      </c>
      <c r="J235" s="34">
        <v>0.989417989417989</v>
      </c>
    </row>
    <row r="236" hidden="1">
      <c r="A236" s="33">
        <v>184.0</v>
      </c>
      <c r="B236" s="33" t="s">
        <v>1006</v>
      </c>
      <c r="C236" s="33" t="s">
        <v>841</v>
      </c>
      <c r="D236" s="34">
        <v>0.702380952380952</v>
      </c>
      <c r="E236" s="34">
        <v>0.867647058823529</v>
      </c>
      <c r="F236" s="34">
        <v>0.94078947368421</v>
      </c>
      <c r="G236" s="34">
        <v>-0.916666666666666</v>
      </c>
      <c r="H236" s="34">
        <v>0.0181405895691609</v>
      </c>
      <c r="I236" s="34">
        <v>1.026512013256</v>
      </c>
      <c r="J236" s="34">
        <v>1.16931216931216</v>
      </c>
    </row>
    <row r="237" hidden="1">
      <c r="A237" s="33">
        <v>185.0</v>
      </c>
      <c r="B237" s="33" t="s">
        <v>963</v>
      </c>
      <c r="C237" s="33" t="s">
        <v>835</v>
      </c>
      <c r="D237" s="34">
        <v>0.702380952380952</v>
      </c>
      <c r="E237" s="34">
        <v>0.867647058823529</v>
      </c>
      <c r="F237" s="34">
        <v>0.94078947368421</v>
      </c>
      <c r="G237" s="34">
        <v>-0.916666666666666</v>
      </c>
      <c r="H237" s="34">
        <v>-0.00113378684807263</v>
      </c>
      <c r="I237" s="34">
        <v>0.998388396454472</v>
      </c>
      <c r="J237" s="34">
        <v>0.989417989417989</v>
      </c>
    </row>
    <row r="238" hidden="1">
      <c r="A238" s="33">
        <v>186.0</v>
      </c>
      <c r="B238" s="33" t="s">
        <v>973</v>
      </c>
      <c r="C238" s="33" t="s">
        <v>988</v>
      </c>
      <c r="D238" s="34">
        <v>0.702380952380952</v>
      </c>
      <c r="E238" s="34">
        <v>0.867647058823529</v>
      </c>
      <c r="F238" s="34">
        <v>0.94078947368421</v>
      </c>
      <c r="G238" s="34">
        <v>-0.916666666666666</v>
      </c>
      <c r="H238" s="34">
        <v>0.0181405895691609</v>
      </c>
      <c r="I238" s="34">
        <v>1.026512013256</v>
      </c>
      <c r="J238" s="34">
        <v>1.16931216931216</v>
      </c>
    </row>
    <row r="239" hidden="1">
      <c r="A239" s="33">
        <v>187.0</v>
      </c>
      <c r="B239" s="33" t="s">
        <v>973</v>
      </c>
      <c r="C239" s="33" t="s">
        <v>989</v>
      </c>
      <c r="D239" s="34">
        <v>0.702380952380952</v>
      </c>
      <c r="E239" s="34">
        <v>0.867647058823529</v>
      </c>
      <c r="F239" s="34">
        <v>0.94078947368421</v>
      </c>
      <c r="G239" s="34">
        <v>-0.916666666666666</v>
      </c>
      <c r="H239" s="34">
        <v>0.0181405895691609</v>
      </c>
      <c r="I239" s="34">
        <v>1.026512013256</v>
      </c>
      <c r="J239" s="34">
        <v>1.16931216931216</v>
      </c>
    </row>
    <row r="240" hidden="1">
      <c r="A240" s="33">
        <v>188.0</v>
      </c>
      <c r="B240" s="33" t="s">
        <v>963</v>
      </c>
      <c r="C240" s="33" t="s">
        <v>1002</v>
      </c>
      <c r="D240" s="34">
        <v>0.702380952380952</v>
      </c>
      <c r="E240" s="34">
        <v>0.867647058823529</v>
      </c>
      <c r="F240" s="34">
        <v>0.94078947368421</v>
      </c>
      <c r="G240" s="34">
        <v>-0.916666666666666</v>
      </c>
      <c r="H240" s="34">
        <v>0.00850340136054417</v>
      </c>
      <c r="I240" s="34">
        <v>1.01225490196078</v>
      </c>
      <c r="J240" s="34">
        <v>1.07936507936507</v>
      </c>
    </row>
    <row r="241" hidden="1">
      <c r="A241" s="33">
        <v>189.0</v>
      </c>
      <c r="B241" s="33" t="s">
        <v>963</v>
      </c>
      <c r="C241" s="33" t="s">
        <v>1003</v>
      </c>
      <c r="D241" s="34">
        <v>0.702380952380952</v>
      </c>
      <c r="E241" s="34">
        <v>0.867647058823529</v>
      </c>
      <c r="F241" s="34">
        <v>0.94078947368421</v>
      </c>
      <c r="G241" s="34">
        <v>-0.916666666666666</v>
      </c>
      <c r="H241" s="34">
        <v>0.00850340136054417</v>
      </c>
      <c r="I241" s="34">
        <v>1.01225490196078</v>
      </c>
      <c r="J241" s="34">
        <v>1.07936507936507</v>
      </c>
    </row>
    <row r="242" hidden="1">
      <c r="A242" s="36">
        <v>176.0</v>
      </c>
      <c r="B242" s="36" t="s">
        <v>836</v>
      </c>
      <c r="C242" s="36" t="s">
        <v>841</v>
      </c>
      <c r="D242" s="37">
        <v>0.761904761904761</v>
      </c>
      <c r="E242" s="37">
        <v>0.864864864864864</v>
      </c>
      <c r="F242" s="37">
        <v>0.936708860759493</v>
      </c>
      <c r="G242" s="37">
        <v>-1.0</v>
      </c>
      <c r="H242" s="37">
        <v>0.0172902494331065</v>
      </c>
      <c r="I242" s="37">
        <v>1.02322040350209</v>
      </c>
      <c r="J242" s="37">
        <v>1.14523809523809</v>
      </c>
    </row>
    <row r="243" hidden="1">
      <c r="A243" s="33">
        <v>171.0</v>
      </c>
      <c r="B243" s="33" t="s">
        <v>835</v>
      </c>
      <c r="C243" s="33" t="s">
        <v>836</v>
      </c>
      <c r="D243" s="34">
        <v>0.75</v>
      </c>
      <c r="E243" s="34">
        <v>0.863013698630137</v>
      </c>
      <c r="F243" s="34">
        <v>0.936305732484076</v>
      </c>
      <c r="G243" s="34">
        <v>-0.988095238095238</v>
      </c>
      <c r="H243" s="34">
        <v>-0.0155895691609977</v>
      </c>
      <c r="I243" s="34">
        <v>0.979637171417993</v>
      </c>
      <c r="J243" s="34">
        <v>0.869047619047619</v>
      </c>
    </row>
    <row r="244" hidden="1">
      <c r="A244" s="33">
        <v>172.0</v>
      </c>
      <c r="B244" s="33" t="s">
        <v>835</v>
      </c>
      <c r="C244" s="33" t="s">
        <v>1003</v>
      </c>
      <c r="D244" s="34">
        <v>0.75</v>
      </c>
      <c r="E244" s="34">
        <v>0.863013698630137</v>
      </c>
      <c r="F244" s="34">
        <v>0.936305732484076</v>
      </c>
      <c r="G244" s="34">
        <v>-0.988095238095238</v>
      </c>
      <c r="H244" s="34">
        <v>0.00510204081632659</v>
      </c>
      <c r="I244" s="34">
        <v>1.00684931506849</v>
      </c>
      <c r="J244" s="34">
        <v>1.04285714285714</v>
      </c>
    </row>
    <row r="245" hidden="1">
      <c r="A245" s="33">
        <v>173.0</v>
      </c>
      <c r="B245" s="33" t="s">
        <v>835</v>
      </c>
      <c r="C245" s="33" t="s">
        <v>1004</v>
      </c>
      <c r="D245" s="34">
        <v>0.75</v>
      </c>
      <c r="E245" s="34">
        <v>0.863013698630137</v>
      </c>
      <c r="F245" s="34">
        <v>0.936305732484076</v>
      </c>
      <c r="G245" s="34">
        <v>-0.988095238095238</v>
      </c>
      <c r="H245" s="34">
        <v>0.00510204081632659</v>
      </c>
      <c r="I245" s="34">
        <v>1.00684931506849</v>
      </c>
      <c r="J245" s="34">
        <v>1.04285714285714</v>
      </c>
    </row>
    <row r="246" hidden="1">
      <c r="A246" s="33">
        <v>174.0</v>
      </c>
      <c r="B246" s="33" t="s">
        <v>835</v>
      </c>
      <c r="C246" s="33" t="s">
        <v>988</v>
      </c>
      <c r="D246" s="34">
        <v>0.75</v>
      </c>
      <c r="E246" s="34">
        <v>0.863013698630137</v>
      </c>
      <c r="F246" s="34">
        <v>0.936305732484076</v>
      </c>
      <c r="G246" s="34">
        <v>-0.988095238095238</v>
      </c>
      <c r="H246" s="34">
        <v>0.0154478458049887</v>
      </c>
      <c r="I246" s="34">
        <v>1.02103029133706</v>
      </c>
      <c r="J246" s="34">
        <v>1.1297619047619</v>
      </c>
    </row>
    <row r="247" hidden="1">
      <c r="A247" s="33">
        <v>175.0</v>
      </c>
      <c r="B247" s="33" t="s">
        <v>835</v>
      </c>
      <c r="C247" s="33" t="s">
        <v>989</v>
      </c>
      <c r="D247" s="34">
        <v>0.75</v>
      </c>
      <c r="E247" s="34">
        <v>0.863013698630137</v>
      </c>
      <c r="F247" s="34">
        <v>0.936305732484076</v>
      </c>
      <c r="G247" s="34">
        <v>-0.988095238095238</v>
      </c>
      <c r="H247" s="34">
        <v>0.0154478458049887</v>
      </c>
      <c r="I247" s="34">
        <v>1.02103029133706</v>
      </c>
      <c r="J247" s="34">
        <v>1.1297619047619</v>
      </c>
    </row>
    <row r="248" hidden="1">
      <c r="A248" s="33">
        <v>165.0</v>
      </c>
      <c r="B248" s="33" t="s">
        <v>839</v>
      </c>
      <c r="C248" s="33" t="s">
        <v>836</v>
      </c>
      <c r="D248" s="34">
        <v>0.738095238095238</v>
      </c>
      <c r="E248" s="34">
        <v>0.861111111111111</v>
      </c>
      <c r="F248" s="34">
        <v>0.935897435897435</v>
      </c>
      <c r="G248" s="34">
        <v>-0.976190476190476</v>
      </c>
      <c r="H248" s="34">
        <v>-0.0170068027210883</v>
      </c>
      <c r="I248" s="34">
        <v>0.977477477477477</v>
      </c>
      <c r="J248" s="34">
        <v>0.857142857142857</v>
      </c>
    </row>
    <row r="249" hidden="1">
      <c r="A249" s="33">
        <v>166.0</v>
      </c>
      <c r="B249" s="33" t="s">
        <v>839</v>
      </c>
      <c r="C249" s="33" t="s">
        <v>835</v>
      </c>
      <c r="D249" s="34">
        <v>0.738095238095238</v>
      </c>
      <c r="E249" s="34">
        <v>0.861111111111111</v>
      </c>
      <c r="F249" s="34">
        <v>0.935897435897435</v>
      </c>
      <c r="G249" s="34">
        <v>-0.976190476190476</v>
      </c>
      <c r="H249" s="34">
        <v>-0.00680272108843527</v>
      </c>
      <c r="I249" s="34">
        <v>0.990867579908675</v>
      </c>
      <c r="J249" s="34">
        <v>0.942857142857142</v>
      </c>
    </row>
    <row r="250" hidden="1">
      <c r="A250" s="33">
        <v>167.0</v>
      </c>
      <c r="B250" s="33" t="s">
        <v>1002</v>
      </c>
      <c r="C250" s="33" t="s">
        <v>836</v>
      </c>
      <c r="D250" s="34">
        <v>0.738095238095238</v>
      </c>
      <c r="E250" s="34">
        <v>0.861111111111111</v>
      </c>
      <c r="F250" s="34">
        <v>0.935897435897435</v>
      </c>
      <c r="G250" s="34">
        <v>-0.976190476190476</v>
      </c>
      <c r="H250" s="34">
        <v>-0.0170068027210883</v>
      </c>
      <c r="I250" s="34">
        <v>0.977477477477477</v>
      </c>
      <c r="J250" s="34">
        <v>0.857142857142857</v>
      </c>
    </row>
    <row r="251" hidden="1">
      <c r="A251" s="33">
        <v>168.0</v>
      </c>
      <c r="B251" s="33" t="s">
        <v>1003</v>
      </c>
      <c r="C251" s="33" t="s">
        <v>836</v>
      </c>
      <c r="D251" s="34">
        <v>0.738095238095238</v>
      </c>
      <c r="E251" s="34">
        <v>0.861111111111111</v>
      </c>
      <c r="F251" s="34">
        <v>0.935897435897435</v>
      </c>
      <c r="G251" s="34">
        <v>-0.976190476190476</v>
      </c>
      <c r="H251" s="34">
        <v>-0.0170068027210883</v>
      </c>
      <c r="I251" s="34">
        <v>0.977477477477477</v>
      </c>
      <c r="J251" s="34">
        <v>0.857142857142857</v>
      </c>
    </row>
    <row r="252" hidden="1">
      <c r="A252" s="33">
        <v>169.0</v>
      </c>
      <c r="B252" s="33" t="s">
        <v>1004</v>
      </c>
      <c r="C252" s="33" t="s">
        <v>836</v>
      </c>
      <c r="D252" s="34">
        <v>0.738095238095238</v>
      </c>
      <c r="E252" s="34">
        <v>0.861111111111111</v>
      </c>
      <c r="F252" s="34">
        <v>0.935897435897435</v>
      </c>
      <c r="G252" s="34">
        <v>-0.976190476190476</v>
      </c>
      <c r="H252" s="34">
        <v>-0.0170068027210883</v>
      </c>
      <c r="I252" s="34">
        <v>0.977477477477477</v>
      </c>
      <c r="J252" s="34">
        <v>0.857142857142857</v>
      </c>
    </row>
    <row r="253" hidden="1">
      <c r="A253" s="33">
        <v>170.0</v>
      </c>
      <c r="B253" s="33" t="s">
        <v>839</v>
      </c>
      <c r="C253" s="33" t="s">
        <v>989</v>
      </c>
      <c r="D253" s="34">
        <v>0.738095238095238</v>
      </c>
      <c r="E253" s="34">
        <v>0.861111111111111</v>
      </c>
      <c r="F253" s="34">
        <v>0.935897435897435</v>
      </c>
      <c r="G253" s="34">
        <v>-0.976190476190476</v>
      </c>
      <c r="H253" s="34">
        <v>0.0136054421768708</v>
      </c>
      <c r="I253" s="34">
        <v>1.018779342723</v>
      </c>
      <c r="J253" s="34">
        <v>1.11428571428571</v>
      </c>
    </row>
    <row r="254" hidden="1">
      <c r="A254" s="36">
        <v>161.0</v>
      </c>
      <c r="B254" s="36" t="s">
        <v>841</v>
      </c>
      <c r="C254" s="36" t="s">
        <v>839</v>
      </c>
      <c r="D254" s="37">
        <v>0.726190476190476</v>
      </c>
      <c r="E254" s="37">
        <v>0.859154929577464</v>
      </c>
      <c r="F254" s="37">
        <v>0.935483870967741</v>
      </c>
      <c r="G254" s="37">
        <v>-0.964285714285714</v>
      </c>
      <c r="H254" s="37">
        <v>0.0017006802721089</v>
      </c>
      <c r="I254" s="37">
        <v>1.00234741784037</v>
      </c>
      <c r="J254" s="37">
        <v>1.01428571428571</v>
      </c>
    </row>
    <row r="255" hidden="1">
      <c r="A255" s="33">
        <v>162.0</v>
      </c>
      <c r="B255" s="33" t="s">
        <v>840</v>
      </c>
      <c r="C255" s="33" t="s">
        <v>1004</v>
      </c>
      <c r="D255" s="34">
        <v>0.726190476190476</v>
      </c>
      <c r="E255" s="34">
        <v>0.859154929577464</v>
      </c>
      <c r="F255" s="34">
        <v>0.935483870967741</v>
      </c>
      <c r="G255" s="34">
        <v>-0.964285714285714</v>
      </c>
      <c r="H255" s="34">
        <v>0.0017006802721089</v>
      </c>
      <c r="I255" s="34">
        <v>1.00234741784037</v>
      </c>
      <c r="J255" s="34">
        <v>1.01428571428571</v>
      </c>
    </row>
    <row r="256" hidden="1">
      <c r="A256" s="33">
        <v>163.0</v>
      </c>
      <c r="B256" s="33" t="s">
        <v>988</v>
      </c>
      <c r="C256" s="33" t="s">
        <v>836</v>
      </c>
      <c r="D256" s="34">
        <v>0.726190476190476</v>
      </c>
      <c r="E256" s="34">
        <v>0.859154929577464</v>
      </c>
      <c r="F256" s="34">
        <v>0.935483870967741</v>
      </c>
      <c r="G256" s="34">
        <v>-0.964285714285714</v>
      </c>
      <c r="H256" s="34">
        <v>-0.0184240362811791</v>
      </c>
      <c r="I256" s="34">
        <v>0.975256947087933</v>
      </c>
      <c r="J256" s="34">
        <v>0.845238095238095</v>
      </c>
    </row>
    <row r="257" hidden="1">
      <c r="A257" s="33">
        <v>164.0</v>
      </c>
      <c r="B257" s="33" t="s">
        <v>989</v>
      </c>
      <c r="C257" s="33" t="s">
        <v>836</v>
      </c>
      <c r="D257" s="34">
        <v>0.726190476190476</v>
      </c>
      <c r="E257" s="34">
        <v>0.859154929577464</v>
      </c>
      <c r="F257" s="34">
        <v>0.935483870967741</v>
      </c>
      <c r="G257" s="34">
        <v>-0.964285714285714</v>
      </c>
      <c r="H257" s="34">
        <v>-0.0184240362811791</v>
      </c>
      <c r="I257" s="34">
        <v>0.975256947087933</v>
      </c>
      <c r="J257" s="34">
        <v>0.845238095238095</v>
      </c>
    </row>
    <row r="258" hidden="1">
      <c r="A258" s="33">
        <v>160.0</v>
      </c>
      <c r="B258" s="33" t="s">
        <v>825</v>
      </c>
      <c r="C258" s="33" t="s">
        <v>830</v>
      </c>
      <c r="D258" s="34">
        <v>0.797619047619047</v>
      </c>
      <c r="E258" s="34">
        <v>0.858974358974358</v>
      </c>
      <c r="F258" s="34">
        <v>0.932098765432098</v>
      </c>
      <c r="G258" s="34">
        <v>-1.0595238095238</v>
      </c>
      <c r="H258" s="34">
        <v>0.0348639455782313</v>
      </c>
      <c r="I258" s="34">
        <v>1.04570791527313</v>
      </c>
      <c r="J258" s="34">
        <v>1.26623376623376</v>
      </c>
    </row>
    <row r="259" hidden="1">
      <c r="A259" s="33">
        <v>152.0</v>
      </c>
      <c r="B259" s="33" t="s">
        <v>848</v>
      </c>
      <c r="C259" s="33" t="s">
        <v>840</v>
      </c>
      <c r="D259" s="34">
        <v>0.785714285714285</v>
      </c>
      <c r="E259" s="34">
        <v>0.857142857142857</v>
      </c>
      <c r="F259" s="34">
        <v>0.93167701863354</v>
      </c>
      <c r="G259" s="34">
        <v>-1.04761904761904</v>
      </c>
      <c r="H259" s="34">
        <v>0.0109126984126984</v>
      </c>
      <c r="I259" s="34">
        <v>1.01408450704225</v>
      </c>
      <c r="J259" s="34">
        <v>1.08333333333333</v>
      </c>
    </row>
    <row r="260" hidden="1">
      <c r="A260" s="33">
        <v>153.0</v>
      </c>
      <c r="B260" s="33" t="s">
        <v>837</v>
      </c>
      <c r="C260" s="33" t="s">
        <v>1002</v>
      </c>
      <c r="D260" s="34">
        <v>0.785714285714285</v>
      </c>
      <c r="E260" s="34">
        <v>0.857142857142857</v>
      </c>
      <c r="F260" s="34">
        <v>0.93167701863354</v>
      </c>
      <c r="G260" s="34">
        <v>-1.04761904761904</v>
      </c>
      <c r="H260" s="34">
        <v>1.11022302462515E-16</v>
      </c>
      <c r="I260" s="34">
        <v>1.0</v>
      </c>
      <c r="J260" s="34">
        <v>1.0</v>
      </c>
    </row>
    <row r="261" hidden="1">
      <c r="A261" s="33">
        <v>154.0</v>
      </c>
      <c r="B261" s="33" t="s">
        <v>848</v>
      </c>
      <c r="C261" s="33" t="s">
        <v>1002</v>
      </c>
      <c r="D261" s="34">
        <v>0.785714285714285</v>
      </c>
      <c r="E261" s="34">
        <v>0.857142857142857</v>
      </c>
      <c r="F261" s="34">
        <v>0.93167701863354</v>
      </c>
      <c r="G261" s="34">
        <v>-1.04761904761904</v>
      </c>
      <c r="H261" s="34">
        <v>1.11022302462515E-16</v>
      </c>
      <c r="I261" s="34">
        <v>1.0</v>
      </c>
      <c r="J261" s="34">
        <v>1.0</v>
      </c>
    </row>
    <row r="262" hidden="1">
      <c r="A262" s="33">
        <v>155.0</v>
      </c>
      <c r="B262" s="33" t="s">
        <v>837</v>
      </c>
      <c r="C262" s="33" t="s">
        <v>1004</v>
      </c>
      <c r="D262" s="34">
        <v>0.785714285714285</v>
      </c>
      <c r="E262" s="34">
        <v>0.857142857142857</v>
      </c>
      <c r="F262" s="34">
        <v>0.93167701863354</v>
      </c>
      <c r="G262" s="34">
        <v>-1.04761904761904</v>
      </c>
      <c r="H262" s="34">
        <v>1.11022302462515E-16</v>
      </c>
      <c r="I262" s="34">
        <v>1.0</v>
      </c>
      <c r="J262" s="34">
        <v>1.0</v>
      </c>
    </row>
    <row r="263" hidden="1">
      <c r="A263" s="33">
        <v>156.0</v>
      </c>
      <c r="B263" s="33" t="s">
        <v>848</v>
      </c>
      <c r="C263" s="33" t="s">
        <v>1003</v>
      </c>
      <c r="D263" s="34">
        <v>0.785714285714285</v>
      </c>
      <c r="E263" s="34">
        <v>0.857142857142857</v>
      </c>
      <c r="F263" s="34">
        <v>0.93167701863354</v>
      </c>
      <c r="G263" s="34">
        <v>-1.04761904761904</v>
      </c>
      <c r="H263" s="34">
        <v>1.11022302462515E-16</v>
      </c>
      <c r="I263" s="34">
        <v>1.0</v>
      </c>
      <c r="J263" s="34">
        <v>1.0</v>
      </c>
    </row>
    <row r="264" hidden="1">
      <c r="A264" s="33">
        <v>157.0</v>
      </c>
      <c r="B264" s="33" t="s">
        <v>971</v>
      </c>
      <c r="C264" s="33" t="s">
        <v>836</v>
      </c>
      <c r="D264" s="34">
        <v>0.714285714285714</v>
      </c>
      <c r="E264" s="34">
        <v>0.857142857142857</v>
      </c>
      <c r="F264" s="34">
        <v>0.935064935064935</v>
      </c>
      <c r="G264" s="34">
        <v>-0.952380952380952</v>
      </c>
      <c r="H264" s="34">
        <v>-0.0198412698412698</v>
      </c>
      <c r="I264" s="34">
        <v>0.972972972972973</v>
      </c>
      <c r="J264" s="34">
        <v>0.833333333333333</v>
      </c>
    </row>
    <row r="265" hidden="1">
      <c r="A265" s="33">
        <v>158.0</v>
      </c>
      <c r="B265" s="33" t="s">
        <v>971</v>
      </c>
      <c r="C265" s="33" t="s">
        <v>840</v>
      </c>
      <c r="D265" s="34">
        <v>0.714285714285714</v>
      </c>
      <c r="E265" s="34">
        <v>0.857142857142857</v>
      </c>
      <c r="F265" s="34">
        <v>0.935064935064935</v>
      </c>
      <c r="G265" s="34">
        <v>-0.952380952380952</v>
      </c>
      <c r="H265" s="34">
        <v>0.00992063492063488</v>
      </c>
      <c r="I265" s="34">
        <v>1.01408450704225</v>
      </c>
      <c r="J265" s="34">
        <v>1.08333333333333</v>
      </c>
    </row>
    <row r="266" hidden="1">
      <c r="A266" s="33">
        <v>159.0</v>
      </c>
      <c r="B266" s="33" t="s">
        <v>971</v>
      </c>
      <c r="C266" s="33" t="s">
        <v>1002</v>
      </c>
      <c r="D266" s="34">
        <v>0.714285714285714</v>
      </c>
      <c r="E266" s="34">
        <v>0.857142857142857</v>
      </c>
      <c r="F266" s="34">
        <v>0.935064935064935</v>
      </c>
      <c r="G266" s="34">
        <v>-0.952380952380952</v>
      </c>
      <c r="H266" s="34">
        <v>0.0</v>
      </c>
      <c r="I266" s="34">
        <v>1.0</v>
      </c>
      <c r="J266" s="34">
        <v>1.0</v>
      </c>
    </row>
    <row r="267" hidden="1">
      <c r="A267" s="33">
        <v>140.0</v>
      </c>
      <c r="B267" s="33" t="s">
        <v>830</v>
      </c>
      <c r="C267" s="33" t="s">
        <v>836</v>
      </c>
      <c r="D267" s="34">
        <v>0.702380952380952</v>
      </c>
      <c r="E267" s="34">
        <v>0.855072463768116</v>
      </c>
      <c r="F267" s="34">
        <v>0.934640522875817</v>
      </c>
      <c r="G267" s="34">
        <v>-0.94047619047619</v>
      </c>
      <c r="H267" s="34">
        <v>-0.0212585034013605</v>
      </c>
      <c r="I267" s="34">
        <v>0.970622796709753</v>
      </c>
      <c r="J267" s="34">
        <v>0.821428571428571</v>
      </c>
    </row>
    <row r="268" hidden="1">
      <c r="A268" s="33">
        <v>141.0</v>
      </c>
      <c r="B268" s="33" t="s">
        <v>830</v>
      </c>
      <c r="C268" s="33" t="s">
        <v>839</v>
      </c>
      <c r="D268" s="34">
        <v>0.702380952380952</v>
      </c>
      <c r="E268" s="34">
        <v>0.855072463768116</v>
      </c>
      <c r="F268" s="34">
        <v>0.934640522875817</v>
      </c>
      <c r="G268" s="34">
        <v>-0.94047619047619</v>
      </c>
      <c r="H268" s="34">
        <v>-0.00170068027210879</v>
      </c>
      <c r="I268" s="34">
        <v>0.997584541062801</v>
      </c>
      <c r="J268" s="34">
        <v>0.985714285714285</v>
      </c>
    </row>
    <row r="269" hidden="1">
      <c r="A269" s="36">
        <v>142.0</v>
      </c>
      <c r="B269" s="36" t="s">
        <v>64</v>
      </c>
      <c r="C269" s="36" t="s">
        <v>841</v>
      </c>
      <c r="D269" s="37">
        <v>0.702380952380952</v>
      </c>
      <c r="E269" s="37">
        <v>0.855072463768116</v>
      </c>
      <c r="F269" s="37">
        <v>0.934640522875817</v>
      </c>
      <c r="G269" s="37">
        <v>-0.94047619047619</v>
      </c>
      <c r="H269" s="37">
        <v>0.00807823129251694</v>
      </c>
      <c r="I269" s="37">
        <v>1.01163502755664</v>
      </c>
      <c r="J269" s="37">
        <v>1.06785714285714</v>
      </c>
    </row>
    <row r="270" hidden="1">
      <c r="A270" s="33">
        <v>143.0</v>
      </c>
      <c r="B270" s="33" t="s">
        <v>830</v>
      </c>
      <c r="C270" s="33" t="s">
        <v>840</v>
      </c>
      <c r="D270" s="34">
        <v>0.702380952380952</v>
      </c>
      <c r="E270" s="34">
        <v>0.855072463768116</v>
      </c>
      <c r="F270" s="34">
        <v>0.934640522875817</v>
      </c>
      <c r="G270" s="34">
        <v>-0.94047619047619</v>
      </c>
      <c r="H270" s="34">
        <v>0.00807823129251694</v>
      </c>
      <c r="I270" s="34">
        <v>1.01163502755664</v>
      </c>
      <c r="J270" s="34">
        <v>1.06785714285714</v>
      </c>
    </row>
    <row r="271" hidden="1">
      <c r="A271" s="33">
        <v>144.0</v>
      </c>
      <c r="B271" s="33" t="s">
        <v>972</v>
      </c>
      <c r="C271" s="33" t="s">
        <v>836</v>
      </c>
      <c r="D271" s="34">
        <v>0.702380952380952</v>
      </c>
      <c r="E271" s="34">
        <v>0.855072463768116</v>
      </c>
      <c r="F271" s="34">
        <v>0.934640522875817</v>
      </c>
      <c r="G271" s="34">
        <v>-0.94047619047619</v>
      </c>
      <c r="H271" s="34">
        <v>-0.0212585034013605</v>
      </c>
      <c r="I271" s="34">
        <v>0.970622796709753</v>
      </c>
      <c r="J271" s="34">
        <v>0.821428571428571</v>
      </c>
    </row>
    <row r="272" hidden="1">
      <c r="A272" s="33">
        <v>145.0</v>
      </c>
      <c r="B272" s="33" t="s">
        <v>972</v>
      </c>
      <c r="C272" s="33" t="s">
        <v>835</v>
      </c>
      <c r="D272" s="34">
        <v>0.702380952380952</v>
      </c>
      <c r="E272" s="34">
        <v>0.855072463768116</v>
      </c>
      <c r="F272" s="34">
        <v>0.934640522875817</v>
      </c>
      <c r="G272" s="34">
        <v>-0.94047619047619</v>
      </c>
      <c r="H272" s="34">
        <v>-0.0114795918367347</v>
      </c>
      <c r="I272" s="34">
        <v>0.983918999404407</v>
      </c>
      <c r="J272" s="34">
        <v>0.903571428571428</v>
      </c>
    </row>
    <row r="273" hidden="1">
      <c r="A273" s="33">
        <v>146.0</v>
      </c>
      <c r="B273" s="33" t="s">
        <v>64</v>
      </c>
      <c r="C273" s="33" t="s">
        <v>989</v>
      </c>
      <c r="D273" s="34">
        <v>0.702380952380952</v>
      </c>
      <c r="E273" s="34">
        <v>0.855072463768116</v>
      </c>
      <c r="F273" s="34">
        <v>0.934640522875817</v>
      </c>
      <c r="G273" s="34">
        <v>-0.94047619047619</v>
      </c>
      <c r="H273" s="34">
        <v>0.00807823129251694</v>
      </c>
      <c r="I273" s="34">
        <v>1.01163502755664</v>
      </c>
      <c r="J273" s="34">
        <v>1.06785714285714</v>
      </c>
    </row>
    <row r="274" hidden="1">
      <c r="A274" s="33">
        <v>147.0</v>
      </c>
      <c r="B274" s="33" t="s">
        <v>990</v>
      </c>
      <c r="C274" s="33" t="s">
        <v>836</v>
      </c>
      <c r="D274" s="34">
        <v>0.702380952380952</v>
      </c>
      <c r="E274" s="34">
        <v>0.855072463768116</v>
      </c>
      <c r="F274" s="34">
        <v>0.934640522875817</v>
      </c>
      <c r="G274" s="34">
        <v>-0.94047619047619</v>
      </c>
      <c r="H274" s="34">
        <v>-0.0212585034013605</v>
      </c>
      <c r="I274" s="34">
        <v>0.970622796709753</v>
      </c>
      <c r="J274" s="34">
        <v>0.821428571428571</v>
      </c>
    </row>
    <row r="275" hidden="1">
      <c r="A275" s="33">
        <v>148.0</v>
      </c>
      <c r="B275" s="33" t="s">
        <v>990</v>
      </c>
      <c r="C275" s="33" t="s">
        <v>1003</v>
      </c>
      <c r="D275" s="34">
        <v>0.702380952380952</v>
      </c>
      <c r="E275" s="34">
        <v>0.855072463768116</v>
      </c>
      <c r="F275" s="34">
        <v>0.934640522875817</v>
      </c>
      <c r="G275" s="34">
        <v>-0.94047619047619</v>
      </c>
      <c r="H275" s="34">
        <v>-0.00170068027210879</v>
      </c>
      <c r="I275" s="34">
        <v>0.997584541062801</v>
      </c>
      <c r="J275" s="34">
        <v>0.985714285714285</v>
      </c>
    </row>
    <row r="276" hidden="1">
      <c r="A276" s="33">
        <v>149.0</v>
      </c>
      <c r="B276" s="33" t="s">
        <v>990</v>
      </c>
      <c r="C276" s="33" t="s">
        <v>1004</v>
      </c>
      <c r="D276" s="34">
        <v>0.702380952380952</v>
      </c>
      <c r="E276" s="34">
        <v>0.855072463768116</v>
      </c>
      <c r="F276" s="34">
        <v>0.934640522875817</v>
      </c>
      <c r="G276" s="34">
        <v>-0.94047619047619</v>
      </c>
      <c r="H276" s="34">
        <v>-0.00170068027210879</v>
      </c>
      <c r="I276" s="34">
        <v>0.997584541062801</v>
      </c>
      <c r="J276" s="34">
        <v>0.985714285714285</v>
      </c>
    </row>
    <row r="277" hidden="1">
      <c r="A277" s="33">
        <v>150.0</v>
      </c>
      <c r="B277" s="33" t="s">
        <v>972</v>
      </c>
      <c r="C277" s="33" t="s">
        <v>989</v>
      </c>
      <c r="D277" s="34">
        <v>0.702380952380952</v>
      </c>
      <c r="E277" s="34">
        <v>0.855072463768116</v>
      </c>
      <c r="F277" s="34">
        <v>0.934640522875817</v>
      </c>
      <c r="G277" s="34">
        <v>-0.94047619047619</v>
      </c>
      <c r="H277" s="34">
        <v>0.00807823129251694</v>
      </c>
      <c r="I277" s="34">
        <v>1.01163502755664</v>
      </c>
      <c r="J277" s="34">
        <v>1.06785714285714</v>
      </c>
    </row>
    <row r="278" hidden="1">
      <c r="A278" s="33">
        <v>151.0</v>
      </c>
      <c r="B278" s="33" t="s">
        <v>972</v>
      </c>
      <c r="C278" s="33" t="s">
        <v>971</v>
      </c>
      <c r="D278" s="34">
        <v>0.702380952380952</v>
      </c>
      <c r="E278" s="34">
        <v>0.855072463768116</v>
      </c>
      <c r="F278" s="34">
        <v>0.934640522875817</v>
      </c>
      <c r="G278" s="34">
        <v>-0.94047619047619</v>
      </c>
      <c r="H278" s="34">
        <v>0.0178571428571427</v>
      </c>
      <c r="I278" s="34">
        <v>1.02608695652173</v>
      </c>
      <c r="J278" s="34">
        <v>1.15</v>
      </c>
    </row>
    <row r="279" hidden="1">
      <c r="A279" s="33">
        <v>139.0</v>
      </c>
      <c r="B279" s="33" t="s">
        <v>836</v>
      </c>
      <c r="C279" s="33" t="s">
        <v>835</v>
      </c>
      <c r="D279" s="34">
        <v>0.75</v>
      </c>
      <c r="E279" s="34">
        <v>0.851351351351351</v>
      </c>
      <c r="F279" s="34">
        <v>0.930379746835443</v>
      </c>
      <c r="G279" s="34">
        <v>-1.01190476190476</v>
      </c>
      <c r="H279" s="34">
        <v>-0.0155895691609977</v>
      </c>
      <c r="I279" s="34">
        <v>0.979637171417993</v>
      </c>
      <c r="J279" s="34">
        <v>0.88095238095238</v>
      </c>
    </row>
    <row r="280" hidden="1">
      <c r="A280" s="33">
        <v>137.0</v>
      </c>
      <c r="B280" s="33" t="s">
        <v>835</v>
      </c>
      <c r="C280" s="33" t="s">
        <v>839</v>
      </c>
      <c r="D280" s="34">
        <v>0.738095238095238</v>
      </c>
      <c r="E280" s="34">
        <v>0.84931506849315</v>
      </c>
      <c r="F280" s="34">
        <v>0.929936305732484</v>
      </c>
      <c r="G280" s="34">
        <v>-1.0</v>
      </c>
      <c r="H280" s="34">
        <v>-0.00680272108843527</v>
      </c>
      <c r="I280" s="34">
        <v>0.990867579908675</v>
      </c>
      <c r="J280" s="34">
        <v>0.948051948051948</v>
      </c>
    </row>
    <row r="281" hidden="1">
      <c r="A281" s="33">
        <v>138.0</v>
      </c>
      <c r="B281" s="33" t="s">
        <v>835</v>
      </c>
      <c r="C281" s="33" t="s">
        <v>830</v>
      </c>
      <c r="D281" s="34">
        <v>0.738095238095238</v>
      </c>
      <c r="E281" s="34">
        <v>0.84931506849315</v>
      </c>
      <c r="F281" s="34">
        <v>0.929936305732484</v>
      </c>
      <c r="G281" s="34">
        <v>-1.0</v>
      </c>
      <c r="H281" s="34">
        <v>0.024234693877551</v>
      </c>
      <c r="I281" s="34">
        <v>1.03394877903514</v>
      </c>
      <c r="J281" s="34">
        <v>1.18506493506493</v>
      </c>
    </row>
    <row r="282" hidden="1">
      <c r="A282" s="36">
        <v>132.0</v>
      </c>
      <c r="B282" s="36" t="s">
        <v>839</v>
      </c>
      <c r="C282" s="36" t="s">
        <v>841</v>
      </c>
      <c r="D282" s="37">
        <v>0.726190476190476</v>
      </c>
      <c r="E282" s="37">
        <v>0.847222222222222</v>
      </c>
      <c r="F282" s="37">
        <v>0.929487179487179</v>
      </c>
      <c r="G282" s="37">
        <v>-0.988095238095238</v>
      </c>
      <c r="H282" s="37">
        <v>0.0017006802721089</v>
      </c>
      <c r="I282" s="37">
        <v>1.00234741784037</v>
      </c>
      <c r="J282" s="37">
        <v>1.01298701298701</v>
      </c>
    </row>
    <row r="283" hidden="1">
      <c r="A283" s="33">
        <v>133.0</v>
      </c>
      <c r="B283" s="33" t="s">
        <v>1002</v>
      </c>
      <c r="C283" s="33" t="s">
        <v>830</v>
      </c>
      <c r="D283" s="34">
        <v>0.726190476190476</v>
      </c>
      <c r="E283" s="34">
        <v>0.847222222222222</v>
      </c>
      <c r="F283" s="34">
        <v>0.929487179487179</v>
      </c>
      <c r="G283" s="34">
        <v>-0.988095238095238</v>
      </c>
      <c r="H283" s="34">
        <v>0.022108843537415</v>
      </c>
      <c r="I283" s="34">
        <v>1.03140096618357</v>
      </c>
      <c r="J283" s="34">
        <v>1.16883116883116</v>
      </c>
    </row>
    <row r="284" hidden="1">
      <c r="A284" s="33">
        <v>134.0</v>
      </c>
      <c r="B284" s="33" t="s">
        <v>1004</v>
      </c>
      <c r="C284" s="33" t="s">
        <v>840</v>
      </c>
      <c r="D284" s="34">
        <v>0.726190476190476</v>
      </c>
      <c r="E284" s="34">
        <v>0.847222222222222</v>
      </c>
      <c r="F284" s="34">
        <v>0.929487179487179</v>
      </c>
      <c r="G284" s="34">
        <v>-0.988095238095238</v>
      </c>
      <c r="H284" s="34">
        <v>0.0017006802721089</v>
      </c>
      <c r="I284" s="34">
        <v>1.00234741784037</v>
      </c>
      <c r="J284" s="34">
        <v>1.01298701298701</v>
      </c>
    </row>
    <row r="285" hidden="1">
      <c r="A285" s="33">
        <v>135.0</v>
      </c>
      <c r="B285" s="33" t="s">
        <v>1004</v>
      </c>
      <c r="C285" s="33" t="s">
        <v>64</v>
      </c>
      <c r="D285" s="34">
        <v>0.726190476190476</v>
      </c>
      <c r="E285" s="34">
        <v>0.847222222222222</v>
      </c>
      <c r="F285" s="34">
        <v>0.929487179487179</v>
      </c>
      <c r="G285" s="34">
        <v>-0.988095238095238</v>
      </c>
      <c r="H285" s="34">
        <v>0.022108843537415</v>
      </c>
      <c r="I285" s="34">
        <v>1.03140096618357</v>
      </c>
      <c r="J285" s="34">
        <v>1.16883116883116</v>
      </c>
    </row>
    <row r="286" hidden="1">
      <c r="A286" s="33">
        <v>136.0</v>
      </c>
      <c r="B286" s="33" t="s">
        <v>839</v>
      </c>
      <c r="C286" s="33" t="s">
        <v>971</v>
      </c>
      <c r="D286" s="34">
        <v>0.726190476190476</v>
      </c>
      <c r="E286" s="34">
        <v>0.847222222222222</v>
      </c>
      <c r="F286" s="34">
        <v>0.929487179487179</v>
      </c>
      <c r="G286" s="34">
        <v>-0.988095238095238</v>
      </c>
      <c r="H286" s="34">
        <v>0.0119047619047618</v>
      </c>
      <c r="I286" s="34">
        <v>1.01666666666666</v>
      </c>
      <c r="J286" s="34">
        <v>1.09090909090909</v>
      </c>
    </row>
    <row r="287" hidden="1">
      <c r="A287" s="33">
        <v>125.0</v>
      </c>
      <c r="B287" s="33" t="s">
        <v>825</v>
      </c>
      <c r="C287" s="33" t="s">
        <v>839</v>
      </c>
      <c r="D287" s="34">
        <v>0.785714285714285</v>
      </c>
      <c r="E287" s="34">
        <v>0.846153846153846</v>
      </c>
      <c r="F287" s="34">
        <v>0.925925925925925</v>
      </c>
      <c r="G287" s="34">
        <v>-1.07142857142857</v>
      </c>
      <c r="H287" s="34">
        <v>-0.010204081632653</v>
      </c>
      <c r="I287" s="34">
        <v>0.987179487179487</v>
      </c>
      <c r="J287" s="34">
        <v>0.928571428571428</v>
      </c>
    </row>
    <row r="288" hidden="1">
      <c r="A288" s="33">
        <v>126.0</v>
      </c>
      <c r="B288" s="33" t="s">
        <v>825</v>
      </c>
      <c r="C288" s="33" t="s">
        <v>841</v>
      </c>
      <c r="D288" s="34">
        <v>0.785714285714285</v>
      </c>
      <c r="E288" s="34">
        <v>0.846153846153846</v>
      </c>
      <c r="F288" s="34">
        <v>0.925925925925925</v>
      </c>
      <c r="G288" s="34">
        <v>-1.07142857142857</v>
      </c>
      <c r="H288" s="34">
        <v>8.50340136054339E-4</v>
      </c>
      <c r="I288" s="34">
        <v>1.00108342361863</v>
      </c>
      <c r="J288" s="34">
        <v>1.00595238095238</v>
      </c>
    </row>
    <row r="289" hidden="1">
      <c r="A289" s="33">
        <v>127.0</v>
      </c>
      <c r="B289" s="33" t="s">
        <v>826</v>
      </c>
      <c r="C289" s="33" t="s">
        <v>988</v>
      </c>
      <c r="D289" s="34">
        <v>0.785714285714285</v>
      </c>
      <c r="E289" s="34">
        <v>0.846153846153846</v>
      </c>
      <c r="F289" s="34">
        <v>0.925925925925925</v>
      </c>
      <c r="G289" s="34">
        <v>-1.07142857142857</v>
      </c>
      <c r="H289" s="34">
        <v>8.50340136054339E-4</v>
      </c>
      <c r="I289" s="34">
        <v>1.00108342361863</v>
      </c>
      <c r="J289" s="34">
        <v>1.00595238095238</v>
      </c>
    </row>
    <row r="290" hidden="1">
      <c r="A290" s="33">
        <v>128.0</v>
      </c>
      <c r="B290" s="33" t="s">
        <v>825</v>
      </c>
      <c r="C290" s="33" t="s">
        <v>1003</v>
      </c>
      <c r="D290" s="34">
        <v>0.785714285714285</v>
      </c>
      <c r="E290" s="34">
        <v>0.846153846153846</v>
      </c>
      <c r="F290" s="34">
        <v>0.925925925925925</v>
      </c>
      <c r="G290" s="34">
        <v>-1.07142857142857</v>
      </c>
      <c r="H290" s="34">
        <v>-0.010204081632653</v>
      </c>
      <c r="I290" s="34">
        <v>0.987179487179487</v>
      </c>
      <c r="J290" s="34">
        <v>0.928571428571428</v>
      </c>
    </row>
    <row r="291" hidden="1">
      <c r="A291" s="33">
        <v>129.0</v>
      </c>
      <c r="B291" s="33" t="s">
        <v>826</v>
      </c>
      <c r="C291" s="33" t="s">
        <v>989</v>
      </c>
      <c r="D291" s="34">
        <v>0.785714285714285</v>
      </c>
      <c r="E291" s="34">
        <v>0.846153846153846</v>
      </c>
      <c r="F291" s="34">
        <v>0.925925925925925</v>
      </c>
      <c r="G291" s="34">
        <v>-1.07142857142857</v>
      </c>
      <c r="H291" s="34">
        <v>8.50340136054339E-4</v>
      </c>
      <c r="I291" s="34">
        <v>1.00108342361863</v>
      </c>
      <c r="J291" s="34">
        <v>1.00595238095238</v>
      </c>
    </row>
    <row r="292" hidden="1">
      <c r="A292" s="33">
        <v>130.0</v>
      </c>
      <c r="B292" s="33" t="s">
        <v>825</v>
      </c>
      <c r="C292" s="33" t="s">
        <v>1004</v>
      </c>
      <c r="D292" s="34">
        <v>0.785714285714285</v>
      </c>
      <c r="E292" s="34">
        <v>0.846153846153846</v>
      </c>
      <c r="F292" s="34">
        <v>0.925925925925925</v>
      </c>
      <c r="G292" s="34">
        <v>-1.07142857142857</v>
      </c>
      <c r="H292" s="34">
        <v>-0.010204081632653</v>
      </c>
      <c r="I292" s="34">
        <v>0.987179487179487</v>
      </c>
      <c r="J292" s="34">
        <v>0.928571428571428</v>
      </c>
    </row>
    <row r="293" hidden="1">
      <c r="A293" s="33">
        <v>131.0</v>
      </c>
      <c r="B293" s="33" t="s">
        <v>826</v>
      </c>
      <c r="C293" s="33" t="s">
        <v>971</v>
      </c>
      <c r="D293" s="34">
        <v>0.785714285714285</v>
      </c>
      <c r="E293" s="34">
        <v>0.846153846153846</v>
      </c>
      <c r="F293" s="34">
        <v>0.925925925925925</v>
      </c>
      <c r="G293" s="34">
        <v>-1.07142857142857</v>
      </c>
      <c r="H293" s="34">
        <v>0.0119047619047618</v>
      </c>
      <c r="I293" s="34">
        <v>1.01538461538461</v>
      </c>
      <c r="J293" s="34">
        <v>1.08333333333333</v>
      </c>
    </row>
    <row r="294" hidden="1">
      <c r="A294" s="36">
        <v>110.0</v>
      </c>
      <c r="B294" s="36" t="s">
        <v>841</v>
      </c>
      <c r="C294" s="36" t="s">
        <v>835</v>
      </c>
      <c r="D294" s="37">
        <v>0.714285714285714</v>
      </c>
      <c r="E294" s="37">
        <v>0.845070422535211</v>
      </c>
      <c r="F294" s="37">
        <v>0.929032258064516</v>
      </c>
      <c r="G294" s="37">
        <v>-0.976190476190476</v>
      </c>
      <c r="H294" s="37">
        <v>-0.0202664399092969</v>
      </c>
      <c r="I294" s="37">
        <v>0.972409801273393</v>
      </c>
      <c r="J294" s="37">
        <v>0.845238095238095</v>
      </c>
    </row>
    <row r="295" hidden="1">
      <c r="A295" s="36">
        <v>111.0</v>
      </c>
      <c r="B295" s="36" t="s">
        <v>840</v>
      </c>
      <c r="C295" s="36" t="s">
        <v>64</v>
      </c>
      <c r="D295" s="37">
        <v>0.714285714285714</v>
      </c>
      <c r="E295" s="37">
        <v>0.845070422535211</v>
      </c>
      <c r="F295" s="37">
        <v>0.929032258064516</v>
      </c>
      <c r="G295" s="37">
        <v>-0.976190476190476</v>
      </c>
      <c r="H295" s="37">
        <v>0.0199829931972789</v>
      </c>
      <c r="I295" s="37">
        <v>1.0287813839559</v>
      </c>
      <c r="J295" s="37">
        <v>1.1525974025974</v>
      </c>
    </row>
    <row r="296" hidden="1">
      <c r="A296" s="33">
        <v>112.0</v>
      </c>
      <c r="B296" s="33" t="s">
        <v>841</v>
      </c>
      <c r="C296" s="33" t="s">
        <v>1002</v>
      </c>
      <c r="D296" s="34">
        <v>0.714285714285714</v>
      </c>
      <c r="E296" s="34">
        <v>0.845070422535211</v>
      </c>
      <c r="F296" s="34">
        <v>0.929032258064516</v>
      </c>
      <c r="G296" s="34">
        <v>-0.976190476190476</v>
      </c>
      <c r="H296" s="34">
        <v>-0.0102040816326529</v>
      </c>
      <c r="I296" s="34">
        <v>0.985915492957746</v>
      </c>
      <c r="J296" s="34">
        <v>0.922077922077922</v>
      </c>
    </row>
    <row r="297" hidden="1">
      <c r="A297" s="33">
        <v>113.0</v>
      </c>
      <c r="B297" s="33" t="s">
        <v>840</v>
      </c>
      <c r="C297" s="33" t="s">
        <v>1003</v>
      </c>
      <c r="D297" s="34">
        <v>0.714285714285714</v>
      </c>
      <c r="E297" s="34">
        <v>0.845070422535211</v>
      </c>
      <c r="F297" s="34">
        <v>0.929032258064516</v>
      </c>
      <c r="G297" s="34">
        <v>-0.976190476190476</v>
      </c>
      <c r="H297" s="34">
        <v>-0.0102040816326529</v>
      </c>
      <c r="I297" s="34">
        <v>0.985915492957746</v>
      </c>
      <c r="J297" s="34">
        <v>0.922077922077922</v>
      </c>
    </row>
    <row r="298" hidden="1">
      <c r="A298" s="33">
        <v>114.0</v>
      </c>
      <c r="B298" s="33" t="s">
        <v>841</v>
      </c>
      <c r="C298" s="33" t="s">
        <v>1004</v>
      </c>
      <c r="D298" s="34">
        <v>0.714285714285714</v>
      </c>
      <c r="E298" s="34">
        <v>0.845070422535211</v>
      </c>
      <c r="F298" s="34">
        <v>0.929032258064516</v>
      </c>
      <c r="G298" s="34">
        <v>-0.976190476190476</v>
      </c>
      <c r="H298" s="34">
        <v>-0.0102040816326529</v>
      </c>
      <c r="I298" s="34">
        <v>0.985915492957746</v>
      </c>
      <c r="J298" s="34">
        <v>0.922077922077922</v>
      </c>
    </row>
    <row r="299" hidden="1">
      <c r="A299" s="33">
        <v>115.0</v>
      </c>
      <c r="B299" s="33" t="s">
        <v>988</v>
      </c>
      <c r="C299" s="33" t="s">
        <v>830</v>
      </c>
      <c r="D299" s="34">
        <v>0.714285714285714</v>
      </c>
      <c r="E299" s="34">
        <v>0.845070422535211</v>
      </c>
      <c r="F299" s="34">
        <v>0.929032258064516</v>
      </c>
      <c r="G299" s="34">
        <v>-0.976190476190476</v>
      </c>
      <c r="H299" s="34">
        <v>0.0199829931972789</v>
      </c>
      <c r="I299" s="34">
        <v>1.0287813839559</v>
      </c>
      <c r="J299" s="34">
        <v>1.1525974025974</v>
      </c>
    </row>
    <row r="300" hidden="1">
      <c r="A300" s="33">
        <v>116.0</v>
      </c>
      <c r="B300" s="33" t="s">
        <v>989</v>
      </c>
      <c r="C300" s="33" t="s">
        <v>841</v>
      </c>
      <c r="D300" s="34">
        <v>0.714285714285714</v>
      </c>
      <c r="E300" s="34">
        <v>0.845070422535211</v>
      </c>
      <c r="F300" s="34">
        <v>0.929032258064516</v>
      </c>
      <c r="G300" s="34">
        <v>-0.976190476190476</v>
      </c>
      <c r="H300" s="34">
        <v>-1.41723356009038E-4</v>
      </c>
      <c r="I300" s="34">
        <v>0.999801626661376</v>
      </c>
      <c r="J300" s="34">
        <v>0.998917748917748</v>
      </c>
    </row>
    <row r="301" hidden="1">
      <c r="A301" s="33">
        <v>117.0</v>
      </c>
      <c r="B301" s="33" t="s">
        <v>841</v>
      </c>
      <c r="C301" s="33" t="s">
        <v>989</v>
      </c>
      <c r="D301" s="34">
        <v>0.714285714285714</v>
      </c>
      <c r="E301" s="34">
        <v>0.845070422535211</v>
      </c>
      <c r="F301" s="34">
        <v>0.929032258064516</v>
      </c>
      <c r="G301" s="34">
        <v>-0.976190476190476</v>
      </c>
      <c r="H301" s="34">
        <v>-1.41723356009038E-4</v>
      </c>
      <c r="I301" s="34">
        <v>0.999801626661376</v>
      </c>
      <c r="J301" s="34">
        <v>0.998917748917748</v>
      </c>
    </row>
    <row r="302" hidden="1">
      <c r="A302" s="33">
        <v>118.0</v>
      </c>
      <c r="B302" s="33" t="s">
        <v>989</v>
      </c>
      <c r="C302" s="33" t="s">
        <v>840</v>
      </c>
      <c r="D302" s="34">
        <v>0.714285714285714</v>
      </c>
      <c r="E302" s="34">
        <v>0.845070422535211</v>
      </c>
      <c r="F302" s="34">
        <v>0.929032258064516</v>
      </c>
      <c r="G302" s="34">
        <v>-0.976190476190476</v>
      </c>
      <c r="H302" s="34">
        <v>-1.41723356009038E-4</v>
      </c>
      <c r="I302" s="34">
        <v>0.999801626661376</v>
      </c>
      <c r="J302" s="34">
        <v>0.998917748917748</v>
      </c>
    </row>
    <row r="303" hidden="1">
      <c r="A303" s="33">
        <v>119.0</v>
      </c>
      <c r="B303" s="33" t="s">
        <v>840</v>
      </c>
      <c r="C303" s="33" t="s">
        <v>989</v>
      </c>
      <c r="D303" s="34">
        <v>0.714285714285714</v>
      </c>
      <c r="E303" s="34">
        <v>0.845070422535211</v>
      </c>
      <c r="F303" s="34">
        <v>0.929032258064516</v>
      </c>
      <c r="G303" s="34">
        <v>-0.976190476190476</v>
      </c>
      <c r="H303" s="34">
        <v>-1.41723356009038E-4</v>
      </c>
      <c r="I303" s="34">
        <v>0.999801626661376</v>
      </c>
      <c r="J303" s="34">
        <v>0.998917748917748</v>
      </c>
    </row>
    <row r="304" hidden="1">
      <c r="A304" s="33">
        <v>120.0</v>
      </c>
      <c r="B304" s="33" t="s">
        <v>989</v>
      </c>
      <c r="C304" s="33" t="s">
        <v>830</v>
      </c>
      <c r="D304" s="34">
        <v>0.714285714285714</v>
      </c>
      <c r="E304" s="34">
        <v>0.845070422535211</v>
      </c>
      <c r="F304" s="34">
        <v>0.929032258064516</v>
      </c>
      <c r="G304" s="34">
        <v>-0.976190476190476</v>
      </c>
      <c r="H304" s="34">
        <v>0.0199829931972789</v>
      </c>
      <c r="I304" s="34">
        <v>1.0287813839559</v>
      </c>
      <c r="J304" s="34">
        <v>1.1525974025974</v>
      </c>
    </row>
    <row r="305" hidden="1">
      <c r="A305" s="33">
        <v>121.0</v>
      </c>
      <c r="B305" s="33" t="s">
        <v>840</v>
      </c>
      <c r="C305" s="33" t="s">
        <v>990</v>
      </c>
      <c r="D305" s="34">
        <v>0.714285714285714</v>
      </c>
      <c r="E305" s="34">
        <v>0.845070422535211</v>
      </c>
      <c r="F305" s="34">
        <v>0.929032258064516</v>
      </c>
      <c r="G305" s="34">
        <v>-0.976190476190476</v>
      </c>
      <c r="H305" s="34">
        <v>0.0199829931972789</v>
      </c>
      <c r="I305" s="34">
        <v>1.0287813839559</v>
      </c>
      <c r="J305" s="34">
        <v>1.1525974025974</v>
      </c>
    </row>
    <row r="306" hidden="1">
      <c r="A306" s="33">
        <v>122.0</v>
      </c>
      <c r="B306" s="33" t="s">
        <v>840</v>
      </c>
      <c r="C306" s="33" t="s">
        <v>971</v>
      </c>
      <c r="D306" s="34">
        <v>0.714285714285714</v>
      </c>
      <c r="E306" s="34">
        <v>0.845070422535211</v>
      </c>
      <c r="F306" s="34">
        <v>0.929032258064516</v>
      </c>
      <c r="G306" s="34">
        <v>-0.976190476190476</v>
      </c>
      <c r="H306" s="34">
        <v>0.00992063492063488</v>
      </c>
      <c r="I306" s="34">
        <v>1.01408450704225</v>
      </c>
      <c r="J306" s="34">
        <v>1.07575757575757</v>
      </c>
    </row>
    <row r="307" hidden="1">
      <c r="A307" s="33">
        <v>123.0</v>
      </c>
      <c r="B307" s="33" t="s">
        <v>988</v>
      </c>
      <c r="C307" s="33" t="s">
        <v>1004</v>
      </c>
      <c r="D307" s="34">
        <v>0.714285714285714</v>
      </c>
      <c r="E307" s="34">
        <v>0.845070422535211</v>
      </c>
      <c r="F307" s="34">
        <v>0.929032258064516</v>
      </c>
      <c r="G307" s="34">
        <v>-0.976190476190476</v>
      </c>
      <c r="H307" s="34">
        <v>-0.0102040816326529</v>
      </c>
      <c r="I307" s="34">
        <v>0.985915492957746</v>
      </c>
      <c r="J307" s="34">
        <v>0.922077922077922</v>
      </c>
    </row>
    <row r="308" hidden="1">
      <c r="A308" s="33">
        <v>124.0</v>
      </c>
      <c r="B308" s="33" t="s">
        <v>989</v>
      </c>
      <c r="C308" s="33" t="s">
        <v>1003</v>
      </c>
      <c r="D308" s="34">
        <v>0.714285714285714</v>
      </c>
      <c r="E308" s="34">
        <v>0.845070422535211</v>
      </c>
      <c r="F308" s="34">
        <v>0.929032258064516</v>
      </c>
      <c r="G308" s="34">
        <v>-0.976190476190476</v>
      </c>
      <c r="H308" s="34">
        <v>-0.0102040816326529</v>
      </c>
      <c r="I308" s="34">
        <v>0.985915492957746</v>
      </c>
      <c r="J308" s="34">
        <v>0.922077922077922</v>
      </c>
    </row>
    <row r="309" hidden="1">
      <c r="A309" s="33">
        <v>105.0</v>
      </c>
      <c r="B309" s="33" t="s">
        <v>837</v>
      </c>
      <c r="C309" s="33" t="s">
        <v>839</v>
      </c>
      <c r="D309" s="34">
        <v>0.773809523809523</v>
      </c>
      <c r="E309" s="34">
        <v>0.844155844155844</v>
      </c>
      <c r="F309" s="34">
        <v>0.925465838509316</v>
      </c>
      <c r="G309" s="34">
        <v>-1.0595238095238</v>
      </c>
      <c r="H309" s="34">
        <v>-0.0119047619047617</v>
      </c>
      <c r="I309" s="34">
        <v>0.984848484848484</v>
      </c>
      <c r="J309" s="34">
        <v>0.916666666666666</v>
      </c>
    </row>
    <row r="310" hidden="1">
      <c r="A310" s="36">
        <v>106.0</v>
      </c>
      <c r="B310" s="36" t="s">
        <v>837</v>
      </c>
      <c r="C310" s="36" t="s">
        <v>840</v>
      </c>
      <c r="D310" s="37">
        <v>0.773809523809523</v>
      </c>
      <c r="E310" s="37">
        <v>0.844155844155844</v>
      </c>
      <c r="F310" s="37">
        <v>0.925465838509316</v>
      </c>
      <c r="G310" s="37">
        <v>-1.0595238095238</v>
      </c>
      <c r="H310" s="37">
        <v>-9.92063492063377E-4</v>
      </c>
      <c r="I310" s="37">
        <v>0.998719590268886</v>
      </c>
      <c r="J310" s="37">
        <v>0.993055555555555</v>
      </c>
    </row>
    <row r="311" hidden="1">
      <c r="A311" s="33">
        <v>107.0</v>
      </c>
      <c r="B311" s="33" t="s">
        <v>848</v>
      </c>
      <c r="C311" s="33" t="s">
        <v>841</v>
      </c>
      <c r="D311" s="34">
        <v>0.773809523809523</v>
      </c>
      <c r="E311" s="34">
        <v>0.844155844155844</v>
      </c>
      <c r="F311" s="34">
        <v>0.925465838509316</v>
      </c>
      <c r="G311" s="34">
        <v>-1.0595238095238</v>
      </c>
      <c r="H311" s="34">
        <v>-9.92063492063377E-4</v>
      </c>
      <c r="I311" s="34">
        <v>0.998719590268886</v>
      </c>
      <c r="J311" s="34">
        <v>0.993055555555555</v>
      </c>
    </row>
    <row r="312" hidden="1">
      <c r="A312" s="33">
        <v>108.0</v>
      </c>
      <c r="B312" s="33" t="s">
        <v>848</v>
      </c>
      <c r="C312" s="33" t="s">
        <v>64</v>
      </c>
      <c r="D312" s="34">
        <v>0.773809523809523</v>
      </c>
      <c r="E312" s="34">
        <v>0.844155844155844</v>
      </c>
      <c r="F312" s="34">
        <v>0.925465838509316</v>
      </c>
      <c r="G312" s="34">
        <v>-1.0595238095238</v>
      </c>
      <c r="H312" s="34">
        <v>0.0208333333333333</v>
      </c>
      <c r="I312" s="34">
        <v>1.02766798418972</v>
      </c>
      <c r="J312" s="34">
        <v>1.14583333333333</v>
      </c>
    </row>
    <row r="313" hidden="1">
      <c r="A313" s="33">
        <v>109.0</v>
      </c>
      <c r="B313" s="33" t="s">
        <v>848</v>
      </c>
      <c r="C313" s="33" t="s">
        <v>972</v>
      </c>
      <c r="D313" s="34">
        <v>0.773809523809523</v>
      </c>
      <c r="E313" s="34">
        <v>0.844155844155844</v>
      </c>
      <c r="F313" s="34">
        <v>0.925465838509316</v>
      </c>
      <c r="G313" s="34">
        <v>-1.0595238095238</v>
      </c>
      <c r="H313" s="34">
        <v>0.0208333333333333</v>
      </c>
      <c r="I313" s="34">
        <v>1.02766798418972</v>
      </c>
      <c r="J313" s="34">
        <v>1.14583333333333</v>
      </c>
    </row>
    <row r="314" hidden="1">
      <c r="A314" s="33">
        <v>104.0</v>
      </c>
      <c r="B314" s="33" t="s">
        <v>971</v>
      </c>
      <c r="C314" s="33" t="s">
        <v>972</v>
      </c>
      <c r="D314" s="34">
        <v>0.702380952380952</v>
      </c>
      <c r="E314" s="34">
        <v>0.842857142857142</v>
      </c>
      <c r="F314" s="34">
        <v>0.928571428571428</v>
      </c>
      <c r="G314" s="34">
        <v>-0.964285714285714</v>
      </c>
      <c r="H314" s="34">
        <v>0.0178571428571427</v>
      </c>
      <c r="I314" s="34">
        <v>1.02608695652173</v>
      </c>
      <c r="J314" s="34">
        <v>1.13636363636363</v>
      </c>
    </row>
    <row r="315" hidden="1">
      <c r="A315" s="33">
        <v>99.0</v>
      </c>
      <c r="B315" s="33" t="s">
        <v>836</v>
      </c>
      <c r="C315" s="33" t="s">
        <v>839</v>
      </c>
      <c r="D315" s="34">
        <v>0.738095238095238</v>
      </c>
      <c r="E315" s="34">
        <v>0.837837837837837</v>
      </c>
      <c r="F315" s="34">
        <v>0.924050632911392</v>
      </c>
      <c r="G315" s="34">
        <v>-1.02380952380952</v>
      </c>
      <c r="H315" s="34">
        <v>-0.0170068027210883</v>
      </c>
      <c r="I315" s="34">
        <v>0.977477477477477</v>
      </c>
      <c r="J315" s="34">
        <v>0.88095238095238</v>
      </c>
    </row>
    <row r="316" hidden="1">
      <c r="A316" s="36">
        <v>100.0</v>
      </c>
      <c r="B316" s="36" t="s">
        <v>836</v>
      </c>
      <c r="C316" s="36" t="s">
        <v>840</v>
      </c>
      <c r="D316" s="37">
        <v>0.738095238095238</v>
      </c>
      <c r="E316" s="37">
        <v>0.837837837837837</v>
      </c>
      <c r="F316" s="37">
        <v>0.924050632911392</v>
      </c>
      <c r="G316" s="37">
        <v>-1.02380952380952</v>
      </c>
      <c r="H316" s="37">
        <v>-0.00651927437641719</v>
      </c>
      <c r="I316" s="37">
        <v>0.991244765892653</v>
      </c>
      <c r="J316" s="37">
        <v>0.954365079365079</v>
      </c>
    </row>
    <row r="317" hidden="1">
      <c r="A317" s="33">
        <v>101.0</v>
      </c>
      <c r="B317" s="33" t="s">
        <v>836</v>
      </c>
      <c r="C317" s="33" t="s">
        <v>1002</v>
      </c>
      <c r="D317" s="34">
        <v>0.738095238095238</v>
      </c>
      <c r="E317" s="34">
        <v>0.837837837837837</v>
      </c>
      <c r="F317" s="34">
        <v>0.924050632911392</v>
      </c>
      <c r="G317" s="34">
        <v>-1.02380952380952</v>
      </c>
      <c r="H317" s="34">
        <v>-0.0170068027210883</v>
      </c>
      <c r="I317" s="34">
        <v>0.977477477477477</v>
      </c>
      <c r="J317" s="34">
        <v>0.88095238095238</v>
      </c>
    </row>
    <row r="318" hidden="1">
      <c r="A318" s="33">
        <v>102.0</v>
      </c>
      <c r="B318" s="33" t="s">
        <v>836</v>
      </c>
      <c r="C318" s="33" t="s">
        <v>1003</v>
      </c>
      <c r="D318" s="34">
        <v>0.738095238095238</v>
      </c>
      <c r="E318" s="34">
        <v>0.837837837837837</v>
      </c>
      <c r="F318" s="34">
        <v>0.924050632911392</v>
      </c>
      <c r="G318" s="34">
        <v>-1.02380952380952</v>
      </c>
      <c r="H318" s="34">
        <v>-0.0170068027210883</v>
      </c>
      <c r="I318" s="34">
        <v>0.977477477477477</v>
      </c>
      <c r="J318" s="34">
        <v>0.88095238095238</v>
      </c>
    </row>
    <row r="319" hidden="1">
      <c r="A319" s="33">
        <v>103.0</v>
      </c>
      <c r="B319" s="33" t="s">
        <v>836</v>
      </c>
      <c r="C319" s="33" t="s">
        <v>1004</v>
      </c>
      <c r="D319" s="34">
        <v>0.738095238095238</v>
      </c>
      <c r="E319" s="34">
        <v>0.837837837837837</v>
      </c>
      <c r="F319" s="34">
        <v>0.924050632911392</v>
      </c>
      <c r="G319" s="34">
        <v>-1.02380952380952</v>
      </c>
      <c r="H319" s="34">
        <v>-0.0170068027210883</v>
      </c>
      <c r="I319" s="34">
        <v>0.977477477477477</v>
      </c>
      <c r="J319" s="34">
        <v>0.88095238095238</v>
      </c>
    </row>
    <row r="320" hidden="1">
      <c r="A320" s="33">
        <v>98.0</v>
      </c>
      <c r="B320" s="33" t="s">
        <v>835</v>
      </c>
      <c r="C320" s="33" t="s">
        <v>971</v>
      </c>
      <c r="D320" s="34">
        <v>0.726190476190476</v>
      </c>
      <c r="E320" s="34">
        <v>0.835616438356164</v>
      </c>
      <c r="F320" s="34">
        <v>0.923566878980891</v>
      </c>
      <c r="G320" s="34">
        <v>-1.01190476190476</v>
      </c>
      <c r="H320" s="34">
        <v>0.00198412698412686</v>
      </c>
      <c r="I320" s="34">
        <v>1.00273972602739</v>
      </c>
      <c r="J320" s="34">
        <v>1.01388888888888</v>
      </c>
    </row>
    <row r="321" hidden="1">
      <c r="A321" s="33">
        <v>88.0</v>
      </c>
      <c r="B321" s="33" t="s">
        <v>826</v>
      </c>
      <c r="C321" s="33" t="s">
        <v>841</v>
      </c>
      <c r="D321" s="34">
        <v>0.773809523809523</v>
      </c>
      <c r="E321" s="34">
        <v>0.833333333333333</v>
      </c>
      <c r="F321" s="34">
        <v>0.919753086419753</v>
      </c>
      <c r="G321" s="34">
        <v>-1.08333333333333</v>
      </c>
      <c r="H321" s="34">
        <v>-0.0110544217687075</v>
      </c>
      <c r="I321" s="34">
        <v>0.985915492957746</v>
      </c>
      <c r="J321" s="34">
        <v>0.928571428571428</v>
      </c>
    </row>
    <row r="322" hidden="1">
      <c r="A322" s="33">
        <v>89.0</v>
      </c>
      <c r="B322" s="33" t="s">
        <v>826</v>
      </c>
      <c r="C322" s="33" t="s">
        <v>840</v>
      </c>
      <c r="D322" s="34">
        <v>0.773809523809523</v>
      </c>
      <c r="E322" s="34">
        <v>0.833333333333333</v>
      </c>
      <c r="F322" s="34">
        <v>0.919753086419753</v>
      </c>
      <c r="G322" s="34">
        <v>-1.08333333333333</v>
      </c>
      <c r="H322" s="34">
        <v>-0.0110544217687075</v>
      </c>
      <c r="I322" s="34">
        <v>0.985915492957746</v>
      </c>
      <c r="J322" s="34">
        <v>0.928571428571428</v>
      </c>
    </row>
    <row r="323" hidden="1">
      <c r="A323" s="33">
        <v>90.0</v>
      </c>
      <c r="B323" s="33" t="s">
        <v>825</v>
      </c>
      <c r="C323" s="33" t="s">
        <v>840</v>
      </c>
      <c r="D323" s="34">
        <v>0.773809523809523</v>
      </c>
      <c r="E323" s="34">
        <v>0.833333333333333</v>
      </c>
      <c r="F323" s="34">
        <v>0.919753086419753</v>
      </c>
      <c r="G323" s="34">
        <v>-1.08333333333333</v>
      </c>
      <c r="H323" s="34">
        <v>-0.0110544217687075</v>
      </c>
      <c r="I323" s="34">
        <v>0.985915492957746</v>
      </c>
      <c r="J323" s="34">
        <v>0.928571428571428</v>
      </c>
    </row>
    <row r="324" hidden="1">
      <c r="A324" s="33">
        <v>93.0</v>
      </c>
      <c r="B324" s="33" t="s">
        <v>826</v>
      </c>
      <c r="C324" s="33" t="s">
        <v>963</v>
      </c>
      <c r="D324" s="34">
        <v>0.773809523809523</v>
      </c>
      <c r="E324" s="34">
        <v>0.833333333333333</v>
      </c>
      <c r="F324" s="34">
        <v>0.919753086419753</v>
      </c>
      <c r="G324" s="34">
        <v>-1.08333333333333</v>
      </c>
      <c r="H324" s="34">
        <v>0.0221088435374149</v>
      </c>
      <c r="I324" s="34">
        <v>1.02941176470588</v>
      </c>
      <c r="J324" s="34">
        <v>1.14285714285714</v>
      </c>
    </row>
    <row r="325" hidden="1">
      <c r="A325" s="33">
        <v>91.0</v>
      </c>
      <c r="B325" s="33" t="s">
        <v>1002</v>
      </c>
      <c r="C325" s="33" t="s">
        <v>841</v>
      </c>
      <c r="D325" s="34">
        <v>0.714285714285714</v>
      </c>
      <c r="E325" s="34">
        <v>0.833333333333333</v>
      </c>
      <c r="F325" s="34">
        <v>0.923076923076923</v>
      </c>
      <c r="G325" s="34">
        <v>-0.999999999999999</v>
      </c>
      <c r="H325" s="34">
        <v>-0.0102040816326529</v>
      </c>
      <c r="I325" s="34">
        <v>0.985915492957746</v>
      </c>
      <c r="J325" s="34">
        <v>0.928571428571428</v>
      </c>
    </row>
    <row r="326" hidden="1">
      <c r="A326" s="33">
        <v>92.0</v>
      </c>
      <c r="B326" s="33" t="s">
        <v>1003</v>
      </c>
      <c r="C326" s="33" t="s">
        <v>840</v>
      </c>
      <c r="D326" s="34">
        <v>0.714285714285714</v>
      </c>
      <c r="E326" s="34">
        <v>0.833333333333333</v>
      </c>
      <c r="F326" s="34">
        <v>0.923076923076923</v>
      </c>
      <c r="G326" s="34">
        <v>-0.999999999999999</v>
      </c>
      <c r="H326" s="34">
        <v>-0.0102040816326529</v>
      </c>
      <c r="I326" s="34">
        <v>0.985915492957746</v>
      </c>
      <c r="J326" s="34">
        <v>0.928571428571428</v>
      </c>
    </row>
    <row r="327" hidden="1">
      <c r="A327" s="33">
        <v>94.0</v>
      </c>
      <c r="B327" s="33" t="s">
        <v>1004</v>
      </c>
      <c r="C327" s="33" t="s">
        <v>841</v>
      </c>
      <c r="D327" s="34">
        <v>0.714285714285714</v>
      </c>
      <c r="E327" s="34">
        <v>0.833333333333333</v>
      </c>
      <c r="F327" s="34">
        <v>0.923076923076923</v>
      </c>
      <c r="G327" s="34">
        <v>-0.999999999999999</v>
      </c>
      <c r="H327" s="34">
        <v>-0.0102040816326529</v>
      </c>
      <c r="I327" s="34">
        <v>0.985915492957746</v>
      </c>
      <c r="J327" s="34">
        <v>0.928571428571428</v>
      </c>
    </row>
    <row r="328" hidden="1">
      <c r="A328" s="33">
        <v>95.0</v>
      </c>
      <c r="B328" s="33" t="s">
        <v>1002</v>
      </c>
      <c r="C328" s="33" t="s">
        <v>971</v>
      </c>
      <c r="D328" s="34">
        <v>0.714285714285714</v>
      </c>
      <c r="E328" s="34">
        <v>0.833333333333333</v>
      </c>
      <c r="F328" s="34">
        <v>0.923076923076923</v>
      </c>
      <c r="G328" s="34">
        <v>-0.999999999999999</v>
      </c>
      <c r="H328" s="34">
        <v>0.0</v>
      </c>
      <c r="I328" s="34">
        <v>1.0</v>
      </c>
      <c r="J328" s="34">
        <v>1.0</v>
      </c>
    </row>
    <row r="329" hidden="1">
      <c r="A329" s="33">
        <v>96.0</v>
      </c>
      <c r="B329" s="33" t="s">
        <v>1003</v>
      </c>
      <c r="C329" s="33" t="s">
        <v>989</v>
      </c>
      <c r="D329" s="34">
        <v>0.714285714285714</v>
      </c>
      <c r="E329" s="34">
        <v>0.833333333333333</v>
      </c>
      <c r="F329" s="34">
        <v>0.923076923076923</v>
      </c>
      <c r="G329" s="34">
        <v>-0.999999999999999</v>
      </c>
      <c r="H329" s="34">
        <v>-0.0102040816326529</v>
      </c>
      <c r="I329" s="34">
        <v>0.985915492957746</v>
      </c>
      <c r="J329" s="34">
        <v>0.928571428571428</v>
      </c>
    </row>
    <row r="330" hidden="1">
      <c r="A330" s="33">
        <v>97.0</v>
      </c>
      <c r="B330" s="33" t="s">
        <v>1004</v>
      </c>
      <c r="C330" s="33" t="s">
        <v>988</v>
      </c>
      <c r="D330" s="34">
        <v>0.714285714285714</v>
      </c>
      <c r="E330" s="34">
        <v>0.833333333333333</v>
      </c>
      <c r="F330" s="34">
        <v>0.923076923076923</v>
      </c>
      <c r="G330" s="34">
        <v>-0.999999999999999</v>
      </c>
      <c r="H330" s="34">
        <v>-0.0102040816326529</v>
      </c>
      <c r="I330" s="34">
        <v>0.985915492957746</v>
      </c>
      <c r="J330" s="34">
        <v>0.928571428571428</v>
      </c>
    </row>
    <row r="331" hidden="1">
      <c r="A331" s="36">
        <v>85.0</v>
      </c>
      <c r="B331" s="36" t="s">
        <v>837</v>
      </c>
      <c r="C331" s="36" t="s">
        <v>841</v>
      </c>
      <c r="D331" s="37">
        <v>0.761904761904761</v>
      </c>
      <c r="E331" s="37">
        <v>0.831168831168831</v>
      </c>
      <c r="F331" s="37">
        <v>0.919254658385093</v>
      </c>
      <c r="G331" s="37">
        <v>-1.07142857142857</v>
      </c>
      <c r="H331" s="37">
        <v>-0.0128968253968253</v>
      </c>
      <c r="I331" s="37">
        <v>0.983354673495518</v>
      </c>
      <c r="J331" s="37">
        <v>0.916666666666666</v>
      </c>
    </row>
    <row r="332" hidden="1">
      <c r="A332" s="33">
        <v>86.0</v>
      </c>
      <c r="B332" s="33" t="s">
        <v>837</v>
      </c>
      <c r="C332" s="33" t="s">
        <v>989</v>
      </c>
      <c r="D332" s="34">
        <v>0.761904761904761</v>
      </c>
      <c r="E332" s="34">
        <v>0.831168831168831</v>
      </c>
      <c r="F332" s="34">
        <v>0.919254658385093</v>
      </c>
      <c r="G332" s="34">
        <v>-1.07142857142857</v>
      </c>
      <c r="H332" s="34">
        <v>-0.0128968253968253</v>
      </c>
      <c r="I332" s="34">
        <v>0.983354673495518</v>
      </c>
      <c r="J332" s="34">
        <v>0.916666666666666</v>
      </c>
    </row>
    <row r="333" hidden="1">
      <c r="A333" s="33">
        <v>87.0</v>
      </c>
      <c r="B333" s="33" t="s">
        <v>848</v>
      </c>
      <c r="C333" s="33" t="s">
        <v>988</v>
      </c>
      <c r="D333" s="34">
        <v>0.761904761904761</v>
      </c>
      <c r="E333" s="34">
        <v>0.831168831168831</v>
      </c>
      <c r="F333" s="34">
        <v>0.919254658385093</v>
      </c>
      <c r="G333" s="34">
        <v>-1.07142857142857</v>
      </c>
      <c r="H333" s="34">
        <v>-0.0128968253968253</v>
      </c>
      <c r="I333" s="34">
        <v>0.983354673495518</v>
      </c>
      <c r="J333" s="34">
        <v>0.916666666666666</v>
      </c>
    </row>
    <row r="334" hidden="1">
      <c r="A334" s="36">
        <v>67.0</v>
      </c>
      <c r="B334" s="36" t="s">
        <v>840</v>
      </c>
      <c r="C334" s="36" t="s">
        <v>839</v>
      </c>
      <c r="D334" s="37">
        <v>0.702380952380952</v>
      </c>
      <c r="E334" s="37">
        <v>0.830985915492957</v>
      </c>
      <c r="F334" s="37">
        <v>0.92258064516129</v>
      </c>
      <c r="G334" s="37">
        <v>-0.988095238095238</v>
      </c>
      <c r="H334" s="37">
        <v>-0.0221088435374149</v>
      </c>
      <c r="I334" s="37">
        <v>0.969483568075117</v>
      </c>
      <c r="J334" s="37">
        <v>0.845238095238095</v>
      </c>
    </row>
    <row r="335" hidden="1">
      <c r="A335" s="36">
        <v>68.0</v>
      </c>
      <c r="B335" s="36" t="s">
        <v>841</v>
      </c>
      <c r="C335" s="36" t="s">
        <v>64</v>
      </c>
      <c r="D335" s="37">
        <v>0.702380952380952</v>
      </c>
      <c r="E335" s="37">
        <v>0.830985915492957</v>
      </c>
      <c r="F335" s="37">
        <v>0.92258064516129</v>
      </c>
      <c r="G335" s="37">
        <v>-0.988095238095238</v>
      </c>
      <c r="H335" s="37">
        <v>0.00807823129251694</v>
      </c>
      <c r="I335" s="37">
        <v>1.01163502755664</v>
      </c>
      <c r="J335" s="37">
        <v>1.05654761904761</v>
      </c>
    </row>
    <row r="336" hidden="1">
      <c r="A336" s="33">
        <v>69.0</v>
      </c>
      <c r="B336" s="33" t="s">
        <v>840</v>
      </c>
      <c r="C336" s="33" t="s">
        <v>830</v>
      </c>
      <c r="D336" s="34">
        <v>0.702380952380952</v>
      </c>
      <c r="E336" s="34">
        <v>0.830985915492957</v>
      </c>
      <c r="F336" s="34">
        <v>0.92258064516129</v>
      </c>
      <c r="G336" s="34">
        <v>-0.988095238095238</v>
      </c>
      <c r="H336" s="34">
        <v>0.00807823129251694</v>
      </c>
      <c r="I336" s="34">
        <v>1.01163502755664</v>
      </c>
      <c r="J336" s="34">
        <v>1.05654761904761</v>
      </c>
    </row>
    <row r="337" hidden="1">
      <c r="A337" s="33">
        <v>70.0</v>
      </c>
      <c r="B337" s="33" t="s">
        <v>840</v>
      </c>
      <c r="C337" s="33" t="s">
        <v>1002</v>
      </c>
      <c r="D337" s="34">
        <v>0.702380952380952</v>
      </c>
      <c r="E337" s="34">
        <v>0.830985915492957</v>
      </c>
      <c r="F337" s="34">
        <v>0.92258064516129</v>
      </c>
      <c r="G337" s="34">
        <v>-0.988095238095238</v>
      </c>
      <c r="H337" s="34">
        <v>-0.0221088435374149</v>
      </c>
      <c r="I337" s="34">
        <v>0.969483568075117</v>
      </c>
      <c r="J337" s="34">
        <v>0.845238095238095</v>
      </c>
    </row>
    <row r="338" hidden="1">
      <c r="A338" s="33">
        <v>71.0</v>
      </c>
      <c r="B338" s="33" t="s">
        <v>841</v>
      </c>
      <c r="C338" s="33" t="s">
        <v>1003</v>
      </c>
      <c r="D338" s="34">
        <v>0.702380952380952</v>
      </c>
      <c r="E338" s="34">
        <v>0.830985915492957</v>
      </c>
      <c r="F338" s="34">
        <v>0.92258064516129</v>
      </c>
      <c r="G338" s="34">
        <v>-0.988095238095238</v>
      </c>
      <c r="H338" s="34">
        <v>-0.0221088435374149</v>
      </c>
      <c r="I338" s="34">
        <v>0.969483568075117</v>
      </c>
      <c r="J338" s="34">
        <v>0.845238095238095</v>
      </c>
    </row>
    <row r="339" hidden="1">
      <c r="A339" s="33">
        <v>72.0</v>
      </c>
      <c r="B339" s="33" t="s">
        <v>840</v>
      </c>
      <c r="C339" s="33" t="s">
        <v>973</v>
      </c>
      <c r="D339" s="34">
        <v>0.702380952380952</v>
      </c>
      <c r="E339" s="34">
        <v>0.830985915492957</v>
      </c>
      <c r="F339" s="34">
        <v>0.92258064516129</v>
      </c>
      <c r="G339" s="34">
        <v>-0.988095238095238</v>
      </c>
      <c r="H339" s="34">
        <v>0.0181405895691609</v>
      </c>
      <c r="I339" s="34">
        <v>1.026512013256</v>
      </c>
      <c r="J339" s="34">
        <v>1.12698412698412</v>
      </c>
    </row>
    <row r="340" hidden="1">
      <c r="A340" s="33">
        <v>73.0</v>
      </c>
      <c r="B340" s="33" t="s">
        <v>988</v>
      </c>
      <c r="C340" s="33" t="s">
        <v>839</v>
      </c>
      <c r="D340" s="34">
        <v>0.702380952380952</v>
      </c>
      <c r="E340" s="34">
        <v>0.830985915492957</v>
      </c>
      <c r="F340" s="34">
        <v>0.92258064516129</v>
      </c>
      <c r="G340" s="34">
        <v>-0.988095238095238</v>
      </c>
      <c r="H340" s="34">
        <v>-0.0221088435374149</v>
      </c>
      <c r="I340" s="34">
        <v>0.969483568075117</v>
      </c>
      <c r="J340" s="34">
        <v>0.845238095238095</v>
      </c>
    </row>
    <row r="341" hidden="1">
      <c r="A341" s="33">
        <v>74.0</v>
      </c>
      <c r="B341" s="33" t="s">
        <v>988</v>
      </c>
      <c r="C341" s="33" t="s">
        <v>841</v>
      </c>
      <c r="D341" s="34">
        <v>0.702380952380952</v>
      </c>
      <c r="E341" s="34">
        <v>0.830985915492957</v>
      </c>
      <c r="F341" s="34">
        <v>0.92258064516129</v>
      </c>
      <c r="G341" s="34">
        <v>-0.988095238095238</v>
      </c>
      <c r="H341" s="34">
        <v>-0.012046485260771</v>
      </c>
      <c r="I341" s="34">
        <v>0.98313826621702</v>
      </c>
      <c r="J341" s="34">
        <v>0.915674603174603</v>
      </c>
    </row>
    <row r="342" hidden="1">
      <c r="A342" s="33">
        <v>75.0</v>
      </c>
      <c r="B342" s="33" t="s">
        <v>841</v>
      </c>
      <c r="C342" s="33" t="s">
        <v>988</v>
      </c>
      <c r="D342" s="34">
        <v>0.702380952380952</v>
      </c>
      <c r="E342" s="34">
        <v>0.830985915492957</v>
      </c>
      <c r="F342" s="34">
        <v>0.92258064516129</v>
      </c>
      <c r="G342" s="34">
        <v>-0.988095238095238</v>
      </c>
      <c r="H342" s="34">
        <v>-0.012046485260771</v>
      </c>
      <c r="I342" s="34">
        <v>0.98313826621702</v>
      </c>
      <c r="J342" s="34">
        <v>0.915674603174603</v>
      </c>
    </row>
    <row r="343" hidden="1">
      <c r="A343" s="33">
        <v>76.0</v>
      </c>
      <c r="B343" s="33" t="s">
        <v>988</v>
      </c>
      <c r="C343" s="33" t="s">
        <v>840</v>
      </c>
      <c r="D343" s="34">
        <v>0.702380952380952</v>
      </c>
      <c r="E343" s="34">
        <v>0.830985915492957</v>
      </c>
      <c r="F343" s="34">
        <v>0.92258064516129</v>
      </c>
      <c r="G343" s="34">
        <v>-0.988095238095238</v>
      </c>
      <c r="H343" s="34">
        <v>-0.012046485260771</v>
      </c>
      <c r="I343" s="34">
        <v>0.98313826621702</v>
      </c>
      <c r="J343" s="34">
        <v>0.915674603174603</v>
      </c>
    </row>
    <row r="344" hidden="1">
      <c r="A344" s="33">
        <v>77.0</v>
      </c>
      <c r="B344" s="33" t="s">
        <v>840</v>
      </c>
      <c r="C344" s="33" t="s">
        <v>988</v>
      </c>
      <c r="D344" s="34">
        <v>0.702380952380952</v>
      </c>
      <c r="E344" s="34">
        <v>0.830985915492957</v>
      </c>
      <c r="F344" s="34">
        <v>0.92258064516129</v>
      </c>
      <c r="G344" s="34">
        <v>-0.988095238095238</v>
      </c>
      <c r="H344" s="34">
        <v>-0.012046485260771</v>
      </c>
      <c r="I344" s="34">
        <v>0.98313826621702</v>
      </c>
      <c r="J344" s="34">
        <v>0.915674603174603</v>
      </c>
    </row>
    <row r="345" hidden="1">
      <c r="A345" s="33">
        <v>78.0</v>
      </c>
      <c r="B345" s="33" t="s">
        <v>989</v>
      </c>
      <c r="C345" s="33" t="s">
        <v>64</v>
      </c>
      <c r="D345" s="34">
        <v>0.702380952380952</v>
      </c>
      <c r="E345" s="34">
        <v>0.830985915492957</v>
      </c>
      <c r="F345" s="34">
        <v>0.92258064516129</v>
      </c>
      <c r="G345" s="34">
        <v>-0.988095238095238</v>
      </c>
      <c r="H345" s="34">
        <v>0.00807823129251694</v>
      </c>
      <c r="I345" s="34">
        <v>1.01163502755664</v>
      </c>
      <c r="J345" s="34">
        <v>1.05654761904761</v>
      </c>
    </row>
    <row r="346" hidden="1">
      <c r="A346" s="33">
        <v>79.0</v>
      </c>
      <c r="B346" s="33" t="s">
        <v>841</v>
      </c>
      <c r="C346" s="33" t="s">
        <v>1006</v>
      </c>
      <c r="D346" s="34">
        <v>0.702380952380952</v>
      </c>
      <c r="E346" s="34">
        <v>0.830985915492957</v>
      </c>
      <c r="F346" s="34">
        <v>0.92258064516129</v>
      </c>
      <c r="G346" s="34">
        <v>-0.988095238095238</v>
      </c>
      <c r="H346" s="34">
        <v>0.0181405895691609</v>
      </c>
      <c r="I346" s="34">
        <v>1.026512013256</v>
      </c>
      <c r="J346" s="34">
        <v>1.12698412698412</v>
      </c>
    </row>
    <row r="347" hidden="1">
      <c r="A347" s="33">
        <v>80.0</v>
      </c>
      <c r="B347" s="33" t="s">
        <v>840</v>
      </c>
      <c r="C347" s="33" t="s">
        <v>965</v>
      </c>
      <c r="D347" s="34">
        <v>0.702380952380952</v>
      </c>
      <c r="E347" s="34">
        <v>0.830985915492957</v>
      </c>
      <c r="F347" s="34">
        <v>0.92258064516129</v>
      </c>
      <c r="G347" s="34">
        <v>-0.988095238095238</v>
      </c>
      <c r="H347" s="34">
        <v>0.0282029478458049</v>
      </c>
      <c r="I347" s="34">
        <v>1.04183308808072</v>
      </c>
      <c r="J347" s="34">
        <v>1.19742063492063</v>
      </c>
    </row>
    <row r="348" hidden="1">
      <c r="A348" s="33">
        <v>81.0</v>
      </c>
      <c r="B348" s="33" t="s">
        <v>840</v>
      </c>
      <c r="C348" s="33" t="s">
        <v>974</v>
      </c>
      <c r="D348" s="34">
        <v>0.702380952380952</v>
      </c>
      <c r="E348" s="34">
        <v>0.830985915492957</v>
      </c>
      <c r="F348" s="34">
        <v>0.92258064516129</v>
      </c>
      <c r="G348" s="34">
        <v>-0.988095238095238</v>
      </c>
      <c r="H348" s="34">
        <v>0.0282029478458049</v>
      </c>
      <c r="I348" s="34">
        <v>1.04183308808072</v>
      </c>
      <c r="J348" s="34">
        <v>1.19742063492063</v>
      </c>
    </row>
    <row r="349" hidden="1">
      <c r="A349" s="33">
        <v>82.0</v>
      </c>
      <c r="B349" s="33" t="s">
        <v>988</v>
      </c>
      <c r="C349" s="33" t="s">
        <v>973</v>
      </c>
      <c r="D349" s="34">
        <v>0.702380952380952</v>
      </c>
      <c r="E349" s="34">
        <v>0.830985915492957</v>
      </c>
      <c r="F349" s="34">
        <v>0.92258064516129</v>
      </c>
      <c r="G349" s="34">
        <v>-0.988095238095238</v>
      </c>
      <c r="H349" s="34">
        <v>0.0181405895691609</v>
      </c>
      <c r="I349" s="34">
        <v>1.026512013256</v>
      </c>
      <c r="J349" s="34">
        <v>1.12698412698412</v>
      </c>
    </row>
    <row r="350" hidden="1">
      <c r="A350" s="33">
        <v>83.0</v>
      </c>
      <c r="B350" s="33" t="s">
        <v>989</v>
      </c>
      <c r="C350" s="33" t="s">
        <v>973</v>
      </c>
      <c r="D350" s="34">
        <v>0.702380952380952</v>
      </c>
      <c r="E350" s="34">
        <v>0.830985915492957</v>
      </c>
      <c r="F350" s="34">
        <v>0.92258064516129</v>
      </c>
      <c r="G350" s="34">
        <v>-0.988095238095238</v>
      </c>
      <c r="H350" s="34">
        <v>0.0181405895691609</v>
      </c>
      <c r="I350" s="34">
        <v>1.026512013256</v>
      </c>
      <c r="J350" s="34">
        <v>1.12698412698412</v>
      </c>
    </row>
    <row r="351" hidden="1">
      <c r="A351" s="33">
        <v>84.0</v>
      </c>
      <c r="B351" s="33" t="s">
        <v>989</v>
      </c>
      <c r="C351" s="33" t="s">
        <v>972</v>
      </c>
      <c r="D351" s="34">
        <v>0.702380952380952</v>
      </c>
      <c r="E351" s="34">
        <v>0.830985915492957</v>
      </c>
      <c r="F351" s="34">
        <v>0.92258064516129</v>
      </c>
      <c r="G351" s="34">
        <v>-0.988095238095238</v>
      </c>
      <c r="H351" s="34">
        <v>0.00807823129251694</v>
      </c>
      <c r="I351" s="34">
        <v>1.01163502755664</v>
      </c>
      <c r="J351" s="34">
        <v>1.05654761904761</v>
      </c>
    </row>
    <row r="352" hidden="1">
      <c r="A352" s="33">
        <v>64.0</v>
      </c>
      <c r="B352" s="33" t="s">
        <v>836</v>
      </c>
      <c r="C352" s="33" t="s">
        <v>64</v>
      </c>
      <c r="D352" s="34">
        <v>0.726190476190476</v>
      </c>
      <c r="E352" s="34">
        <v>0.824324324324324</v>
      </c>
      <c r="F352" s="34">
        <v>0.917721518987341</v>
      </c>
      <c r="G352" s="34">
        <v>-1.03571428571428</v>
      </c>
      <c r="H352" s="34">
        <v>0.00255102040816324</v>
      </c>
      <c r="I352" s="34">
        <v>1.00352526439482</v>
      </c>
      <c r="J352" s="34">
        <v>1.01648351648351</v>
      </c>
    </row>
    <row r="353" hidden="1">
      <c r="A353" s="33">
        <v>65.0</v>
      </c>
      <c r="B353" s="33" t="s">
        <v>836</v>
      </c>
      <c r="C353" s="33" t="s">
        <v>988</v>
      </c>
      <c r="D353" s="34">
        <v>0.726190476190476</v>
      </c>
      <c r="E353" s="34">
        <v>0.824324324324324</v>
      </c>
      <c r="F353" s="34">
        <v>0.917721518987341</v>
      </c>
      <c r="G353" s="34">
        <v>-1.03571428571428</v>
      </c>
      <c r="H353" s="34">
        <v>-0.0184240362811791</v>
      </c>
      <c r="I353" s="34">
        <v>0.975256947087933</v>
      </c>
      <c r="J353" s="34">
        <v>0.88095238095238</v>
      </c>
    </row>
    <row r="354" hidden="1">
      <c r="A354" s="33">
        <v>66.0</v>
      </c>
      <c r="B354" s="33" t="s">
        <v>836</v>
      </c>
      <c r="C354" s="33" t="s">
        <v>989</v>
      </c>
      <c r="D354" s="34">
        <v>0.726190476190476</v>
      </c>
      <c r="E354" s="34">
        <v>0.824324324324324</v>
      </c>
      <c r="F354" s="34">
        <v>0.917721518987341</v>
      </c>
      <c r="G354" s="34">
        <v>-1.03571428571428</v>
      </c>
      <c r="H354" s="34">
        <v>-0.0184240362811791</v>
      </c>
      <c r="I354" s="34">
        <v>0.975256947087933</v>
      </c>
      <c r="J354" s="34">
        <v>0.88095238095238</v>
      </c>
    </row>
    <row r="355" hidden="1">
      <c r="A355" s="36">
        <v>58.0</v>
      </c>
      <c r="B355" s="36" t="s">
        <v>835</v>
      </c>
      <c r="C355" s="36" t="s">
        <v>841</v>
      </c>
      <c r="D355" s="37">
        <v>0.714285714285714</v>
      </c>
      <c r="E355" s="37">
        <v>0.821917808219178</v>
      </c>
      <c r="F355" s="37">
        <v>0.917197452229299</v>
      </c>
      <c r="G355" s="37">
        <v>-1.02380952380952</v>
      </c>
      <c r="H355" s="37">
        <v>-0.0202664399092969</v>
      </c>
      <c r="I355" s="37">
        <v>0.972409801273393</v>
      </c>
      <c r="J355" s="37">
        <v>0.869047619047619</v>
      </c>
    </row>
    <row r="356" hidden="1">
      <c r="A356" s="36">
        <v>59.0</v>
      </c>
      <c r="B356" s="36" t="s">
        <v>835</v>
      </c>
      <c r="C356" s="36" t="s">
        <v>64</v>
      </c>
      <c r="D356" s="37">
        <v>0.714285714285714</v>
      </c>
      <c r="E356" s="37">
        <v>0.821917808219178</v>
      </c>
      <c r="F356" s="37">
        <v>0.917197452229299</v>
      </c>
      <c r="G356" s="37">
        <v>-1.02380952380952</v>
      </c>
      <c r="H356" s="37">
        <v>4.25170068027225E-4</v>
      </c>
      <c r="I356" s="37">
        <v>1.00059559261465</v>
      </c>
      <c r="J356" s="37">
        <v>1.00274725274725</v>
      </c>
    </row>
    <row r="357" hidden="1">
      <c r="A357" s="36">
        <v>60.0</v>
      </c>
      <c r="B357" s="36" t="s">
        <v>835</v>
      </c>
      <c r="C357" s="36" t="s">
        <v>842</v>
      </c>
      <c r="D357" s="37">
        <v>0.714285714285714</v>
      </c>
      <c r="E357" s="37">
        <v>0.821917808219178</v>
      </c>
      <c r="F357" s="37">
        <v>0.917197452229299</v>
      </c>
      <c r="G357" s="37">
        <v>-1.02380952380952</v>
      </c>
      <c r="H357" s="37">
        <v>0.0107709750566893</v>
      </c>
      <c r="I357" s="37">
        <v>1.01531023368251</v>
      </c>
      <c r="J357" s="37">
        <v>1.06959706959706</v>
      </c>
    </row>
    <row r="358" hidden="1">
      <c r="A358" s="36">
        <v>61.0</v>
      </c>
      <c r="B358" s="36" t="s">
        <v>835</v>
      </c>
      <c r="C358" s="36" t="s">
        <v>843</v>
      </c>
      <c r="D358" s="37">
        <v>0.714285714285714</v>
      </c>
      <c r="E358" s="37">
        <v>0.821917808219178</v>
      </c>
      <c r="F358" s="37">
        <v>0.917197452229299</v>
      </c>
      <c r="G358" s="37">
        <v>-1.02380952380952</v>
      </c>
      <c r="H358" s="37">
        <v>0.0314625850340136</v>
      </c>
      <c r="I358" s="37">
        <v>1.04607721046077</v>
      </c>
      <c r="J358" s="37">
        <v>1.2032967032967</v>
      </c>
    </row>
    <row r="359" hidden="1">
      <c r="A359" s="33">
        <v>62.0</v>
      </c>
      <c r="B359" s="33" t="s">
        <v>835</v>
      </c>
      <c r="C359" s="33" t="s">
        <v>997</v>
      </c>
      <c r="D359" s="34">
        <v>0.714285714285714</v>
      </c>
      <c r="E359" s="34">
        <v>0.821917808219178</v>
      </c>
      <c r="F359" s="34">
        <v>0.917197452229299</v>
      </c>
      <c r="G359" s="34">
        <v>-1.02380952380952</v>
      </c>
      <c r="H359" s="34">
        <v>0.0418083900226756</v>
      </c>
      <c r="I359" s="34">
        <v>1.06217070600632</v>
      </c>
      <c r="J359" s="34">
        <v>1.27014652014652</v>
      </c>
    </row>
    <row r="360" hidden="1">
      <c r="A360" s="33">
        <v>63.0</v>
      </c>
      <c r="B360" s="33" t="s">
        <v>835</v>
      </c>
      <c r="C360" s="33" t="s">
        <v>1007</v>
      </c>
      <c r="D360" s="34">
        <v>0.714285714285714</v>
      </c>
      <c r="E360" s="34">
        <v>0.821917808219178</v>
      </c>
      <c r="F360" s="34">
        <v>0.917197452229299</v>
      </c>
      <c r="G360" s="34">
        <v>-1.02380952380952</v>
      </c>
      <c r="H360" s="34">
        <v>0.0211167800453514</v>
      </c>
      <c r="I360" s="34">
        <v>1.03046411776732</v>
      </c>
      <c r="J360" s="34">
        <v>1.13644688644688</v>
      </c>
    </row>
    <row r="361" hidden="1">
      <c r="A361" s="33">
        <v>53.0</v>
      </c>
      <c r="B361" s="33" t="s">
        <v>826</v>
      </c>
      <c r="C361" s="33" t="s">
        <v>64</v>
      </c>
      <c r="D361" s="34">
        <v>0.761904761904761</v>
      </c>
      <c r="E361" s="34">
        <v>0.82051282051282</v>
      </c>
      <c r="F361" s="34">
        <v>0.91358024691358</v>
      </c>
      <c r="G361" s="34">
        <v>-1.09523809523809</v>
      </c>
      <c r="H361" s="34">
        <v>-8.5034013605445E-4</v>
      </c>
      <c r="I361" s="34">
        <v>0.998885172798216</v>
      </c>
      <c r="J361" s="34">
        <v>0.994897959183673</v>
      </c>
    </row>
    <row r="362" hidden="1">
      <c r="A362" s="33">
        <v>54.0</v>
      </c>
      <c r="B362" s="33" t="s">
        <v>826</v>
      </c>
      <c r="C362" s="33" t="s">
        <v>842</v>
      </c>
      <c r="D362" s="34">
        <v>0.761904761904761</v>
      </c>
      <c r="E362" s="34">
        <v>0.82051282051282</v>
      </c>
      <c r="F362" s="34">
        <v>0.91358024691358</v>
      </c>
      <c r="G362" s="34">
        <v>-1.09523809523809</v>
      </c>
      <c r="H362" s="34">
        <v>0.0102040816326529</v>
      </c>
      <c r="I362" s="34">
        <v>1.01357466063348</v>
      </c>
      <c r="J362" s="34">
        <v>1.06122448979591</v>
      </c>
    </row>
    <row r="363" hidden="1">
      <c r="A363" s="33">
        <v>55.0</v>
      </c>
      <c r="B363" s="33" t="s">
        <v>826</v>
      </c>
      <c r="C363" s="33" t="s">
        <v>990</v>
      </c>
      <c r="D363" s="34">
        <v>0.761904761904761</v>
      </c>
      <c r="E363" s="34">
        <v>0.82051282051282</v>
      </c>
      <c r="F363" s="34">
        <v>0.91358024691358</v>
      </c>
      <c r="G363" s="34">
        <v>-1.09523809523809</v>
      </c>
      <c r="H363" s="34">
        <v>-8.5034013605445E-4</v>
      </c>
      <c r="I363" s="34">
        <v>0.998885172798216</v>
      </c>
      <c r="J363" s="34">
        <v>0.994897959183673</v>
      </c>
    </row>
    <row r="364" hidden="1">
      <c r="A364" s="33">
        <v>56.0</v>
      </c>
      <c r="B364" s="33" t="s">
        <v>825</v>
      </c>
      <c r="C364" s="33" t="s">
        <v>973</v>
      </c>
      <c r="D364" s="34">
        <v>0.761904761904761</v>
      </c>
      <c r="E364" s="34">
        <v>0.82051282051282</v>
      </c>
      <c r="F364" s="34">
        <v>0.91358024691358</v>
      </c>
      <c r="G364" s="34">
        <v>-1.09523809523809</v>
      </c>
      <c r="H364" s="34">
        <v>0.0102040816326529</v>
      </c>
      <c r="I364" s="34">
        <v>1.01357466063348</v>
      </c>
      <c r="J364" s="34">
        <v>1.06122448979591</v>
      </c>
    </row>
    <row r="365" hidden="1">
      <c r="A365" s="33">
        <v>57.0</v>
      </c>
      <c r="B365" s="33" t="s">
        <v>825</v>
      </c>
      <c r="C365" s="33" t="s">
        <v>971</v>
      </c>
      <c r="D365" s="34">
        <v>0.761904761904761</v>
      </c>
      <c r="E365" s="34">
        <v>0.82051282051282</v>
      </c>
      <c r="F365" s="34">
        <v>0.91358024691358</v>
      </c>
      <c r="G365" s="34">
        <v>-1.09523809523809</v>
      </c>
      <c r="H365" s="34">
        <v>-0.0119047619047619</v>
      </c>
      <c r="I365" s="34">
        <v>0.984615384615384</v>
      </c>
      <c r="J365" s="34">
        <v>0.928571428571428</v>
      </c>
    </row>
    <row r="366" hidden="1">
      <c r="A366" s="36">
        <v>32.0</v>
      </c>
      <c r="B366" s="36" t="s">
        <v>839</v>
      </c>
      <c r="C366" s="36" t="s">
        <v>840</v>
      </c>
      <c r="D366" s="37">
        <v>0.702380952380952</v>
      </c>
      <c r="E366" s="37">
        <v>0.819444444444444</v>
      </c>
      <c r="F366" s="37">
        <v>0.916666666666666</v>
      </c>
      <c r="G366" s="37">
        <v>-1.01190476190476</v>
      </c>
      <c r="H366" s="37">
        <v>-0.0221088435374149</v>
      </c>
      <c r="I366" s="37">
        <v>0.969483568075117</v>
      </c>
      <c r="J366" s="37">
        <v>0.857142857142857</v>
      </c>
    </row>
    <row r="367" hidden="1">
      <c r="A367" s="33">
        <v>33.0</v>
      </c>
      <c r="B367" s="33" t="s">
        <v>839</v>
      </c>
      <c r="C367" s="33" t="s">
        <v>830</v>
      </c>
      <c r="D367" s="34">
        <v>0.702380952380952</v>
      </c>
      <c r="E367" s="34">
        <v>0.819444444444444</v>
      </c>
      <c r="F367" s="34">
        <v>0.916666666666666</v>
      </c>
      <c r="G367" s="34">
        <v>-1.01190476190476</v>
      </c>
      <c r="H367" s="34">
        <v>-0.00170068027210879</v>
      </c>
      <c r="I367" s="34">
        <v>0.997584541062801</v>
      </c>
      <c r="J367" s="34">
        <v>0.989010989010989</v>
      </c>
    </row>
    <row r="368" hidden="1">
      <c r="A368" s="36">
        <v>34.0</v>
      </c>
      <c r="B368" s="36" t="s">
        <v>839</v>
      </c>
      <c r="C368" s="36" t="s">
        <v>843</v>
      </c>
      <c r="D368" s="37">
        <v>0.702380952380952</v>
      </c>
      <c r="E368" s="37">
        <v>0.819444444444444</v>
      </c>
      <c r="F368" s="37">
        <v>0.916666666666666</v>
      </c>
      <c r="G368" s="37">
        <v>-1.01190476190476</v>
      </c>
      <c r="H368" s="37">
        <v>0.0289115646258503</v>
      </c>
      <c r="I368" s="37">
        <v>1.04292929292929</v>
      </c>
      <c r="J368" s="37">
        <v>1.18681318681318</v>
      </c>
    </row>
    <row r="369" hidden="1">
      <c r="A369" s="33">
        <v>35.0</v>
      </c>
      <c r="B369" s="33" t="s">
        <v>1002</v>
      </c>
      <c r="C369" s="33" t="s">
        <v>840</v>
      </c>
      <c r="D369" s="34">
        <v>0.702380952380952</v>
      </c>
      <c r="E369" s="34">
        <v>0.819444444444444</v>
      </c>
      <c r="F369" s="34">
        <v>0.916666666666666</v>
      </c>
      <c r="G369" s="34">
        <v>-1.01190476190476</v>
      </c>
      <c r="H369" s="34">
        <v>-0.0221088435374149</v>
      </c>
      <c r="I369" s="34">
        <v>0.969483568075117</v>
      </c>
      <c r="J369" s="34">
        <v>0.857142857142857</v>
      </c>
    </row>
    <row r="370" hidden="1">
      <c r="A370" s="33">
        <v>36.0</v>
      </c>
      <c r="B370" s="33" t="s">
        <v>1002</v>
      </c>
      <c r="C370" s="33" t="s">
        <v>842</v>
      </c>
      <c r="D370" s="34">
        <v>0.702380952380952</v>
      </c>
      <c r="E370" s="34">
        <v>0.819444444444444</v>
      </c>
      <c r="F370" s="34">
        <v>0.916666666666666</v>
      </c>
      <c r="G370" s="34">
        <v>-1.01190476190476</v>
      </c>
      <c r="H370" s="34">
        <v>0.00850340136054417</v>
      </c>
      <c r="I370" s="34">
        <v>1.01225490196078</v>
      </c>
      <c r="J370" s="34">
        <v>1.05494505494505</v>
      </c>
    </row>
    <row r="371" hidden="1">
      <c r="A371" s="33">
        <v>37.0</v>
      </c>
      <c r="B371" s="33" t="s">
        <v>1003</v>
      </c>
      <c r="C371" s="33" t="s">
        <v>841</v>
      </c>
      <c r="D371" s="34">
        <v>0.702380952380952</v>
      </c>
      <c r="E371" s="34">
        <v>0.819444444444444</v>
      </c>
      <c r="F371" s="34">
        <v>0.916666666666666</v>
      </c>
      <c r="G371" s="34">
        <v>-1.01190476190476</v>
      </c>
      <c r="H371" s="34">
        <v>-0.0221088435374149</v>
      </c>
      <c r="I371" s="34">
        <v>0.969483568075117</v>
      </c>
      <c r="J371" s="34">
        <v>0.857142857142857</v>
      </c>
    </row>
    <row r="372" hidden="1">
      <c r="A372" s="33">
        <v>38.0</v>
      </c>
      <c r="B372" s="33" t="s">
        <v>1003</v>
      </c>
      <c r="C372" s="33" t="s">
        <v>842</v>
      </c>
      <c r="D372" s="34">
        <v>0.702380952380952</v>
      </c>
      <c r="E372" s="34">
        <v>0.819444444444444</v>
      </c>
      <c r="F372" s="34">
        <v>0.916666666666666</v>
      </c>
      <c r="G372" s="34">
        <v>-1.01190476190476</v>
      </c>
      <c r="H372" s="34">
        <v>0.00850340136054417</v>
      </c>
      <c r="I372" s="34">
        <v>1.01225490196078</v>
      </c>
      <c r="J372" s="34">
        <v>1.05494505494505</v>
      </c>
    </row>
    <row r="373" hidden="1">
      <c r="A373" s="33">
        <v>39.0</v>
      </c>
      <c r="B373" s="33" t="s">
        <v>839</v>
      </c>
      <c r="C373" s="33" t="s">
        <v>1005</v>
      </c>
      <c r="D373" s="34">
        <v>0.702380952380952</v>
      </c>
      <c r="E373" s="34">
        <v>0.819444444444444</v>
      </c>
      <c r="F373" s="34">
        <v>0.916666666666666</v>
      </c>
      <c r="G373" s="34">
        <v>-1.01190476190476</v>
      </c>
      <c r="H373" s="34">
        <v>0.00850340136054417</v>
      </c>
      <c r="I373" s="34">
        <v>1.01225490196078</v>
      </c>
      <c r="J373" s="34">
        <v>1.05494505494505</v>
      </c>
    </row>
    <row r="374" hidden="1">
      <c r="A374" s="33">
        <v>40.0</v>
      </c>
      <c r="B374" s="33" t="s">
        <v>839</v>
      </c>
      <c r="C374" s="33" t="s">
        <v>973</v>
      </c>
      <c r="D374" s="34">
        <v>0.702380952380952</v>
      </c>
      <c r="E374" s="34">
        <v>0.819444444444444</v>
      </c>
      <c r="F374" s="34">
        <v>0.916666666666666</v>
      </c>
      <c r="G374" s="34">
        <v>-1.01190476190476</v>
      </c>
      <c r="H374" s="34">
        <v>0.00850340136054417</v>
      </c>
      <c r="I374" s="34">
        <v>1.01225490196078</v>
      </c>
      <c r="J374" s="34">
        <v>1.05494505494505</v>
      </c>
    </row>
    <row r="375" hidden="1">
      <c r="A375" s="33">
        <v>41.0</v>
      </c>
      <c r="B375" s="33" t="s">
        <v>839</v>
      </c>
      <c r="C375" s="33" t="s">
        <v>988</v>
      </c>
      <c r="D375" s="34">
        <v>0.702380952380952</v>
      </c>
      <c r="E375" s="34">
        <v>0.819444444444444</v>
      </c>
      <c r="F375" s="34">
        <v>0.916666666666666</v>
      </c>
      <c r="G375" s="34">
        <v>-1.01190476190476</v>
      </c>
      <c r="H375" s="34">
        <v>-0.0221088435374149</v>
      </c>
      <c r="I375" s="34">
        <v>0.969483568075117</v>
      </c>
      <c r="J375" s="34">
        <v>0.857142857142857</v>
      </c>
    </row>
    <row r="376" hidden="1">
      <c r="A376" s="33">
        <v>42.0</v>
      </c>
      <c r="B376" s="33" t="s">
        <v>839</v>
      </c>
      <c r="C376" s="33" t="s">
        <v>974</v>
      </c>
      <c r="D376" s="34">
        <v>0.702380952380952</v>
      </c>
      <c r="E376" s="34">
        <v>0.819444444444444</v>
      </c>
      <c r="F376" s="34">
        <v>0.916666666666666</v>
      </c>
      <c r="G376" s="34">
        <v>-1.01190476190476</v>
      </c>
      <c r="H376" s="34">
        <v>0.0187074829931972</v>
      </c>
      <c r="I376" s="34">
        <v>1.0273631840796</v>
      </c>
      <c r="J376" s="34">
        <v>1.12087912087912</v>
      </c>
    </row>
    <row r="377" hidden="1">
      <c r="A377" s="33">
        <v>43.0</v>
      </c>
      <c r="B377" s="33" t="s">
        <v>1002</v>
      </c>
      <c r="C377" s="33" t="s">
        <v>965</v>
      </c>
      <c r="D377" s="34">
        <v>0.702380952380952</v>
      </c>
      <c r="E377" s="34">
        <v>0.819444444444444</v>
      </c>
      <c r="F377" s="34">
        <v>0.916666666666666</v>
      </c>
      <c r="G377" s="34">
        <v>-1.01190476190476</v>
      </c>
      <c r="H377" s="34">
        <v>0.0187074829931972</v>
      </c>
      <c r="I377" s="34">
        <v>1.0273631840796</v>
      </c>
      <c r="J377" s="34">
        <v>1.12087912087912</v>
      </c>
    </row>
    <row r="378" hidden="1">
      <c r="A378" s="33">
        <v>44.0</v>
      </c>
      <c r="B378" s="33" t="s">
        <v>1003</v>
      </c>
      <c r="C378" s="33" t="s">
        <v>990</v>
      </c>
      <c r="D378" s="34">
        <v>0.702380952380952</v>
      </c>
      <c r="E378" s="34">
        <v>0.819444444444444</v>
      </c>
      <c r="F378" s="34">
        <v>0.916666666666666</v>
      </c>
      <c r="G378" s="34">
        <v>-1.01190476190476</v>
      </c>
      <c r="H378" s="34">
        <v>-0.00170068027210879</v>
      </c>
      <c r="I378" s="34">
        <v>0.997584541062801</v>
      </c>
      <c r="J378" s="34">
        <v>0.989010989010989</v>
      </c>
    </row>
    <row r="379" hidden="1">
      <c r="A379" s="33">
        <v>45.0</v>
      </c>
      <c r="B379" s="33" t="s">
        <v>1002</v>
      </c>
      <c r="C379" s="33" t="s">
        <v>974</v>
      </c>
      <c r="D379" s="34">
        <v>0.702380952380952</v>
      </c>
      <c r="E379" s="34">
        <v>0.819444444444444</v>
      </c>
      <c r="F379" s="34">
        <v>0.916666666666666</v>
      </c>
      <c r="G379" s="34">
        <v>-1.01190476190476</v>
      </c>
      <c r="H379" s="34">
        <v>0.0187074829931972</v>
      </c>
      <c r="I379" s="34">
        <v>1.0273631840796</v>
      </c>
      <c r="J379" s="34">
        <v>1.12087912087912</v>
      </c>
    </row>
    <row r="380" hidden="1">
      <c r="A380" s="33">
        <v>46.0</v>
      </c>
      <c r="B380" s="33" t="s">
        <v>1004</v>
      </c>
      <c r="C380" s="33" t="s">
        <v>990</v>
      </c>
      <c r="D380" s="34">
        <v>0.702380952380952</v>
      </c>
      <c r="E380" s="34">
        <v>0.819444444444444</v>
      </c>
      <c r="F380" s="34">
        <v>0.916666666666666</v>
      </c>
      <c r="G380" s="34">
        <v>-1.01190476190476</v>
      </c>
      <c r="H380" s="34">
        <v>-0.00170068027210879</v>
      </c>
      <c r="I380" s="34">
        <v>0.997584541062801</v>
      </c>
      <c r="J380" s="34">
        <v>0.989010989010989</v>
      </c>
    </row>
    <row r="381" hidden="1">
      <c r="A381" s="33">
        <v>47.0</v>
      </c>
      <c r="B381" s="33" t="s">
        <v>1002</v>
      </c>
      <c r="C381" s="33" t="s">
        <v>963</v>
      </c>
      <c r="D381" s="34">
        <v>0.702380952380952</v>
      </c>
      <c r="E381" s="34">
        <v>0.819444444444444</v>
      </c>
      <c r="F381" s="34">
        <v>0.916666666666666</v>
      </c>
      <c r="G381" s="34">
        <v>-1.01190476190476</v>
      </c>
      <c r="H381" s="34">
        <v>0.00850340136054417</v>
      </c>
      <c r="I381" s="34">
        <v>1.01225490196078</v>
      </c>
      <c r="J381" s="34">
        <v>1.05494505494505</v>
      </c>
    </row>
    <row r="382" hidden="1">
      <c r="A382" s="33">
        <v>48.0</v>
      </c>
      <c r="B382" s="33" t="s">
        <v>1004</v>
      </c>
      <c r="C382" s="33" t="s">
        <v>964</v>
      </c>
      <c r="D382" s="34">
        <v>0.702380952380952</v>
      </c>
      <c r="E382" s="34">
        <v>0.819444444444444</v>
      </c>
      <c r="F382" s="34">
        <v>0.916666666666666</v>
      </c>
      <c r="G382" s="34">
        <v>-1.01190476190476</v>
      </c>
      <c r="H382" s="34">
        <v>0.0289115646258503</v>
      </c>
      <c r="I382" s="34">
        <v>1.04292929292929</v>
      </c>
      <c r="J382" s="34">
        <v>1.18681318681318</v>
      </c>
    </row>
    <row r="383" hidden="1">
      <c r="A383" s="33">
        <v>49.0</v>
      </c>
      <c r="B383" s="33" t="s">
        <v>839</v>
      </c>
      <c r="C383" s="33" t="s">
        <v>1010</v>
      </c>
      <c r="D383" s="34">
        <v>0.702380952380952</v>
      </c>
      <c r="E383" s="34">
        <v>0.819444444444444</v>
      </c>
      <c r="F383" s="34">
        <v>0.916666666666666</v>
      </c>
      <c r="G383" s="34">
        <v>-1.01190476190476</v>
      </c>
      <c r="H383" s="34">
        <v>0.0289115646258503</v>
      </c>
      <c r="I383" s="34">
        <v>1.04292929292929</v>
      </c>
      <c r="J383" s="34">
        <v>1.18681318681318</v>
      </c>
    </row>
    <row r="384" hidden="1">
      <c r="A384" s="33">
        <v>50.0</v>
      </c>
      <c r="B384" s="33" t="s">
        <v>1003</v>
      </c>
      <c r="C384" s="33" t="s">
        <v>963</v>
      </c>
      <c r="D384" s="34">
        <v>0.702380952380952</v>
      </c>
      <c r="E384" s="34">
        <v>0.819444444444444</v>
      </c>
      <c r="F384" s="34">
        <v>0.916666666666666</v>
      </c>
      <c r="G384" s="34">
        <v>-1.01190476190476</v>
      </c>
      <c r="H384" s="34">
        <v>0.00850340136054417</v>
      </c>
      <c r="I384" s="34">
        <v>1.01225490196078</v>
      </c>
      <c r="J384" s="34">
        <v>1.05494505494505</v>
      </c>
    </row>
    <row r="385" hidden="1">
      <c r="A385" s="33">
        <v>51.0</v>
      </c>
      <c r="B385" s="33" t="s">
        <v>1004</v>
      </c>
      <c r="C385" s="33" t="s">
        <v>957</v>
      </c>
      <c r="D385" s="34">
        <v>0.702380952380952</v>
      </c>
      <c r="E385" s="34">
        <v>0.819444444444444</v>
      </c>
      <c r="F385" s="34">
        <v>0.916666666666666</v>
      </c>
      <c r="G385" s="34">
        <v>-1.01190476190476</v>
      </c>
      <c r="H385" s="34">
        <v>0.0391156462585033</v>
      </c>
      <c r="I385" s="34">
        <v>1.05897435897435</v>
      </c>
      <c r="J385" s="34">
        <v>1.25274725274725</v>
      </c>
    </row>
    <row r="386" hidden="1">
      <c r="A386" s="33">
        <v>52.0</v>
      </c>
      <c r="B386" s="33" t="s">
        <v>839</v>
      </c>
      <c r="C386" s="33" t="s">
        <v>1011</v>
      </c>
      <c r="D386" s="34">
        <v>0.702380952380952</v>
      </c>
      <c r="E386" s="34">
        <v>0.819444444444444</v>
      </c>
      <c r="F386" s="34">
        <v>0.916666666666666</v>
      </c>
      <c r="G386" s="34">
        <v>-1.01190476190476</v>
      </c>
      <c r="H386" s="34">
        <v>0.0289115646258503</v>
      </c>
      <c r="I386" s="34">
        <v>1.04292929292929</v>
      </c>
      <c r="J386" s="34">
        <v>1.18681318681318</v>
      </c>
    </row>
    <row r="387" hidden="1">
      <c r="A387" s="33">
        <v>27.0</v>
      </c>
      <c r="B387" s="33" t="s">
        <v>837</v>
      </c>
      <c r="C387" s="33" t="s">
        <v>973</v>
      </c>
      <c r="D387" s="34">
        <v>0.75</v>
      </c>
      <c r="E387" s="34">
        <v>0.818181818181818</v>
      </c>
      <c r="F387" s="34">
        <v>0.913043478260869</v>
      </c>
      <c r="G387" s="34">
        <v>-1.08333333333333</v>
      </c>
      <c r="H387" s="34">
        <v>0.0079365079365079</v>
      </c>
      <c r="I387" s="34">
        <v>1.01069518716577</v>
      </c>
      <c r="J387" s="34">
        <v>1.04761904761904</v>
      </c>
    </row>
    <row r="388" hidden="1">
      <c r="A388" s="33">
        <v>28.0</v>
      </c>
      <c r="B388" s="33" t="s">
        <v>837</v>
      </c>
      <c r="C388" s="33" t="s">
        <v>972</v>
      </c>
      <c r="D388" s="34">
        <v>0.75</v>
      </c>
      <c r="E388" s="34">
        <v>0.818181818181818</v>
      </c>
      <c r="F388" s="34">
        <v>0.913043478260869</v>
      </c>
      <c r="G388" s="34">
        <v>-1.08333333333333</v>
      </c>
      <c r="H388" s="34">
        <v>-0.00297619047619046</v>
      </c>
      <c r="I388" s="34">
        <v>0.996047430830039</v>
      </c>
      <c r="J388" s="34">
        <v>0.982142857142857</v>
      </c>
    </row>
    <row r="389" hidden="1">
      <c r="A389" s="33">
        <v>29.0</v>
      </c>
      <c r="B389" s="33" t="s">
        <v>848</v>
      </c>
      <c r="C389" s="33" t="s">
        <v>973</v>
      </c>
      <c r="D389" s="34">
        <v>0.75</v>
      </c>
      <c r="E389" s="34">
        <v>0.818181818181818</v>
      </c>
      <c r="F389" s="34">
        <v>0.913043478260869</v>
      </c>
      <c r="G389" s="34">
        <v>-1.08333333333333</v>
      </c>
      <c r="H389" s="34">
        <v>0.0079365079365079</v>
      </c>
      <c r="I389" s="34">
        <v>1.01069518716577</v>
      </c>
      <c r="J389" s="34">
        <v>1.04761904761904</v>
      </c>
    </row>
    <row r="390" hidden="1">
      <c r="A390" s="33">
        <v>30.0</v>
      </c>
      <c r="B390" s="33" t="s">
        <v>837</v>
      </c>
      <c r="C390" s="33" t="s">
        <v>990</v>
      </c>
      <c r="D390" s="34">
        <v>0.75</v>
      </c>
      <c r="E390" s="34">
        <v>0.818181818181818</v>
      </c>
      <c r="F390" s="34">
        <v>0.913043478260869</v>
      </c>
      <c r="G390" s="34">
        <v>-1.08333333333333</v>
      </c>
      <c r="H390" s="34">
        <v>-0.00297619047619046</v>
      </c>
      <c r="I390" s="34">
        <v>0.996047430830039</v>
      </c>
      <c r="J390" s="34">
        <v>0.982142857142857</v>
      </c>
    </row>
    <row r="391" hidden="1">
      <c r="A391" s="33">
        <v>31.0</v>
      </c>
      <c r="B391" s="33" t="s">
        <v>848</v>
      </c>
      <c r="C391" s="33" t="s">
        <v>990</v>
      </c>
      <c r="D391" s="34">
        <v>0.75</v>
      </c>
      <c r="E391" s="34">
        <v>0.818181818181818</v>
      </c>
      <c r="F391" s="34">
        <v>0.913043478260869</v>
      </c>
      <c r="G391" s="34">
        <v>-1.08333333333333</v>
      </c>
      <c r="H391" s="34">
        <v>-0.00297619047619046</v>
      </c>
      <c r="I391" s="34">
        <v>0.996047430830039</v>
      </c>
      <c r="J391" s="34">
        <v>0.982142857142857</v>
      </c>
    </row>
    <row r="392" hidden="1">
      <c r="A392" s="33">
        <v>26.0</v>
      </c>
      <c r="B392" s="33" t="s">
        <v>836</v>
      </c>
      <c r="C392" s="33" t="s">
        <v>971</v>
      </c>
      <c r="D392" s="34">
        <v>0.714285714285714</v>
      </c>
      <c r="E392" s="34">
        <v>0.81081081081081</v>
      </c>
      <c r="F392" s="34">
        <v>0.911392405063291</v>
      </c>
      <c r="G392" s="34">
        <v>-1.04761904761904</v>
      </c>
      <c r="H392" s="34">
        <v>-0.0198412698412698</v>
      </c>
      <c r="I392" s="34">
        <v>0.972972972972973</v>
      </c>
      <c r="J392" s="34">
        <v>0.88095238095238</v>
      </c>
    </row>
    <row r="393" hidden="1">
      <c r="A393" s="33">
        <v>18.0</v>
      </c>
      <c r="B393" s="33" t="s">
        <v>835</v>
      </c>
      <c r="C393" s="33" t="s">
        <v>972</v>
      </c>
      <c r="D393" s="34">
        <v>0.702380952380952</v>
      </c>
      <c r="E393" s="34">
        <v>0.808219178082191</v>
      </c>
      <c r="F393" s="34">
        <v>0.910828025477706</v>
      </c>
      <c r="G393" s="34">
        <v>-1.03571428571428</v>
      </c>
      <c r="H393" s="34">
        <v>-0.0114795918367347</v>
      </c>
      <c r="I393" s="34">
        <v>0.983918999404407</v>
      </c>
      <c r="J393" s="34">
        <v>0.931122448979591</v>
      </c>
    </row>
    <row r="394" hidden="1">
      <c r="A394" s="33">
        <v>19.0</v>
      </c>
      <c r="B394" s="33" t="s">
        <v>835</v>
      </c>
      <c r="C394" s="33" t="s">
        <v>975</v>
      </c>
      <c r="D394" s="34">
        <v>0.702380952380952</v>
      </c>
      <c r="E394" s="34">
        <v>0.808219178082191</v>
      </c>
      <c r="F394" s="34">
        <v>0.910828025477706</v>
      </c>
      <c r="G394" s="34">
        <v>-1.03571428571428</v>
      </c>
      <c r="H394" s="34">
        <v>0.0299036281179136</v>
      </c>
      <c r="I394" s="34">
        <v>1.04446786090621</v>
      </c>
      <c r="J394" s="34">
        <v>1.17942176870748</v>
      </c>
    </row>
    <row r="395" hidden="1">
      <c r="A395" s="33">
        <v>20.0</v>
      </c>
      <c r="B395" s="33" t="s">
        <v>835</v>
      </c>
      <c r="C395" s="33" t="s">
        <v>1006</v>
      </c>
      <c r="D395" s="34">
        <v>0.702380952380952</v>
      </c>
      <c r="E395" s="34">
        <v>0.808219178082191</v>
      </c>
      <c r="F395" s="34">
        <v>0.910828025477706</v>
      </c>
      <c r="G395" s="34">
        <v>-1.03571428571428</v>
      </c>
      <c r="H395" s="34">
        <v>-0.00113378684807263</v>
      </c>
      <c r="I395" s="34">
        <v>0.998388396454472</v>
      </c>
      <c r="J395" s="34">
        <v>0.993197278911564</v>
      </c>
    </row>
    <row r="396" hidden="1">
      <c r="A396" s="33">
        <v>21.0</v>
      </c>
      <c r="B396" s="33" t="s">
        <v>835</v>
      </c>
      <c r="C396" s="33" t="s">
        <v>995</v>
      </c>
      <c r="D396" s="34">
        <v>0.702380952380952</v>
      </c>
      <c r="E396" s="34">
        <v>0.808219178082191</v>
      </c>
      <c r="F396" s="34">
        <v>0.910828025477706</v>
      </c>
      <c r="G396" s="34">
        <v>-1.03571428571428</v>
      </c>
      <c r="H396" s="34">
        <v>0.0299036281179136</v>
      </c>
      <c r="I396" s="34">
        <v>1.04446786090621</v>
      </c>
      <c r="J396" s="34">
        <v>1.17942176870748</v>
      </c>
    </row>
    <row r="397" hidden="1">
      <c r="A397" s="33">
        <v>22.0</v>
      </c>
      <c r="B397" s="33" t="s">
        <v>835</v>
      </c>
      <c r="C397" s="33" t="s">
        <v>963</v>
      </c>
      <c r="D397" s="34">
        <v>0.702380952380952</v>
      </c>
      <c r="E397" s="34">
        <v>0.808219178082191</v>
      </c>
      <c r="F397" s="34">
        <v>0.910828025477706</v>
      </c>
      <c r="G397" s="34">
        <v>-1.03571428571428</v>
      </c>
      <c r="H397" s="34">
        <v>-0.00113378684807263</v>
      </c>
      <c r="I397" s="34">
        <v>0.998388396454472</v>
      </c>
      <c r="J397" s="34">
        <v>0.993197278911564</v>
      </c>
    </row>
    <row r="398" hidden="1">
      <c r="A398" s="33">
        <v>23.0</v>
      </c>
      <c r="B398" s="33" t="s">
        <v>835</v>
      </c>
      <c r="C398" s="33" t="s">
        <v>993</v>
      </c>
      <c r="D398" s="34">
        <v>0.702380952380952</v>
      </c>
      <c r="E398" s="34">
        <v>0.808219178082191</v>
      </c>
      <c r="F398" s="34">
        <v>0.910828025477706</v>
      </c>
      <c r="G398" s="34">
        <v>-1.03571428571428</v>
      </c>
      <c r="H398" s="34">
        <v>0.0195578231292516</v>
      </c>
      <c r="I398" s="34">
        <v>1.02864259028642</v>
      </c>
      <c r="J398" s="34">
        <v>1.11734693877551</v>
      </c>
    </row>
    <row r="399" hidden="1">
      <c r="A399" s="33">
        <v>24.0</v>
      </c>
      <c r="B399" s="33" t="s">
        <v>835</v>
      </c>
      <c r="C399" s="33" t="s">
        <v>1009</v>
      </c>
      <c r="D399" s="34">
        <v>0.702380952380952</v>
      </c>
      <c r="E399" s="34">
        <v>0.808219178082191</v>
      </c>
      <c r="F399" s="34">
        <v>0.910828025477706</v>
      </c>
      <c r="G399" s="34">
        <v>-1.03571428571428</v>
      </c>
      <c r="H399" s="34">
        <v>0.0195578231292516</v>
      </c>
      <c r="I399" s="34">
        <v>1.02864259028642</v>
      </c>
      <c r="J399" s="34">
        <v>1.11734693877551</v>
      </c>
    </row>
    <row r="400" hidden="1">
      <c r="A400" s="33">
        <v>25.0</v>
      </c>
      <c r="B400" s="33" t="s">
        <v>835</v>
      </c>
      <c r="C400" s="33" t="s">
        <v>1010</v>
      </c>
      <c r="D400" s="34">
        <v>0.702380952380952</v>
      </c>
      <c r="E400" s="34">
        <v>0.808219178082191</v>
      </c>
      <c r="F400" s="34">
        <v>0.910828025477706</v>
      </c>
      <c r="G400" s="34">
        <v>-1.03571428571428</v>
      </c>
      <c r="H400" s="34">
        <v>0.0195578231292516</v>
      </c>
      <c r="I400" s="34">
        <v>1.02864259028642</v>
      </c>
      <c r="J400" s="34">
        <v>1.11734693877551</v>
      </c>
    </row>
    <row r="401" hidden="1">
      <c r="A401" s="33">
        <v>8.0</v>
      </c>
      <c r="B401" s="33" t="s">
        <v>826</v>
      </c>
      <c r="C401" s="33" t="s">
        <v>830</v>
      </c>
      <c r="D401" s="34">
        <v>0.75</v>
      </c>
      <c r="E401" s="34">
        <v>0.807692307692307</v>
      </c>
      <c r="F401" s="34">
        <v>0.907407407407407</v>
      </c>
      <c r="G401" s="34">
        <v>-1.10714285714285</v>
      </c>
      <c r="H401" s="34">
        <v>-0.0127551020408163</v>
      </c>
      <c r="I401" s="34">
        <v>0.983277591973244</v>
      </c>
      <c r="J401" s="34">
        <v>0.928571428571428</v>
      </c>
    </row>
    <row r="402" hidden="1">
      <c r="A402" s="36">
        <v>9.0</v>
      </c>
      <c r="B402" s="36" t="s">
        <v>825</v>
      </c>
      <c r="C402" s="36" t="s">
        <v>64</v>
      </c>
      <c r="D402" s="37">
        <v>0.75</v>
      </c>
      <c r="E402" s="37">
        <v>0.807692307692307</v>
      </c>
      <c r="F402" s="37">
        <v>0.907407407407407</v>
      </c>
      <c r="G402" s="37">
        <v>-1.10714285714285</v>
      </c>
      <c r="H402" s="37">
        <v>-0.0127551020408163</v>
      </c>
      <c r="I402" s="37">
        <v>0.983277591973244</v>
      </c>
      <c r="J402" s="37">
        <v>0.928571428571428</v>
      </c>
    </row>
    <row r="403" hidden="1">
      <c r="A403" s="33">
        <v>10.0</v>
      </c>
      <c r="B403" s="33" t="s">
        <v>825</v>
      </c>
      <c r="C403" s="33" t="s">
        <v>842</v>
      </c>
      <c r="D403" s="34">
        <v>0.75</v>
      </c>
      <c r="E403" s="34">
        <v>0.807692307692307</v>
      </c>
      <c r="F403" s="34">
        <v>0.907407407407407</v>
      </c>
      <c r="G403" s="34">
        <v>-1.10714285714285</v>
      </c>
      <c r="H403" s="34">
        <v>-0.0017006802721089</v>
      </c>
      <c r="I403" s="34">
        <v>0.997737556561086</v>
      </c>
      <c r="J403" s="34">
        <v>0.99047619047619</v>
      </c>
    </row>
    <row r="404" hidden="1">
      <c r="A404" s="33">
        <v>11.0</v>
      </c>
      <c r="B404" s="33" t="s">
        <v>826</v>
      </c>
      <c r="C404" s="33" t="s">
        <v>964</v>
      </c>
      <c r="D404" s="34">
        <v>0.75</v>
      </c>
      <c r="E404" s="34">
        <v>0.807692307692307</v>
      </c>
      <c r="F404" s="34">
        <v>0.907407407407407</v>
      </c>
      <c r="G404" s="34">
        <v>-1.10714285714285</v>
      </c>
      <c r="H404" s="34">
        <v>0.0204081632653061</v>
      </c>
      <c r="I404" s="34">
        <v>1.02797202797202</v>
      </c>
      <c r="J404" s="34">
        <v>1.11428571428571</v>
      </c>
    </row>
    <row r="405" hidden="1">
      <c r="A405" s="33">
        <v>12.0</v>
      </c>
      <c r="B405" s="33" t="s">
        <v>825</v>
      </c>
      <c r="C405" s="33" t="s">
        <v>972</v>
      </c>
      <c r="D405" s="34">
        <v>0.75</v>
      </c>
      <c r="E405" s="34">
        <v>0.807692307692307</v>
      </c>
      <c r="F405" s="34">
        <v>0.907407407407407</v>
      </c>
      <c r="G405" s="34">
        <v>-1.10714285714285</v>
      </c>
      <c r="H405" s="34">
        <v>-0.0127551020408163</v>
      </c>
      <c r="I405" s="34">
        <v>0.983277591973244</v>
      </c>
      <c r="J405" s="34">
        <v>0.928571428571428</v>
      </c>
    </row>
    <row r="406" hidden="1">
      <c r="A406" s="33">
        <v>13.0</v>
      </c>
      <c r="B406" s="33" t="s">
        <v>826</v>
      </c>
      <c r="C406" s="33" t="s">
        <v>965</v>
      </c>
      <c r="D406" s="34">
        <v>0.75</v>
      </c>
      <c r="E406" s="34">
        <v>0.807692307692307</v>
      </c>
      <c r="F406" s="34">
        <v>0.907407407407407</v>
      </c>
      <c r="G406" s="34">
        <v>-1.10714285714285</v>
      </c>
      <c r="H406" s="34">
        <v>0.00935374149659851</v>
      </c>
      <c r="I406" s="34">
        <v>1.01262916188289</v>
      </c>
      <c r="J406" s="34">
        <v>1.05238095238095</v>
      </c>
    </row>
    <row r="407" hidden="1">
      <c r="A407" s="33">
        <v>14.0</v>
      </c>
      <c r="B407" s="33" t="s">
        <v>826</v>
      </c>
      <c r="C407" s="33" t="s">
        <v>957</v>
      </c>
      <c r="D407" s="34">
        <v>0.75</v>
      </c>
      <c r="E407" s="34">
        <v>0.807692307692307</v>
      </c>
      <c r="F407" s="34">
        <v>0.907407407407407</v>
      </c>
      <c r="G407" s="34">
        <v>-1.10714285714285</v>
      </c>
      <c r="H407" s="34">
        <v>0.0314625850340135</v>
      </c>
      <c r="I407" s="34">
        <v>1.04378698224852</v>
      </c>
      <c r="J407" s="34">
        <v>1.17619047619047</v>
      </c>
    </row>
    <row r="408" hidden="1">
      <c r="A408" s="33">
        <v>15.0</v>
      </c>
      <c r="B408" s="33" t="s">
        <v>826</v>
      </c>
      <c r="C408" s="33" t="s">
        <v>974</v>
      </c>
      <c r="D408" s="34">
        <v>0.75</v>
      </c>
      <c r="E408" s="34">
        <v>0.807692307692307</v>
      </c>
      <c r="F408" s="34">
        <v>0.907407407407407</v>
      </c>
      <c r="G408" s="34">
        <v>-1.10714285714285</v>
      </c>
      <c r="H408" s="34">
        <v>0.00935374149659851</v>
      </c>
      <c r="I408" s="34">
        <v>1.01262916188289</v>
      </c>
      <c r="J408" s="34">
        <v>1.05238095238095</v>
      </c>
    </row>
    <row r="409" hidden="1">
      <c r="A409" s="33">
        <v>16.0</v>
      </c>
      <c r="B409" s="33" t="s">
        <v>825</v>
      </c>
      <c r="C409" s="33" t="s">
        <v>965</v>
      </c>
      <c r="D409" s="34">
        <v>0.75</v>
      </c>
      <c r="E409" s="34">
        <v>0.807692307692307</v>
      </c>
      <c r="F409" s="34">
        <v>0.907407407407407</v>
      </c>
      <c r="G409" s="34">
        <v>-1.10714285714285</v>
      </c>
      <c r="H409" s="34">
        <v>0.00935374149659851</v>
      </c>
      <c r="I409" s="34">
        <v>1.01262916188289</v>
      </c>
      <c r="J409" s="34">
        <v>1.05238095238095</v>
      </c>
    </row>
    <row r="410" hidden="1">
      <c r="A410" s="33">
        <v>17.0</v>
      </c>
      <c r="B410" s="33" t="s">
        <v>825</v>
      </c>
      <c r="C410" s="33" t="s">
        <v>974</v>
      </c>
      <c r="D410" s="34">
        <v>0.75</v>
      </c>
      <c r="E410" s="34">
        <v>0.807692307692307</v>
      </c>
      <c r="F410" s="34">
        <v>0.907407407407407</v>
      </c>
      <c r="G410" s="34">
        <v>-1.10714285714285</v>
      </c>
      <c r="H410" s="34">
        <v>0.00935374149659851</v>
      </c>
      <c r="I410" s="34">
        <v>1.01262916188289</v>
      </c>
      <c r="J410" s="34">
        <v>1.05238095238095</v>
      </c>
    </row>
    <row r="411" hidden="1">
      <c r="A411" s="33">
        <v>1.0</v>
      </c>
      <c r="B411" s="33" t="s">
        <v>837</v>
      </c>
      <c r="C411" s="33" t="s">
        <v>830</v>
      </c>
      <c r="D411" s="34">
        <v>0.738095238095238</v>
      </c>
      <c r="E411" s="34">
        <v>0.805194805194805</v>
      </c>
      <c r="F411" s="34">
        <v>0.906832298136646</v>
      </c>
      <c r="G411" s="34">
        <v>-1.09523809523809</v>
      </c>
      <c r="H411" s="34">
        <v>-0.0148809523809523</v>
      </c>
      <c r="I411" s="34">
        <v>0.980237154150197</v>
      </c>
      <c r="J411" s="34">
        <v>0.916666666666666</v>
      </c>
    </row>
    <row r="412" hidden="1">
      <c r="A412" s="33">
        <v>2.0</v>
      </c>
      <c r="B412" s="33" t="s">
        <v>837</v>
      </c>
      <c r="C412" s="33" t="s">
        <v>64</v>
      </c>
      <c r="D412" s="34">
        <v>0.738095238095238</v>
      </c>
      <c r="E412" s="34">
        <v>0.805194805194805</v>
      </c>
      <c r="F412" s="34">
        <v>0.906832298136646</v>
      </c>
      <c r="G412" s="34">
        <v>-1.09523809523809</v>
      </c>
      <c r="H412" s="34">
        <v>-0.0148809523809523</v>
      </c>
      <c r="I412" s="34">
        <v>0.980237154150197</v>
      </c>
      <c r="J412" s="34">
        <v>0.916666666666666</v>
      </c>
    </row>
    <row r="413" hidden="1">
      <c r="A413" s="36">
        <v>3.0</v>
      </c>
      <c r="B413" s="36" t="s">
        <v>837</v>
      </c>
      <c r="C413" s="36" t="s">
        <v>842</v>
      </c>
      <c r="D413" s="37">
        <v>0.738095238095238</v>
      </c>
      <c r="E413" s="37">
        <v>0.805194805194805</v>
      </c>
      <c r="F413" s="37">
        <v>0.906832298136646</v>
      </c>
      <c r="G413" s="37">
        <v>-1.09523809523809</v>
      </c>
      <c r="H413" s="37">
        <v>-0.00396825396825395</v>
      </c>
      <c r="I413" s="37">
        <v>0.994652406417112</v>
      </c>
      <c r="J413" s="37">
        <v>0.977777777777777</v>
      </c>
    </row>
    <row r="414" hidden="1">
      <c r="A414" s="33">
        <v>4.0</v>
      </c>
      <c r="B414" s="33" t="s">
        <v>848</v>
      </c>
      <c r="C414" s="33" t="s">
        <v>830</v>
      </c>
      <c r="D414" s="34">
        <v>0.738095238095238</v>
      </c>
      <c r="E414" s="34">
        <v>0.805194805194805</v>
      </c>
      <c r="F414" s="34">
        <v>0.906832298136646</v>
      </c>
      <c r="G414" s="34">
        <v>-1.09523809523809</v>
      </c>
      <c r="H414" s="34">
        <v>-0.0148809523809523</v>
      </c>
      <c r="I414" s="34">
        <v>0.980237154150197</v>
      </c>
      <c r="J414" s="34">
        <v>0.916666666666666</v>
      </c>
    </row>
    <row r="415" hidden="1">
      <c r="A415" s="33">
        <v>5.0</v>
      </c>
      <c r="B415" s="33" t="s">
        <v>837</v>
      </c>
      <c r="C415" s="33" t="s">
        <v>1005</v>
      </c>
      <c r="D415" s="34">
        <v>0.738095238095238</v>
      </c>
      <c r="E415" s="34">
        <v>0.805194805194805</v>
      </c>
      <c r="F415" s="34">
        <v>0.906832298136646</v>
      </c>
      <c r="G415" s="34">
        <v>-1.09523809523809</v>
      </c>
      <c r="H415" s="34">
        <v>-0.00396825396825395</v>
      </c>
      <c r="I415" s="34">
        <v>0.994652406417112</v>
      </c>
      <c r="J415" s="34">
        <v>0.977777777777777</v>
      </c>
    </row>
    <row r="416" hidden="1">
      <c r="A416" s="33">
        <v>6.0</v>
      </c>
      <c r="B416" s="33" t="s">
        <v>848</v>
      </c>
      <c r="C416" s="33" t="s">
        <v>1005</v>
      </c>
      <c r="D416" s="34">
        <v>0.738095238095238</v>
      </c>
      <c r="E416" s="34">
        <v>0.805194805194805</v>
      </c>
      <c r="F416" s="34">
        <v>0.906832298136646</v>
      </c>
      <c r="G416" s="34">
        <v>-1.09523809523809</v>
      </c>
      <c r="H416" s="34">
        <v>-0.00396825396825395</v>
      </c>
      <c r="I416" s="34">
        <v>0.994652406417112</v>
      </c>
      <c r="J416" s="34">
        <v>0.977777777777777</v>
      </c>
    </row>
    <row r="417" hidden="1">
      <c r="A417" s="33">
        <v>7.0</v>
      </c>
      <c r="B417" s="33" t="s">
        <v>848</v>
      </c>
      <c r="C417" s="33" t="s">
        <v>964</v>
      </c>
      <c r="D417" s="34">
        <v>0.738095238095238</v>
      </c>
      <c r="E417" s="34">
        <v>0.805194805194805</v>
      </c>
      <c r="F417" s="34">
        <v>0.906832298136646</v>
      </c>
      <c r="G417" s="34">
        <v>-1.09523809523809</v>
      </c>
      <c r="H417" s="34">
        <v>0.0178571428571429</v>
      </c>
      <c r="I417" s="34">
        <v>1.02479338842975</v>
      </c>
      <c r="J417" s="34">
        <v>1.1</v>
      </c>
    </row>
    <row r="418" hidden="1">
      <c r="D418" s="38"/>
      <c r="E418" s="38"/>
      <c r="F418" s="38"/>
      <c r="G418" s="38"/>
      <c r="H418" s="38"/>
      <c r="I418" s="38"/>
      <c r="J418" s="38"/>
    </row>
    <row r="419" hidden="1">
      <c r="D419" s="38"/>
      <c r="E419" s="38"/>
      <c r="F419" s="38"/>
      <c r="G419" s="38"/>
      <c r="H419" s="38"/>
      <c r="I419" s="38"/>
      <c r="J419" s="38"/>
    </row>
    <row r="420" hidden="1">
      <c r="D420" s="38"/>
      <c r="E420" s="38"/>
      <c r="F420" s="38"/>
      <c r="G420" s="38"/>
      <c r="H420" s="38"/>
      <c r="I420" s="38"/>
      <c r="J420" s="38"/>
    </row>
    <row r="421" hidden="1">
      <c r="D421" s="38"/>
      <c r="E421" s="38"/>
      <c r="F421" s="38"/>
      <c r="G421" s="38"/>
      <c r="H421" s="38"/>
      <c r="I421" s="38"/>
      <c r="J421" s="38"/>
    </row>
    <row r="422" hidden="1">
      <c r="D422" s="38"/>
      <c r="E422" s="38"/>
      <c r="F422" s="38"/>
      <c r="G422" s="38"/>
      <c r="H422" s="38"/>
      <c r="I422" s="38"/>
      <c r="J422" s="38"/>
    </row>
    <row r="423" hidden="1">
      <c r="D423" s="38"/>
      <c r="E423" s="38"/>
      <c r="F423" s="38"/>
      <c r="G423" s="38"/>
      <c r="H423" s="38"/>
      <c r="I423" s="38"/>
      <c r="J423" s="38"/>
    </row>
    <row r="424" hidden="1">
      <c r="D424" s="38"/>
      <c r="E424" s="38"/>
      <c r="F424" s="38"/>
      <c r="G424" s="38"/>
      <c r="H424" s="38"/>
      <c r="I424" s="38"/>
      <c r="J424" s="38"/>
    </row>
    <row r="425" hidden="1">
      <c r="D425" s="38"/>
      <c r="E425" s="38"/>
      <c r="F425" s="38"/>
      <c r="G425" s="38"/>
      <c r="H425" s="38"/>
      <c r="I425" s="38"/>
      <c r="J425" s="38"/>
    </row>
    <row r="426" hidden="1">
      <c r="D426" s="38"/>
      <c r="E426" s="38"/>
      <c r="F426" s="38"/>
      <c r="G426" s="38"/>
      <c r="H426" s="38"/>
      <c r="I426" s="38"/>
      <c r="J426" s="38"/>
    </row>
    <row r="427" hidden="1">
      <c r="D427" s="38"/>
      <c r="E427" s="38"/>
      <c r="F427" s="38"/>
      <c r="G427" s="38"/>
      <c r="H427" s="38"/>
      <c r="I427" s="38"/>
      <c r="J427" s="38"/>
    </row>
    <row r="428" hidden="1">
      <c r="D428" s="38"/>
      <c r="E428" s="38"/>
      <c r="F428" s="38"/>
      <c r="G428" s="38"/>
      <c r="H428" s="38"/>
      <c r="I428" s="38"/>
      <c r="J428" s="38"/>
    </row>
    <row r="429" hidden="1">
      <c r="D429" s="38"/>
      <c r="E429" s="38"/>
      <c r="F429" s="38"/>
      <c r="G429" s="38"/>
      <c r="H429" s="38"/>
      <c r="I429" s="38"/>
      <c r="J429" s="38"/>
    </row>
    <row r="430" hidden="1">
      <c r="D430" s="38"/>
      <c r="E430" s="38"/>
      <c r="F430" s="38"/>
      <c r="G430" s="38"/>
      <c r="H430" s="38"/>
      <c r="I430" s="38"/>
      <c r="J430" s="38"/>
    </row>
    <row r="431" hidden="1">
      <c r="D431" s="38"/>
      <c r="E431" s="38"/>
      <c r="F431" s="38"/>
      <c r="G431" s="38"/>
      <c r="H431" s="38"/>
      <c r="I431" s="38"/>
      <c r="J431" s="38"/>
    </row>
    <row r="432" hidden="1">
      <c r="D432" s="38"/>
      <c r="E432" s="38"/>
      <c r="F432" s="38"/>
      <c r="G432" s="38"/>
      <c r="H432" s="38"/>
      <c r="I432" s="38"/>
      <c r="J432" s="38"/>
    </row>
    <row r="433" hidden="1">
      <c r="D433" s="38"/>
      <c r="E433" s="38"/>
      <c r="F433" s="38"/>
      <c r="G433" s="38"/>
      <c r="H433" s="38"/>
      <c r="I433" s="38"/>
      <c r="J433" s="38"/>
    </row>
    <row r="434" hidden="1">
      <c r="D434" s="38"/>
      <c r="E434" s="38"/>
      <c r="F434" s="38"/>
      <c r="G434" s="38"/>
      <c r="H434" s="38"/>
      <c r="I434" s="38"/>
      <c r="J434" s="38"/>
    </row>
    <row r="435" hidden="1">
      <c r="D435" s="38"/>
      <c r="E435" s="38"/>
      <c r="F435" s="38"/>
      <c r="G435" s="38"/>
      <c r="H435" s="38"/>
      <c r="I435" s="38"/>
      <c r="J435" s="38"/>
    </row>
    <row r="436" hidden="1">
      <c r="D436" s="38"/>
      <c r="E436" s="38"/>
      <c r="F436" s="38"/>
      <c r="G436" s="38"/>
      <c r="H436" s="38"/>
      <c r="I436" s="38"/>
      <c r="J436" s="38"/>
    </row>
    <row r="437" hidden="1">
      <c r="D437" s="38"/>
      <c r="E437" s="38"/>
      <c r="F437" s="38"/>
      <c r="G437" s="38"/>
      <c r="H437" s="38"/>
      <c r="I437" s="38"/>
      <c r="J437" s="38"/>
    </row>
    <row r="438" hidden="1">
      <c r="D438" s="38"/>
      <c r="E438" s="38"/>
      <c r="F438" s="38"/>
      <c r="G438" s="38"/>
      <c r="H438" s="38"/>
      <c r="I438" s="38"/>
      <c r="J438" s="38"/>
    </row>
    <row r="439" hidden="1">
      <c r="D439" s="38"/>
      <c r="E439" s="38"/>
      <c r="F439" s="38"/>
      <c r="G439" s="38"/>
      <c r="H439" s="38"/>
      <c r="I439" s="38"/>
      <c r="J439" s="38"/>
    </row>
    <row r="440" hidden="1">
      <c r="D440" s="38"/>
      <c r="E440" s="38"/>
      <c r="F440" s="38"/>
      <c r="G440" s="38"/>
      <c r="H440" s="38"/>
      <c r="I440" s="38"/>
      <c r="J440" s="38"/>
    </row>
    <row r="441" hidden="1">
      <c r="D441" s="38"/>
      <c r="E441" s="38"/>
      <c r="F441" s="38"/>
      <c r="G441" s="38"/>
      <c r="H441" s="38"/>
      <c r="I441" s="38"/>
      <c r="J441" s="38"/>
    </row>
    <row r="442" hidden="1">
      <c r="D442" s="38"/>
      <c r="E442" s="38"/>
      <c r="F442" s="38"/>
      <c r="G442" s="38"/>
      <c r="H442" s="38"/>
      <c r="I442" s="38"/>
      <c r="J442" s="38"/>
    </row>
    <row r="443" hidden="1">
      <c r="D443" s="38"/>
      <c r="E443" s="38"/>
      <c r="F443" s="38"/>
      <c r="G443" s="38"/>
      <c r="H443" s="38"/>
      <c r="I443" s="38"/>
      <c r="J443" s="38"/>
    </row>
    <row r="444" hidden="1">
      <c r="D444" s="38"/>
      <c r="E444" s="38"/>
      <c r="F444" s="38"/>
      <c r="G444" s="38"/>
      <c r="H444" s="38"/>
      <c r="I444" s="38"/>
      <c r="J444" s="38"/>
    </row>
    <row r="445" hidden="1">
      <c r="D445" s="38"/>
      <c r="E445" s="38"/>
      <c r="F445" s="38"/>
      <c r="G445" s="38"/>
      <c r="H445" s="38"/>
      <c r="I445" s="38"/>
      <c r="J445" s="38"/>
    </row>
    <row r="446" hidden="1">
      <c r="D446" s="38"/>
      <c r="E446" s="38"/>
      <c r="F446" s="38"/>
      <c r="G446" s="38"/>
      <c r="H446" s="38"/>
      <c r="I446" s="38"/>
      <c r="J446" s="38"/>
    </row>
    <row r="447" hidden="1">
      <c r="D447" s="38"/>
      <c r="E447" s="38"/>
      <c r="F447" s="38"/>
      <c r="G447" s="38"/>
      <c r="H447" s="38"/>
      <c r="I447" s="38"/>
      <c r="J447" s="38"/>
    </row>
    <row r="448" hidden="1">
      <c r="D448" s="38"/>
      <c r="E448" s="38"/>
      <c r="F448" s="38"/>
      <c r="G448" s="38"/>
      <c r="H448" s="38"/>
      <c r="I448" s="38"/>
      <c r="J448" s="38"/>
    </row>
    <row r="449" hidden="1">
      <c r="D449" s="38"/>
      <c r="E449" s="38"/>
      <c r="F449" s="38"/>
      <c r="G449" s="38"/>
      <c r="H449" s="38"/>
      <c r="I449" s="38"/>
      <c r="J449" s="38"/>
    </row>
    <row r="450" hidden="1">
      <c r="D450" s="38"/>
      <c r="E450" s="38"/>
      <c r="F450" s="38"/>
      <c r="G450" s="38"/>
      <c r="H450" s="38"/>
      <c r="I450" s="38"/>
      <c r="J450" s="38"/>
    </row>
    <row r="451" hidden="1">
      <c r="D451" s="38"/>
      <c r="E451" s="38"/>
      <c r="F451" s="38"/>
      <c r="G451" s="38"/>
      <c r="H451" s="38"/>
      <c r="I451" s="38"/>
      <c r="J451" s="38"/>
    </row>
    <row r="452" hidden="1">
      <c r="D452" s="38"/>
      <c r="E452" s="38"/>
      <c r="F452" s="38"/>
      <c r="G452" s="38"/>
      <c r="H452" s="38"/>
      <c r="I452" s="38"/>
      <c r="J452" s="38"/>
    </row>
    <row r="453" hidden="1">
      <c r="D453" s="38"/>
      <c r="E453" s="38"/>
      <c r="F453" s="38"/>
      <c r="G453" s="38"/>
      <c r="H453" s="38"/>
      <c r="I453" s="38"/>
      <c r="J453" s="38"/>
    </row>
    <row r="454" hidden="1">
      <c r="D454" s="38"/>
      <c r="E454" s="38"/>
      <c r="F454" s="38"/>
      <c r="G454" s="38"/>
      <c r="H454" s="38"/>
      <c r="I454" s="38"/>
      <c r="J454" s="38"/>
    </row>
    <row r="455" hidden="1">
      <c r="D455" s="38"/>
      <c r="E455" s="38"/>
      <c r="F455" s="38"/>
      <c r="G455" s="38"/>
      <c r="H455" s="38"/>
      <c r="I455" s="38"/>
      <c r="J455" s="38"/>
    </row>
    <row r="456" hidden="1">
      <c r="D456" s="38"/>
      <c r="E456" s="38"/>
      <c r="F456" s="38"/>
      <c r="G456" s="38"/>
      <c r="H456" s="38"/>
      <c r="I456" s="38"/>
      <c r="J456" s="38"/>
    </row>
    <row r="457" hidden="1">
      <c r="D457" s="38"/>
      <c r="E457" s="38"/>
      <c r="F457" s="38"/>
      <c r="G457" s="38"/>
      <c r="H457" s="38"/>
      <c r="I457" s="38"/>
      <c r="J457" s="38"/>
    </row>
    <row r="458" hidden="1">
      <c r="D458" s="38"/>
      <c r="E458" s="38"/>
      <c r="F458" s="38"/>
      <c r="G458" s="38"/>
      <c r="H458" s="38"/>
      <c r="I458" s="38"/>
      <c r="J458" s="38"/>
    </row>
    <row r="459" hidden="1">
      <c r="D459" s="38"/>
      <c r="E459" s="38"/>
      <c r="F459" s="38"/>
      <c r="G459" s="38"/>
      <c r="H459" s="38"/>
      <c r="I459" s="38"/>
      <c r="J459" s="38"/>
    </row>
    <row r="460" hidden="1">
      <c r="D460" s="38"/>
      <c r="E460" s="38"/>
      <c r="F460" s="38"/>
      <c r="G460" s="38"/>
      <c r="H460" s="38"/>
      <c r="I460" s="38"/>
      <c r="J460" s="38"/>
    </row>
    <row r="461" hidden="1">
      <c r="D461" s="38"/>
      <c r="E461" s="38"/>
      <c r="F461" s="38"/>
      <c r="G461" s="38"/>
      <c r="H461" s="38"/>
      <c r="I461" s="38"/>
      <c r="J461" s="38"/>
    </row>
    <row r="462" hidden="1">
      <c r="D462" s="38"/>
      <c r="E462" s="38"/>
      <c r="F462" s="38"/>
      <c r="G462" s="38"/>
      <c r="H462" s="38"/>
      <c r="I462" s="38"/>
      <c r="J462" s="38"/>
    </row>
    <row r="463" hidden="1">
      <c r="D463" s="38"/>
      <c r="E463" s="38"/>
      <c r="F463" s="38"/>
      <c r="G463" s="38"/>
      <c r="H463" s="38"/>
      <c r="I463" s="38"/>
      <c r="J463" s="38"/>
    </row>
    <row r="464" hidden="1">
      <c r="D464" s="38"/>
      <c r="E464" s="38"/>
      <c r="F464" s="38"/>
      <c r="G464" s="38"/>
      <c r="H464" s="38"/>
      <c r="I464" s="38"/>
      <c r="J464" s="38"/>
    </row>
    <row r="465" hidden="1">
      <c r="D465" s="38"/>
      <c r="E465" s="38"/>
      <c r="F465" s="38"/>
      <c r="G465" s="38"/>
      <c r="H465" s="38"/>
      <c r="I465" s="38"/>
      <c r="J465" s="38"/>
    </row>
    <row r="466" hidden="1">
      <c r="D466" s="38"/>
      <c r="E466" s="38"/>
      <c r="F466" s="38"/>
      <c r="G466" s="38"/>
      <c r="H466" s="38"/>
      <c r="I466" s="38"/>
      <c r="J466" s="38"/>
    </row>
    <row r="467" hidden="1">
      <c r="D467" s="38"/>
      <c r="E467" s="38"/>
      <c r="F467" s="38"/>
      <c r="G467" s="38"/>
      <c r="H467" s="38"/>
      <c r="I467" s="38"/>
      <c r="J467" s="38"/>
    </row>
    <row r="468" hidden="1">
      <c r="D468" s="38"/>
      <c r="E468" s="38"/>
      <c r="F468" s="38"/>
      <c r="G468" s="38"/>
      <c r="H468" s="38"/>
      <c r="I468" s="38"/>
      <c r="J468" s="38"/>
    </row>
    <row r="469" hidden="1">
      <c r="D469" s="38"/>
      <c r="E469" s="38"/>
      <c r="F469" s="38"/>
      <c r="G469" s="38"/>
      <c r="H469" s="38"/>
      <c r="I469" s="38"/>
      <c r="J469" s="38"/>
    </row>
    <row r="470" hidden="1">
      <c r="D470" s="38"/>
      <c r="E470" s="38"/>
      <c r="F470" s="38"/>
      <c r="G470" s="38"/>
      <c r="H470" s="38"/>
      <c r="I470" s="38"/>
      <c r="J470" s="38"/>
    </row>
    <row r="471" hidden="1">
      <c r="D471" s="38"/>
      <c r="E471" s="38"/>
      <c r="F471" s="38"/>
      <c r="G471" s="38"/>
      <c r="H471" s="38"/>
      <c r="I471" s="38"/>
      <c r="J471" s="38"/>
    </row>
    <row r="472" hidden="1">
      <c r="D472" s="38"/>
      <c r="E472" s="38"/>
      <c r="F472" s="38"/>
      <c r="G472" s="38"/>
      <c r="H472" s="38"/>
      <c r="I472" s="38"/>
      <c r="J472" s="38"/>
    </row>
    <row r="473" hidden="1">
      <c r="D473" s="38"/>
      <c r="E473" s="38"/>
      <c r="F473" s="38"/>
      <c r="G473" s="38"/>
      <c r="H473" s="38"/>
      <c r="I473" s="38"/>
      <c r="J473" s="38"/>
    </row>
    <row r="474" hidden="1">
      <c r="D474" s="38"/>
      <c r="E474" s="38"/>
      <c r="F474" s="38"/>
      <c r="G474" s="38"/>
      <c r="H474" s="38"/>
      <c r="I474" s="38"/>
      <c r="J474" s="38"/>
    </row>
    <row r="475" hidden="1">
      <c r="D475" s="38"/>
      <c r="E475" s="38"/>
      <c r="F475" s="38"/>
      <c r="G475" s="38"/>
      <c r="H475" s="38"/>
      <c r="I475" s="38"/>
      <c r="J475" s="38"/>
    </row>
    <row r="476" hidden="1">
      <c r="D476" s="38"/>
      <c r="E476" s="38"/>
      <c r="F476" s="38"/>
      <c r="G476" s="38"/>
      <c r="H476" s="38"/>
      <c r="I476" s="38"/>
      <c r="J476" s="38"/>
    </row>
    <row r="477" hidden="1">
      <c r="D477" s="38"/>
      <c r="E477" s="38"/>
      <c r="F477" s="38"/>
      <c r="G477" s="38"/>
      <c r="H477" s="38"/>
      <c r="I477" s="38"/>
      <c r="J477" s="38"/>
    </row>
    <row r="478" hidden="1">
      <c r="D478" s="38"/>
      <c r="E478" s="38"/>
      <c r="F478" s="38"/>
      <c r="G478" s="38"/>
      <c r="H478" s="38"/>
      <c r="I478" s="38"/>
      <c r="J478" s="38"/>
    </row>
    <row r="479" hidden="1">
      <c r="D479" s="38"/>
      <c r="E479" s="38"/>
      <c r="F479" s="38"/>
      <c r="G479" s="38"/>
      <c r="H479" s="38"/>
      <c r="I479" s="38"/>
      <c r="J479" s="38"/>
    </row>
    <row r="480" hidden="1">
      <c r="D480" s="38"/>
      <c r="E480" s="38"/>
      <c r="F480" s="38"/>
      <c r="G480" s="38"/>
      <c r="H480" s="38"/>
      <c r="I480" s="38"/>
      <c r="J480" s="38"/>
    </row>
    <row r="481" hidden="1">
      <c r="D481" s="38"/>
      <c r="E481" s="38"/>
      <c r="F481" s="38"/>
      <c r="G481" s="38"/>
      <c r="H481" s="38"/>
      <c r="I481" s="38"/>
      <c r="J481" s="38"/>
    </row>
    <row r="482" hidden="1">
      <c r="D482" s="38"/>
      <c r="E482" s="38"/>
      <c r="F482" s="38"/>
      <c r="G482" s="38"/>
      <c r="H482" s="38"/>
      <c r="I482" s="38"/>
      <c r="J482" s="38"/>
    </row>
    <row r="483" hidden="1">
      <c r="D483" s="38"/>
      <c r="E483" s="38"/>
      <c r="F483" s="38"/>
      <c r="G483" s="38"/>
      <c r="H483" s="38"/>
      <c r="I483" s="38"/>
      <c r="J483" s="38"/>
    </row>
    <row r="484" hidden="1">
      <c r="D484" s="38"/>
      <c r="E484" s="38"/>
      <c r="F484" s="38"/>
      <c r="G484" s="38"/>
      <c r="H484" s="38"/>
      <c r="I484" s="38"/>
      <c r="J484" s="38"/>
    </row>
    <row r="485" hidden="1">
      <c r="D485" s="38"/>
      <c r="E485" s="38"/>
      <c r="F485" s="38"/>
      <c r="G485" s="38"/>
      <c r="H485" s="38"/>
      <c r="I485" s="38"/>
      <c r="J485" s="38"/>
    </row>
    <row r="486" hidden="1">
      <c r="D486" s="38"/>
      <c r="E486" s="38"/>
      <c r="F486" s="38"/>
      <c r="G486" s="38"/>
      <c r="H486" s="38"/>
      <c r="I486" s="38"/>
      <c r="J486" s="38"/>
    </row>
    <row r="487" hidden="1">
      <c r="D487" s="38"/>
      <c r="E487" s="38"/>
      <c r="F487" s="38"/>
      <c r="G487" s="38"/>
      <c r="H487" s="38"/>
      <c r="I487" s="38"/>
      <c r="J487" s="38"/>
    </row>
    <row r="488" hidden="1">
      <c r="D488" s="38"/>
      <c r="E488" s="38"/>
      <c r="F488" s="38"/>
      <c r="G488" s="38"/>
      <c r="H488" s="38"/>
      <c r="I488" s="38"/>
      <c r="J488" s="38"/>
    </row>
    <row r="489" hidden="1">
      <c r="D489" s="38"/>
      <c r="E489" s="38"/>
      <c r="F489" s="38"/>
      <c r="G489" s="38"/>
      <c r="H489" s="38"/>
      <c r="I489" s="38"/>
      <c r="J489" s="38"/>
    </row>
    <row r="490" hidden="1">
      <c r="D490" s="38"/>
      <c r="E490" s="38"/>
      <c r="F490" s="38"/>
      <c r="G490" s="38"/>
      <c r="H490" s="38"/>
      <c r="I490" s="38"/>
      <c r="J490" s="38"/>
    </row>
    <row r="491" hidden="1">
      <c r="D491" s="38"/>
      <c r="E491" s="38"/>
      <c r="F491" s="38"/>
      <c r="G491" s="38"/>
      <c r="H491" s="38"/>
      <c r="I491" s="38"/>
      <c r="J491" s="38"/>
    </row>
    <row r="492" hidden="1">
      <c r="D492" s="38"/>
      <c r="E492" s="38"/>
      <c r="F492" s="38"/>
      <c r="G492" s="38"/>
      <c r="H492" s="38"/>
      <c r="I492" s="38"/>
      <c r="J492" s="38"/>
    </row>
    <row r="493" hidden="1">
      <c r="D493" s="38"/>
      <c r="E493" s="38"/>
      <c r="F493" s="38"/>
      <c r="G493" s="38"/>
      <c r="H493" s="38"/>
      <c r="I493" s="38"/>
      <c r="J493" s="38"/>
    </row>
    <row r="494" hidden="1">
      <c r="D494" s="38"/>
      <c r="E494" s="38"/>
      <c r="F494" s="38"/>
      <c r="G494" s="38"/>
      <c r="H494" s="38"/>
      <c r="I494" s="38"/>
      <c r="J494" s="38"/>
    </row>
    <row r="495" hidden="1">
      <c r="D495" s="38"/>
      <c r="E495" s="38"/>
      <c r="F495" s="38"/>
      <c r="G495" s="38"/>
      <c r="H495" s="38"/>
      <c r="I495" s="38"/>
      <c r="J495" s="38"/>
    </row>
    <row r="496" hidden="1">
      <c r="D496" s="38"/>
      <c r="E496" s="38"/>
      <c r="F496" s="38"/>
      <c r="G496" s="38"/>
      <c r="H496" s="38"/>
      <c r="I496" s="38"/>
      <c r="J496" s="38"/>
    </row>
    <row r="497" hidden="1">
      <c r="D497" s="38"/>
      <c r="E497" s="38"/>
      <c r="F497" s="38"/>
      <c r="G497" s="38"/>
      <c r="H497" s="38"/>
      <c r="I497" s="38"/>
      <c r="J497" s="38"/>
    </row>
    <row r="498" hidden="1">
      <c r="D498" s="38"/>
      <c r="E498" s="38"/>
      <c r="F498" s="38"/>
      <c r="G498" s="38"/>
      <c r="H498" s="38"/>
      <c r="I498" s="38"/>
      <c r="J498" s="38"/>
    </row>
    <row r="499" hidden="1">
      <c r="D499" s="38"/>
      <c r="E499" s="38"/>
      <c r="F499" s="38"/>
      <c r="G499" s="38"/>
      <c r="H499" s="38"/>
      <c r="I499" s="38"/>
      <c r="J499" s="38"/>
    </row>
    <row r="500" hidden="1">
      <c r="D500" s="38"/>
      <c r="E500" s="38"/>
      <c r="F500" s="38"/>
      <c r="G500" s="38"/>
      <c r="H500" s="38"/>
      <c r="I500" s="38"/>
      <c r="J500" s="38"/>
    </row>
    <row r="501" hidden="1">
      <c r="D501" s="38"/>
      <c r="E501" s="38"/>
      <c r="F501" s="38"/>
      <c r="G501" s="38"/>
      <c r="H501" s="38"/>
      <c r="I501" s="38"/>
      <c r="J501" s="38"/>
    </row>
    <row r="502" hidden="1">
      <c r="D502" s="38"/>
      <c r="E502" s="38"/>
      <c r="F502" s="38"/>
      <c r="G502" s="38"/>
      <c r="H502" s="38"/>
      <c r="I502" s="38"/>
      <c r="J502" s="38"/>
    </row>
    <row r="503" hidden="1">
      <c r="D503" s="38"/>
      <c r="E503" s="38"/>
      <c r="F503" s="38"/>
      <c r="G503" s="38"/>
      <c r="H503" s="38"/>
      <c r="I503" s="38"/>
      <c r="J503" s="38"/>
    </row>
    <row r="504" hidden="1">
      <c r="D504" s="38"/>
      <c r="E504" s="38"/>
      <c r="F504" s="38"/>
      <c r="G504" s="38"/>
      <c r="H504" s="38"/>
      <c r="I504" s="38"/>
      <c r="J504" s="38"/>
    </row>
    <row r="505" hidden="1">
      <c r="D505" s="38"/>
      <c r="E505" s="38"/>
      <c r="F505" s="38"/>
      <c r="G505" s="38"/>
      <c r="H505" s="38"/>
      <c r="I505" s="38"/>
      <c r="J505" s="38"/>
    </row>
    <row r="506" hidden="1">
      <c r="D506" s="38"/>
      <c r="E506" s="38"/>
      <c r="F506" s="38"/>
      <c r="G506" s="38"/>
      <c r="H506" s="38"/>
      <c r="I506" s="38"/>
      <c r="J506" s="38"/>
    </row>
    <row r="507" hidden="1">
      <c r="D507" s="38"/>
      <c r="E507" s="38"/>
      <c r="F507" s="38"/>
      <c r="G507" s="38"/>
      <c r="H507" s="38"/>
      <c r="I507" s="38"/>
      <c r="J507" s="38"/>
    </row>
    <row r="508" hidden="1">
      <c r="D508" s="38"/>
      <c r="E508" s="38"/>
      <c r="F508" s="38"/>
      <c r="G508" s="38"/>
      <c r="H508" s="38"/>
      <c r="I508" s="38"/>
      <c r="J508" s="38"/>
    </row>
    <row r="509" hidden="1">
      <c r="D509" s="38"/>
      <c r="E509" s="38"/>
      <c r="F509" s="38"/>
      <c r="G509" s="38"/>
      <c r="H509" s="38"/>
      <c r="I509" s="38"/>
      <c r="J509" s="38"/>
    </row>
    <row r="510" hidden="1">
      <c r="D510" s="38"/>
      <c r="E510" s="38"/>
      <c r="F510" s="38"/>
      <c r="G510" s="38"/>
      <c r="H510" s="38"/>
      <c r="I510" s="38"/>
      <c r="J510" s="38"/>
    </row>
    <row r="511" hidden="1">
      <c r="D511" s="38"/>
      <c r="E511" s="38"/>
      <c r="F511" s="38"/>
      <c r="G511" s="38"/>
      <c r="H511" s="38"/>
      <c r="I511" s="38"/>
      <c r="J511" s="38"/>
    </row>
    <row r="512" hidden="1">
      <c r="D512" s="38"/>
      <c r="E512" s="38"/>
      <c r="F512" s="38"/>
      <c r="G512" s="38"/>
      <c r="H512" s="38"/>
      <c r="I512" s="38"/>
      <c r="J512" s="38"/>
    </row>
    <row r="513" hidden="1">
      <c r="D513" s="38"/>
      <c r="E513" s="38"/>
      <c r="F513" s="38"/>
      <c r="G513" s="38"/>
      <c r="H513" s="38"/>
      <c r="I513" s="38"/>
      <c r="J513" s="38"/>
    </row>
    <row r="514" hidden="1">
      <c r="D514" s="38"/>
      <c r="E514" s="38"/>
      <c r="F514" s="38"/>
      <c r="G514" s="38"/>
      <c r="H514" s="38"/>
      <c r="I514" s="38"/>
      <c r="J514" s="38"/>
    </row>
    <row r="515" hidden="1">
      <c r="D515" s="38"/>
      <c r="E515" s="38"/>
      <c r="F515" s="38"/>
      <c r="G515" s="38"/>
      <c r="H515" s="38"/>
      <c r="I515" s="38"/>
      <c r="J515" s="38"/>
    </row>
    <row r="516" hidden="1">
      <c r="D516" s="38"/>
      <c r="E516" s="38"/>
      <c r="F516" s="38"/>
      <c r="G516" s="38"/>
      <c r="H516" s="38"/>
      <c r="I516" s="38"/>
      <c r="J516" s="38"/>
    </row>
    <row r="517" hidden="1">
      <c r="D517" s="38"/>
      <c r="E517" s="38"/>
      <c r="F517" s="38"/>
      <c r="G517" s="38"/>
      <c r="H517" s="38"/>
      <c r="I517" s="38"/>
      <c r="J517" s="38"/>
    </row>
    <row r="518" hidden="1">
      <c r="D518" s="38"/>
      <c r="E518" s="38"/>
      <c r="F518" s="38"/>
      <c r="G518" s="38"/>
      <c r="H518" s="38"/>
      <c r="I518" s="38"/>
      <c r="J518" s="38"/>
    </row>
    <row r="519" hidden="1">
      <c r="D519" s="38"/>
      <c r="E519" s="38"/>
      <c r="F519" s="38"/>
      <c r="G519" s="38"/>
      <c r="H519" s="38"/>
      <c r="I519" s="38"/>
      <c r="J519" s="38"/>
    </row>
    <row r="520" hidden="1">
      <c r="D520" s="38"/>
      <c r="E520" s="38"/>
      <c r="F520" s="38"/>
      <c r="G520" s="38"/>
      <c r="H520" s="38"/>
      <c r="I520" s="38"/>
      <c r="J520" s="38"/>
    </row>
    <row r="521" hidden="1">
      <c r="D521" s="38"/>
      <c r="E521" s="38"/>
      <c r="F521" s="38"/>
      <c r="G521" s="38"/>
      <c r="H521" s="38"/>
      <c r="I521" s="38"/>
      <c r="J521" s="38"/>
    </row>
    <row r="522" hidden="1">
      <c r="D522" s="38"/>
      <c r="E522" s="38"/>
      <c r="F522" s="38"/>
      <c r="G522" s="38"/>
      <c r="H522" s="38"/>
      <c r="I522" s="38"/>
      <c r="J522" s="38"/>
    </row>
    <row r="523" hidden="1">
      <c r="D523" s="38"/>
      <c r="E523" s="38"/>
      <c r="F523" s="38"/>
      <c r="G523" s="38"/>
      <c r="H523" s="38"/>
      <c r="I523" s="38"/>
      <c r="J523" s="38"/>
    </row>
    <row r="524" hidden="1">
      <c r="D524" s="38"/>
      <c r="E524" s="38"/>
      <c r="F524" s="38"/>
      <c r="G524" s="38"/>
      <c r="H524" s="38"/>
      <c r="I524" s="38"/>
      <c r="J524" s="38"/>
    </row>
    <row r="525" hidden="1">
      <c r="D525" s="38"/>
      <c r="E525" s="38"/>
      <c r="F525" s="38"/>
      <c r="G525" s="38"/>
      <c r="H525" s="38"/>
      <c r="I525" s="38"/>
      <c r="J525" s="38"/>
    </row>
    <row r="526" hidden="1">
      <c r="D526" s="38"/>
      <c r="E526" s="38"/>
      <c r="F526" s="38"/>
      <c r="G526" s="38"/>
      <c r="H526" s="38"/>
      <c r="I526" s="38"/>
      <c r="J526" s="38"/>
    </row>
    <row r="527" hidden="1">
      <c r="D527" s="38"/>
      <c r="E527" s="38"/>
      <c r="F527" s="38"/>
      <c r="G527" s="38"/>
      <c r="H527" s="38"/>
      <c r="I527" s="38"/>
      <c r="J527" s="38"/>
    </row>
    <row r="528" hidden="1">
      <c r="D528" s="38"/>
      <c r="E528" s="38"/>
      <c r="F528" s="38"/>
      <c r="G528" s="38"/>
      <c r="H528" s="38"/>
      <c r="I528" s="38"/>
      <c r="J528" s="38"/>
    </row>
    <row r="529" hidden="1">
      <c r="D529" s="38"/>
      <c r="E529" s="38"/>
      <c r="F529" s="38"/>
      <c r="G529" s="38"/>
      <c r="H529" s="38"/>
      <c r="I529" s="38"/>
      <c r="J529" s="38"/>
    </row>
    <row r="530" hidden="1">
      <c r="D530" s="38"/>
      <c r="E530" s="38"/>
      <c r="F530" s="38"/>
      <c r="G530" s="38"/>
      <c r="H530" s="38"/>
      <c r="I530" s="38"/>
      <c r="J530" s="38"/>
    </row>
    <row r="531" hidden="1">
      <c r="D531" s="38"/>
      <c r="E531" s="38"/>
      <c r="F531" s="38"/>
      <c r="G531" s="38"/>
      <c r="H531" s="38"/>
      <c r="I531" s="38"/>
      <c r="J531" s="38"/>
    </row>
    <row r="532" hidden="1">
      <c r="D532" s="38"/>
      <c r="E532" s="38"/>
      <c r="F532" s="38"/>
      <c r="G532" s="38"/>
      <c r="H532" s="38"/>
      <c r="I532" s="38"/>
      <c r="J532" s="38"/>
    </row>
    <row r="533" hidden="1">
      <c r="D533" s="38"/>
      <c r="E533" s="38"/>
      <c r="F533" s="38"/>
      <c r="G533" s="38"/>
      <c r="H533" s="38"/>
      <c r="I533" s="38"/>
      <c r="J533" s="38"/>
    </row>
    <row r="534" hidden="1">
      <c r="D534" s="38"/>
      <c r="E534" s="38"/>
      <c r="F534" s="38"/>
      <c r="G534" s="38"/>
      <c r="H534" s="38"/>
      <c r="I534" s="38"/>
      <c r="J534" s="38"/>
    </row>
    <row r="535" hidden="1">
      <c r="D535" s="38"/>
      <c r="E535" s="38"/>
      <c r="F535" s="38"/>
      <c r="G535" s="38"/>
      <c r="H535" s="38"/>
      <c r="I535" s="38"/>
      <c r="J535" s="38"/>
    </row>
    <row r="536" hidden="1">
      <c r="D536" s="38"/>
      <c r="E536" s="38"/>
      <c r="F536" s="38"/>
      <c r="G536" s="38"/>
      <c r="H536" s="38"/>
      <c r="I536" s="38"/>
      <c r="J536" s="38"/>
    </row>
    <row r="537" hidden="1">
      <c r="D537" s="38"/>
      <c r="E537" s="38"/>
      <c r="F537" s="38"/>
      <c r="G537" s="38"/>
      <c r="H537" s="38"/>
      <c r="I537" s="38"/>
      <c r="J537" s="38"/>
    </row>
    <row r="538" hidden="1">
      <c r="D538" s="38"/>
      <c r="E538" s="38"/>
      <c r="F538" s="38"/>
      <c r="G538" s="38"/>
      <c r="H538" s="38"/>
      <c r="I538" s="38"/>
      <c r="J538" s="38"/>
    </row>
    <row r="539" hidden="1">
      <c r="D539" s="38"/>
      <c r="E539" s="38"/>
      <c r="F539" s="38"/>
      <c r="G539" s="38"/>
      <c r="H539" s="38"/>
      <c r="I539" s="38"/>
      <c r="J539" s="38"/>
    </row>
    <row r="540" hidden="1">
      <c r="D540" s="38"/>
      <c r="E540" s="38"/>
      <c r="F540" s="38"/>
      <c r="G540" s="38"/>
      <c r="H540" s="38"/>
      <c r="I540" s="38"/>
      <c r="J540" s="38"/>
    </row>
    <row r="541" hidden="1">
      <c r="D541" s="38"/>
      <c r="E541" s="38"/>
      <c r="F541" s="38"/>
      <c r="G541" s="38"/>
      <c r="H541" s="38"/>
      <c r="I541" s="38"/>
      <c r="J541" s="38"/>
    </row>
    <row r="542" hidden="1">
      <c r="D542" s="38"/>
      <c r="E542" s="38"/>
      <c r="F542" s="38"/>
      <c r="G542" s="38"/>
      <c r="H542" s="38"/>
      <c r="I542" s="38"/>
      <c r="J542" s="38"/>
    </row>
    <row r="543" hidden="1">
      <c r="D543" s="38"/>
      <c r="E543" s="38"/>
      <c r="F543" s="38"/>
      <c r="G543" s="38"/>
      <c r="H543" s="38"/>
      <c r="I543" s="38"/>
      <c r="J543" s="38"/>
    </row>
    <row r="544" hidden="1">
      <c r="D544" s="38"/>
      <c r="E544" s="38"/>
      <c r="F544" s="38"/>
      <c r="G544" s="38"/>
      <c r="H544" s="38"/>
      <c r="I544" s="38"/>
      <c r="J544" s="38"/>
    </row>
    <row r="545" hidden="1">
      <c r="D545" s="38"/>
      <c r="E545" s="38"/>
      <c r="F545" s="38"/>
      <c r="G545" s="38"/>
      <c r="H545" s="38"/>
      <c r="I545" s="38"/>
      <c r="J545" s="38"/>
    </row>
    <row r="546" hidden="1">
      <c r="D546" s="38"/>
      <c r="E546" s="38"/>
      <c r="F546" s="38"/>
      <c r="G546" s="38"/>
      <c r="H546" s="38"/>
      <c r="I546" s="38"/>
      <c r="J546" s="38"/>
    </row>
    <row r="547" hidden="1">
      <c r="D547" s="38"/>
      <c r="E547" s="38"/>
      <c r="F547" s="38"/>
      <c r="G547" s="38"/>
      <c r="H547" s="38"/>
      <c r="I547" s="38"/>
      <c r="J547" s="38"/>
    </row>
    <row r="548" hidden="1">
      <c r="D548" s="38"/>
      <c r="E548" s="38"/>
      <c r="F548" s="38"/>
      <c r="G548" s="38"/>
      <c r="H548" s="38"/>
      <c r="I548" s="38"/>
      <c r="J548" s="38"/>
    </row>
    <row r="549" hidden="1">
      <c r="D549" s="38"/>
      <c r="E549" s="38"/>
      <c r="F549" s="38"/>
      <c r="G549" s="38"/>
      <c r="H549" s="38"/>
      <c r="I549" s="38"/>
      <c r="J549" s="38"/>
    </row>
    <row r="550" hidden="1">
      <c r="D550" s="38"/>
      <c r="E550" s="38"/>
      <c r="F550" s="38"/>
      <c r="G550" s="38"/>
      <c r="H550" s="38"/>
      <c r="I550" s="38"/>
      <c r="J550" s="38"/>
    </row>
    <row r="551" hidden="1">
      <c r="D551" s="38"/>
      <c r="E551" s="38"/>
      <c r="F551" s="38"/>
      <c r="G551" s="38"/>
      <c r="H551" s="38"/>
      <c r="I551" s="38"/>
      <c r="J551" s="38"/>
    </row>
    <row r="552" hidden="1">
      <c r="D552" s="38"/>
      <c r="E552" s="38"/>
      <c r="F552" s="38"/>
      <c r="G552" s="38"/>
      <c r="H552" s="38"/>
      <c r="I552" s="38"/>
      <c r="J552" s="38"/>
    </row>
    <row r="553" hidden="1">
      <c r="D553" s="38"/>
      <c r="E553" s="38"/>
      <c r="F553" s="38"/>
      <c r="G553" s="38"/>
      <c r="H553" s="38"/>
      <c r="I553" s="38"/>
      <c r="J553" s="38"/>
    </row>
    <row r="554" hidden="1">
      <c r="D554" s="38"/>
      <c r="E554" s="38"/>
      <c r="F554" s="38"/>
      <c r="G554" s="38"/>
      <c r="H554" s="38"/>
      <c r="I554" s="38"/>
      <c r="J554" s="38"/>
    </row>
    <row r="555" hidden="1">
      <c r="D555" s="38"/>
      <c r="E555" s="38"/>
      <c r="F555" s="38"/>
      <c r="G555" s="38"/>
      <c r="H555" s="38"/>
      <c r="I555" s="38"/>
      <c r="J555" s="38"/>
    </row>
    <row r="556" hidden="1">
      <c r="D556" s="38"/>
      <c r="E556" s="38"/>
      <c r="F556" s="38"/>
      <c r="G556" s="38"/>
      <c r="H556" s="38"/>
      <c r="I556" s="38"/>
      <c r="J556" s="38"/>
    </row>
    <row r="557" hidden="1">
      <c r="D557" s="38"/>
      <c r="E557" s="38"/>
      <c r="F557" s="38"/>
      <c r="G557" s="38"/>
      <c r="H557" s="38"/>
      <c r="I557" s="38"/>
      <c r="J557" s="38"/>
    </row>
    <row r="558" hidden="1">
      <c r="D558" s="38"/>
      <c r="E558" s="38"/>
      <c r="F558" s="38"/>
      <c r="G558" s="38"/>
      <c r="H558" s="38"/>
      <c r="I558" s="38"/>
      <c r="J558" s="38"/>
    </row>
    <row r="559" hidden="1">
      <c r="D559" s="38"/>
      <c r="E559" s="38"/>
      <c r="F559" s="38"/>
      <c r="G559" s="38"/>
      <c r="H559" s="38"/>
      <c r="I559" s="38"/>
      <c r="J559" s="38"/>
    </row>
    <row r="560" hidden="1">
      <c r="D560" s="38"/>
      <c r="E560" s="38"/>
      <c r="F560" s="38"/>
      <c r="G560" s="38"/>
      <c r="H560" s="38"/>
      <c r="I560" s="38"/>
      <c r="J560" s="38"/>
    </row>
    <row r="561" hidden="1">
      <c r="D561" s="38"/>
      <c r="E561" s="38"/>
      <c r="F561" s="38"/>
      <c r="G561" s="38"/>
      <c r="H561" s="38"/>
      <c r="I561" s="38"/>
      <c r="J561" s="38"/>
    </row>
    <row r="562" hidden="1">
      <c r="D562" s="38"/>
      <c r="E562" s="38"/>
      <c r="F562" s="38"/>
      <c r="G562" s="38"/>
      <c r="H562" s="38"/>
      <c r="I562" s="38"/>
      <c r="J562" s="38"/>
    </row>
    <row r="563" hidden="1">
      <c r="D563" s="38"/>
      <c r="E563" s="38"/>
      <c r="F563" s="38"/>
      <c r="G563" s="38"/>
      <c r="H563" s="38"/>
      <c r="I563" s="38"/>
      <c r="J563" s="38"/>
    </row>
    <row r="564" hidden="1">
      <c r="D564" s="38"/>
      <c r="E564" s="38"/>
      <c r="F564" s="38"/>
      <c r="G564" s="38"/>
      <c r="H564" s="38"/>
      <c r="I564" s="38"/>
      <c r="J564" s="38"/>
    </row>
    <row r="565" hidden="1">
      <c r="D565" s="38"/>
      <c r="E565" s="38"/>
      <c r="F565" s="38"/>
      <c r="G565" s="38"/>
      <c r="H565" s="38"/>
      <c r="I565" s="38"/>
      <c r="J565" s="38"/>
    </row>
    <row r="566" hidden="1">
      <c r="D566" s="38"/>
      <c r="E566" s="38"/>
      <c r="F566" s="38"/>
      <c r="G566" s="38"/>
      <c r="H566" s="38"/>
      <c r="I566" s="38"/>
      <c r="J566" s="38"/>
    </row>
    <row r="567" hidden="1">
      <c r="D567" s="38"/>
      <c r="E567" s="38"/>
      <c r="F567" s="38"/>
      <c r="G567" s="38"/>
      <c r="H567" s="38"/>
      <c r="I567" s="38"/>
      <c r="J567" s="38"/>
    </row>
    <row r="568" hidden="1">
      <c r="D568" s="38"/>
      <c r="E568" s="38"/>
      <c r="F568" s="38"/>
      <c r="G568" s="38"/>
      <c r="H568" s="38"/>
      <c r="I568" s="38"/>
      <c r="J568" s="38"/>
    </row>
    <row r="569" hidden="1">
      <c r="D569" s="38"/>
      <c r="E569" s="38"/>
      <c r="F569" s="38"/>
      <c r="G569" s="38"/>
      <c r="H569" s="38"/>
      <c r="I569" s="38"/>
      <c r="J569" s="38"/>
    </row>
    <row r="570" hidden="1">
      <c r="D570" s="38"/>
      <c r="E570" s="38"/>
      <c r="F570" s="38"/>
      <c r="G570" s="38"/>
      <c r="H570" s="38"/>
      <c r="I570" s="38"/>
      <c r="J570" s="38"/>
    </row>
    <row r="571" hidden="1">
      <c r="D571" s="38"/>
      <c r="E571" s="38"/>
      <c r="F571" s="38"/>
      <c r="G571" s="38"/>
      <c r="H571" s="38"/>
      <c r="I571" s="38"/>
      <c r="J571" s="38"/>
    </row>
    <row r="572" hidden="1">
      <c r="D572" s="38"/>
      <c r="E572" s="38"/>
      <c r="F572" s="38"/>
      <c r="G572" s="38"/>
      <c r="H572" s="38"/>
      <c r="I572" s="38"/>
      <c r="J572" s="38"/>
    </row>
    <row r="573" hidden="1">
      <c r="D573" s="38"/>
      <c r="E573" s="38"/>
      <c r="F573" s="38"/>
      <c r="G573" s="38"/>
      <c r="H573" s="38"/>
      <c r="I573" s="38"/>
      <c r="J573" s="38"/>
    </row>
    <row r="574" hidden="1">
      <c r="D574" s="38"/>
      <c r="E574" s="38"/>
      <c r="F574" s="38"/>
      <c r="G574" s="38"/>
      <c r="H574" s="38"/>
      <c r="I574" s="38"/>
      <c r="J574" s="38"/>
    </row>
    <row r="575" hidden="1">
      <c r="D575" s="38"/>
      <c r="E575" s="38"/>
      <c r="F575" s="38"/>
      <c r="G575" s="38"/>
      <c r="H575" s="38"/>
      <c r="I575" s="38"/>
      <c r="J575" s="38"/>
    </row>
    <row r="576" hidden="1">
      <c r="D576" s="38"/>
      <c r="E576" s="38"/>
      <c r="F576" s="38"/>
      <c r="G576" s="38"/>
      <c r="H576" s="38"/>
      <c r="I576" s="38"/>
      <c r="J576" s="38"/>
    </row>
    <row r="577" hidden="1">
      <c r="D577" s="38"/>
      <c r="E577" s="38"/>
      <c r="F577" s="38"/>
      <c r="G577" s="38"/>
      <c r="H577" s="38"/>
      <c r="I577" s="38"/>
      <c r="J577" s="38"/>
    </row>
    <row r="578" hidden="1">
      <c r="D578" s="38"/>
      <c r="E578" s="38"/>
      <c r="F578" s="38"/>
      <c r="G578" s="38"/>
      <c r="H578" s="38"/>
      <c r="I578" s="38"/>
      <c r="J578" s="38"/>
    </row>
    <row r="579" hidden="1">
      <c r="D579" s="38"/>
      <c r="E579" s="38"/>
      <c r="F579" s="38"/>
      <c r="G579" s="38"/>
      <c r="H579" s="38"/>
      <c r="I579" s="38"/>
      <c r="J579" s="38"/>
    </row>
    <row r="580" hidden="1">
      <c r="D580" s="38"/>
      <c r="E580" s="38"/>
      <c r="F580" s="38"/>
      <c r="G580" s="38"/>
      <c r="H580" s="38"/>
      <c r="I580" s="38"/>
      <c r="J580" s="38"/>
    </row>
    <row r="581" hidden="1">
      <c r="D581" s="38"/>
      <c r="E581" s="38"/>
      <c r="F581" s="38"/>
      <c r="G581" s="38"/>
      <c r="H581" s="38"/>
      <c r="I581" s="38"/>
      <c r="J581" s="38"/>
    </row>
    <row r="582" hidden="1">
      <c r="D582" s="38"/>
      <c r="E582" s="38"/>
      <c r="F582" s="38"/>
      <c r="G582" s="38"/>
      <c r="H582" s="38"/>
      <c r="I582" s="38"/>
      <c r="J582" s="38"/>
    </row>
    <row r="583" hidden="1">
      <c r="D583" s="38"/>
      <c r="E583" s="38"/>
      <c r="F583" s="38"/>
      <c r="G583" s="38"/>
      <c r="H583" s="38"/>
      <c r="I583" s="38"/>
      <c r="J583" s="38"/>
    </row>
    <row r="584" hidden="1">
      <c r="D584" s="38"/>
      <c r="E584" s="38"/>
      <c r="F584" s="38"/>
      <c r="G584" s="38"/>
      <c r="H584" s="38"/>
      <c r="I584" s="38"/>
      <c r="J584" s="38"/>
    </row>
    <row r="585" hidden="1">
      <c r="D585" s="38"/>
      <c r="E585" s="38"/>
      <c r="F585" s="38"/>
      <c r="G585" s="38"/>
      <c r="H585" s="38"/>
      <c r="I585" s="38"/>
      <c r="J585" s="38"/>
    </row>
    <row r="586" hidden="1">
      <c r="D586" s="38"/>
      <c r="E586" s="38"/>
      <c r="F586" s="38"/>
      <c r="G586" s="38"/>
      <c r="H586" s="38"/>
      <c r="I586" s="38"/>
      <c r="J586" s="38"/>
    </row>
    <row r="587" hidden="1">
      <c r="D587" s="38"/>
      <c r="E587" s="38"/>
      <c r="F587" s="38"/>
      <c r="G587" s="38"/>
      <c r="H587" s="38"/>
      <c r="I587" s="38"/>
      <c r="J587" s="38"/>
    </row>
    <row r="588" hidden="1">
      <c r="D588" s="38"/>
      <c r="E588" s="38"/>
      <c r="F588" s="38"/>
      <c r="G588" s="38"/>
      <c r="H588" s="38"/>
      <c r="I588" s="38"/>
      <c r="J588" s="38"/>
    </row>
    <row r="589" hidden="1">
      <c r="D589" s="38"/>
      <c r="E589" s="38"/>
      <c r="F589" s="38"/>
      <c r="G589" s="38"/>
      <c r="H589" s="38"/>
      <c r="I589" s="38"/>
      <c r="J589" s="38"/>
    </row>
    <row r="590" hidden="1">
      <c r="D590" s="38"/>
      <c r="E590" s="38"/>
      <c r="F590" s="38"/>
      <c r="G590" s="38"/>
      <c r="H590" s="38"/>
      <c r="I590" s="38"/>
      <c r="J590" s="38"/>
    </row>
    <row r="591" hidden="1">
      <c r="D591" s="38"/>
      <c r="E591" s="38"/>
      <c r="F591" s="38"/>
      <c r="G591" s="38"/>
      <c r="H591" s="38"/>
      <c r="I591" s="38"/>
      <c r="J591" s="38"/>
    </row>
    <row r="592" hidden="1">
      <c r="D592" s="38"/>
      <c r="E592" s="38"/>
      <c r="F592" s="38"/>
      <c r="G592" s="38"/>
      <c r="H592" s="38"/>
      <c r="I592" s="38"/>
      <c r="J592" s="38"/>
    </row>
    <row r="593" hidden="1">
      <c r="D593" s="38"/>
      <c r="E593" s="38"/>
      <c r="F593" s="38"/>
      <c r="G593" s="38"/>
      <c r="H593" s="38"/>
      <c r="I593" s="38"/>
      <c r="J593" s="38"/>
    </row>
    <row r="594" hidden="1">
      <c r="D594" s="38"/>
      <c r="E594" s="38"/>
      <c r="F594" s="38"/>
      <c r="G594" s="38"/>
      <c r="H594" s="38"/>
      <c r="I594" s="38"/>
      <c r="J594" s="38"/>
    </row>
    <row r="595" hidden="1">
      <c r="D595" s="38"/>
      <c r="E595" s="38"/>
      <c r="F595" s="38"/>
      <c r="G595" s="38"/>
      <c r="H595" s="38"/>
      <c r="I595" s="38"/>
      <c r="J595" s="38"/>
    </row>
    <row r="596" hidden="1">
      <c r="D596" s="38"/>
      <c r="E596" s="38"/>
      <c r="F596" s="38"/>
      <c r="G596" s="38"/>
      <c r="H596" s="38"/>
      <c r="I596" s="38"/>
      <c r="J596" s="38"/>
    </row>
    <row r="597" hidden="1">
      <c r="D597" s="38"/>
      <c r="E597" s="38"/>
      <c r="F597" s="38"/>
      <c r="G597" s="38"/>
      <c r="H597" s="38"/>
      <c r="I597" s="38"/>
      <c r="J597" s="38"/>
    </row>
    <row r="598" hidden="1">
      <c r="D598" s="38"/>
      <c r="E598" s="38"/>
      <c r="F598" s="38"/>
      <c r="G598" s="38"/>
      <c r="H598" s="38"/>
      <c r="I598" s="38"/>
      <c r="J598" s="38"/>
    </row>
    <row r="599" hidden="1">
      <c r="D599" s="38"/>
      <c r="E599" s="38"/>
      <c r="F599" s="38"/>
      <c r="G599" s="38"/>
      <c r="H599" s="38"/>
      <c r="I599" s="38"/>
      <c r="J599" s="38"/>
    </row>
    <row r="600" hidden="1">
      <c r="D600" s="38"/>
      <c r="E600" s="38"/>
      <c r="F600" s="38"/>
      <c r="G600" s="38"/>
      <c r="H600" s="38"/>
      <c r="I600" s="38"/>
      <c r="J600" s="38"/>
    </row>
    <row r="601" hidden="1">
      <c r="D601" s="38"/>
      <c r="E601" s="38"/>
      <c r="F601" s="38"/>
      <c r="G601" s="38"/>
      <c r="H601" s="38"/>
      <c r="I601" s="38"/>
      <c r="J601" s="38"/>
    </row>
    <row r="602" hidden="1">
      <c r="D602" s="38"/>
      <c r="E602" s="38"/>
      <c r="F602" s="38"/>
      <c r="G602" s="38"/>
      <c r="H602" s="38"/>
      <c r="I602" s="38"/>
      <c r="J602" s="38"/>
    </row>
    <row r="603" hidden="1">
      <c r="D603" s="38"/>
      <c r="E603" s="38"/>
      <c r="F603" s="38"/>
      <c r="G603" s="38"/>
      <c r="H603" s="38"/>
      <c r="I603" s="38"/>
      <c r="J603" s="38"/>
    </row>
    <row r="604" hidden="1">
      <c r="D604" s="38"/>
      <c r="E604" s="38"/>
      <c r="F604" s="38"/>
      <c r="G604" s="38"/>
      <c r="H604" s="38"/>
      <c r="I604" s="38"/>
      <c r="J604" s="38"/>
    </row>
    <row r="605" hidden="1">
      <c r="D605" s="38"/>
      <c r="E605" s="38"/>
      <c r="F605" s="38"/>
      <c r="G605" s="38"/>
      <c r="H605" s="38"/>
      <c r="I605" s="38"/>
      <c r="J605" s="38"/>
    </row>
    <row r="606" hidden="1">
      <c r="D606" s="38"/>
      <c r="E606" s="38"/>
      <c r="F606" s="38"/>
      <c r="G606" s="38"/>
      <c r="H606" s="38"/>
      <c r="I606" s="38"/>
      <c r="J606" s="38"/>
    </row>
    <row r="607" hidden="1">
      <c r="D607" s="38"/>
      <c r="E607" s="38"/>
      <c r="F607" s="38"/>
      <c r="G607" s="38"/>
      <c r="H607" s="38"/>
      <c r="I607" s="38"/>
      <c r="J607" s="38"/>
    </row>
    <row r="608" hidden="1">
      <c r="D608" s="38"/>
      <c r="E608" s="38"/>
      <c r="F608" s="38"/>
      <c r="G608" s="38"/>
      <c r="H608" s="38"/>
      <c r="I608" s="38"/>
      <c r="J608" s="38"/>
    </row>
    <row r="609" hidden="1">
      <c r="D609" s="38"/>
      <c r="E609" s="38"/>
      <c r="F609" s="38"/>
      <c r="G609" s="38"/>
      <c r="H609" s="38"/>
      <c r="I609" s="38"/>
      <c r="J609" s="38"/>
    </row>
    <row r="610" hidden="1">
      <c r="D610" s="38"/>
      <c r="E610" s="38"/>
      <c r="F610" s="38"/>
      <c r="G610" s="38"/>
      <c r="H610" s="38"/>
      <c r="I610" s="38"/>
      <c r="J610" s="38"/>
    </row>
    <row r="611" hidden="1">
      <c r="D611" s="38"/>
      <c r="E611" s="38"/>
      <c r="F611" s="38"/>
      <c r="G611" s="38"/>
      <c r="H611" s="38"/>
      <c r="I611" s="38"/>
      <c r="J611" s="38"/>
    </row>
    <row r="612" hidden="1">
      <c r="D612" s="38"/>
      <c r="E612" s="38"/>
      <c r="F612" s="38"/>
      <c r="G612" s="38"/>
      <c r="H612" s="38"/>
      <c r="I612" s="38"/>
      <c r="J612" s="38"/>
    </row>
    <row r="613" hidden="1">
      <c r="D613" s="38"/>
      <c r="E613" s="38"/>
      <c r="F613" s="38"/>
      <c r="G613" s="38"/>
      <c r="H613" s="38"/>
      <c r="I613" s="38"/>
      <c r="J613" s="38"/>
    </row>
    <row r="614" hidden="1">
      <c r="D614" s="38"/>
      <c r="E614" s="38"/>
      <c r="F614" s="38"/>
      <c r="G614" s="38"/>
      <c r="H614" s="38"/>
      <c r="I614" s="38"/>
      <c r="J614" s="38"/>
    </row>
    <row r="615" hidden="1">
      <c r="D615" s="38"/>
      <c r="E615" s="38"/>
      <c r="F615" s="38"/>
      <c r="G615" s="38"/>
      <c r="H615" s="38"/>
      <c r="I615" s="38"/>
      <c r="J615" s="38"/>
    </row>
    <row r="616" hidden="1">
      <c r="D616" s="38"/>
      <c r="E616" s="38"/>
      <c r="F616" s="38"/>
      <c r="G616" s="38"/>
      <c r="H616" s="38"/>
      <c r="I616" s="38"/>
      <c r="J616" s="38"/>
    </row>
    <row r="617" hidden="1">
      <c r="D617" s="38"/>
      <c r="E617" s="38"/>
      <c r="F617" s="38"/>
      <c r="G617" s="38"/>
      <c r="H617" s="38"/>
      <c r="I617" s="38"/>
      <c r="J617" s="38"/>
    </row>
    <row r="618" hidden="1">
      <c r="D618" s="38"/>
      <c r="E618" s="38"/>
      <c r="F618" s="38"/>
      <c r="G618" s="38"/>
      <c r="H618" s="38"/>
      <c r="I618" s="38"/>
      <c r="J618" s="38"/>
    </row>
    <row r="619" hidden="1">
      <c r="D619" s="38"/>
      <c r="E619" s="38"/>
      <c r="F619" s="38"/>
      <c r="G619" s="38"/>
      <c r="H619" s="38"/>
      <c r="I619" s="38"/>
      <c r="J619" s="38"/>
    </row>
    <row r="620" hidden="1">
      <c r="D620" s="38"/>
      <c r="E620" s="38"/>
      <c r="F620" s="38"/>
      <c r="G620" s="38"/>
      <c r="H620" s="38"/>
      <c r="I620" s="38"/>
      <c r="J620" s="38"/>
    </row>
    <row r="621" hidden="1">
      <c r="D621" s="38"/>
      <c r="E621" s="38"/>
      <c r="F621" s="38"/>
      <c r="G621" s="38"/>
      <c r="H621" s="38"/>
      <c r="I621" s="38"/>
      <c r="J621" s="38"/>
    </row>
    <row r="622" hidden="1">
      <c r="D622" s="38"/>
      <c r="E622" s="38"/>
      <c r="F622" s="38"/>
      <c r="G622" s="38"/>
      <c r="H622" s="38"/>
      <c r="I622" s="38"/>
      <c r="J622" s="38"/>
    </row>
    <row r="623" hidden="1">
      <c r="D623" s="38"/>
      <c r="E623" s="38"/>
      <c r="F623" s="38"/>
      <c r="G623" s="38"/>
      <c r="H623" s="38"/>
      <c r="I623" s="38"/>
      <c r="J623" s="38"/>
    </row>
    <row r="624" hidden="1">
      <c r="D624" s="38"/>
      <c r="E624" s="38"/>
      <c r="F624" s="38"/>
      <c r="G624" s="38"/>
      <c r="H624" s="38"/>
      <c r="I624" s="38"/>
      <c r="J624" s="38"/>
    </row>
    <row r="625" hidden="1">
      <c r="D625" s="38"/>
      <c r="E625" s="38"/>
      <c r="F625" s="38"/>
      <c r="G625" s="38"/>
      <c r="H625" s="38"/>
      <c r="I625" s="38"/>
      <c r="J625" s="38"/>
    </row>
    <row r="626" hidden="1">
      <c r="D626" s="38"/>
      <c r="E626" s="38"/>
      <c r="F626" s="38"/>
      <c r="G626" s="38"/>
      <c r="H626" s="38"/>
      <c r="I626" s="38"/>
      <c r="J626" s="38"/>
    </row>
    <row r="627" hidden="1">
      <c r="D627" s="38"/>
      <c r="E627" s="38"/>
      <c r="F627" s="38"/>
      <c r="G627" s="38"/>
      <c r="H627" s="38"/>
      <c r="I627" s="38"/>
      <c r="J627" s="38"/>
    </row>
    <row r="628" hidden="1">
      <c r="D628" s="38"/>
      <c r="E628" s="38"/>
      <c r="F628" s="38"/>
      <c r="G628" s="38"/>
      <c r="H628" s="38"/>
      <c r="I628" s="38"/>
      <c r="J628" s="38"/>
    </row>
    <row r="629" hidden="1">
      <c r="D629" s="38"/>
      <c r="E629" s="38"/>
      <c r="F629" s="38"/>
      <c r="G629" s="38"/>
      <c r="H629" s="38"/>
      <c r="I629" s="38"/>
      <c r="J629" s="38"/>
    </row>
    <row r="630" hidden="1">
      <c r="D630" s="38"/>
      <c r="E630" s="38"/>
      <c r="F630" s="38"/>
      <c r="G630" s="38"/>
      <c r="H630" s="38"/>
      <c r="I630" s="38"/>
      <c r="J630" s="38"/>
    </row>
    <row r="631" hidden="1">
      <c r="D631" s="38"/>
      <c r="E631" s="38"/>
      <c r="F631" s="38"/>
      <c r="G631" s="38"/>
      <c r="H631" s="38"/>
      <c r="I631" s="38"/>
      <c r="J631" s="38"/>
    </row>
    <row r="632" hidden="1">
      <c r="D632" s="38"/>
      <c r="E632" s="38"/>
      <c r="F632" s="38"/>
      <c r="G632" s="38"/>
      <c r="H632" s="38"/>
      <c r="I632" s="38"/>
      <c r="J632" s="38"/>
    </row>
    <row r="633" hidden="1">
      <c r="D633" s="38"/>
      <c r="E633" s="38"/>
      <c r="F633" s="38"/>
      <c r="G633" s="38"/>
      <c r="H633" s="38"/>
      <c r="I633" s="38"/>
      <c r="J633" s="38"/>
    </row>
    <row r="634" hidden="1">
      <c r="D634" s="38"/>
      <c r="E634" s="38"/>
      <c r="F634" s="38"/>
      <c r="G634" s="38"/>
      <c r="H634" s="38"/>
      <c r="I634" s="38"/>
      <c r="J634" s="38"/>
    </row>
    <row r="635" hidden="1">
      <c r="D635" s="38"/>
      <c r="E635" s="38"/>
      <c r="F635" s="38"/>
      <c r="G635" s="38"/>
      <c r="H635" s="38"/>
      <c r="I635" s="38"/>
      <c r="J635" s="38"/>
    </row>
    <row r="636" hidden="1">
      <c r="D636" s="38"/>
      <c r="E636" s="38"/>
      <c r="F636" s="38"/>
      <c r="G636" s="38"/>
      <c r="H636" s="38"/>
      <c r="I636" s="38"/>
      <c r="J636" s="38"/>
    </row>
    <row r="637" hidden="1">
      <c r="D637" s="38"/>
      <c r="E637" s="38"/>
      <c r="F637" s="38"/>
      <c r="G637" s="38"/>
      <c r="H637" s="38"/>
      <c r="I637" s="38"/>
      <c r="J637" s="38"/>
    </row>
    <row r="638" hidden="1">
      <c r="D638" s="38"/>
      <c r="E638" s="38"/>
      <c r="F638" s="38"/>
      <c r="G638" s="38"/>
      <c r="H638" s="38"/>
      <c r="I638" s="38"/>
      <c r="J638" s="38"/>
    </row>
    <row r="639" hidden="1">
      <c r="D639" s="38"/>
      <c r="E639" s="38"/>
      <c r="F639" s="38"/>
      <c r="G639" s="38"/>
      <c r="H639" s="38"/>
      <c r="I639" s="38"/>
      <c r="J639" s="38"/>
    </row>
    <row r="640" hidden="1">
      <c r="D640" s="38"/>
      <c r="E640" s="38"/>
      <c r="F640" s="38"/>
      <c r="G640" s="38"/>
      <c r="H640" s="38"/>
      <c r="I640" s="38"/>
      <c r="J640" s="38"/>
    </row>
    <row r="641" hidden="1">
      <c r="D641" s="38"/>
      <c r="E641" s="38"/>
      <c r="F641" s="38"/>
      <c r="G641" s="38"/>
      <c r="H641" s="38"/>
      <c r="I641" s="38"/>
      <c r="J641" s="38"/>
    </row>
    <row r="642" hidden="1">
      <c r="D642" s="38"/>
      <c r="E642" s="38"/>
      <c r="F642" s="38"/>
      <c r="G642" s="38"/>
      <c r="H642" s="38"/>
      <c r="I642" s="38"/>
      <c r="J642" s="38"/>
    </row>
    <row r="643" hidden="1">
      <c r="D643" s="38"/>
      <c r="E643" s="38"/>
      <c r="F643" s="38"/>
      <c r="G643" s="38"/>
      <c r="H643" s="38"/>
      <c r="I643" s="38"/>
      <c r="J643" s="38"/>
    </row>
    <row r="644" hidden="1">
      <c r="D644" s="38"/>
      <c r="E644" s="38"/>
      <c r="F644" s="38"/>
      <c r="G644" s="38"/>
      <c r="H644" s="38"/>
      <c r="I644" s="38"/>
      <c r="J644" s="38"/>
    </row>
    <row r="645" hidden="1">
      <c r="D645" s="38"/>
      <c r="E645" s="38"/>
      <c r="F645" s="38"/>
      <c r="G645" s="38"/>
      <c r="H645" s="38"/>
      <c r="I645" s="38"/>
      <c r="J645" s="38"/>
    </row>
    <row r="646" hidden="1">
      <c r="D646" s="38"/>
      <c r="E646" s="38"/>
      <c r="F646" s="38"/>
      <c r="G646" s="38"/>
      <c r="H646" s="38"/>
      <c r="I646" s="38"/>
      <c r="J646" s="38"/>
    </row>
    <row r="647" hidden="1">
      <c r="D647" s="38"/>
      <c r="E647" s="38"/>
      <c r="F647" s="38"/>
      <c r="G647" s="38"/>
      <c r="H647" s="38"/>
      <c r="I647" s="38"/>
      <c r="J647" s="38"/>
    </row>
    <row r="648" hidden="1">
      <c r="D648" s="38"/>
      <c r="E648" s="38"/>
      <c r="F648" s="38"/>
      <c r="G648" s="38"/>
      <c r="H648" s="38"/>
      <c r="I648" s="38"/>
      <c r="J648" s="38"/>
    </row>
    <row r="649" hidden="1">
      <c r="D649" s="38"/>
      <c r="E649" s="38"/>
      <c r="F649" s="38"/>
      <c r="G649" s="38"/>
      <c r="H649" s="38"/>
      <c r="I649" s="38"/>
      <c r="J649" s="38"/>
    </row>
    <row r="650" hidden="1">
      <c r="D650" s="38"/>
      <c r="E650" s="38"/>
      <c r="F650" s="38"/>
      <c r="G650" s="38"/>
      <c r="H650" s="38"/>
      <c r="I650" s="38"/>
      <c r="J650" s="38"/>
    </row>
    <row r="651" hidden="1">
      <c r="D651" s="38"/>
      <c r="E651" s="38"/>
      <c r="F651" s="38"/>
      <c r="G651" s="38"/>
      <c r="H651" s="38"/>
      <c r="I651" s="38"/>
      <c r="J651" s="38"/>
    </row>
    <row r="652" hidden="1">
      <c r="D652" s="38"/>
      <c r="E652" s="38"/>
      <c r="F652" s="38"/>
      <c r="G652" s="38"/>
      <c r="H652" s="38"/>
      <c r="I652" s="38"/>
      <c r="J652" s="38"/>
    </row>
    <row r="653" hidden="1">
      <c r="D653" s="38"/>
      <c r="E653" s="38"/>
      <c r="F653" s="38"/>
      <c r="G653" s="38"/>
      <c r="H653" s="38"/>
      <c r="I653" s="38"/>
      <c r="J653" s="38"/>
    </row>
    <row r="654" hidden="1">
      <c r="D654" s="38"/>
      <c r="E654" s="38"/>
      <c r="F654" s="38"/>
      <c r="G654" s="38"/>
      <c r="H654" s="38"/>
      <c r="I654" s="38"/>
      <c r="J654" s="38"/>
    </row>
    <row r="655" hidden="1">
      <c r="D655" s="38"/>
      <c r="E655" s="38"/>
      <c r="F655" s="38"/>
      <c r="G655" s="38"/>
      <c r="H655" s="38"/>
      <c r="I655" s="38"/>
      <c r="J655" s="38"/>
    </row>
    <row r="656" hidden="1">
      <c r="D656" s="38"/>
      <c r="E656" s="38"/>
      <c r="F656" s="38"/>
      <c r="G656" s="38"/>
      <c r="H656" s="38"/>
      <c r="I656" s="38"/>
      <c r="J656" s="38"/>
    </row>
    <row r="657" hidden="1">
      <c r="D657" s="38"/>
      <c r="E657" s="38"/>
      <c r="F657" s="38"/>
      <c r="G657" s="38"/>
      <c r="H657" s="38"/>
      <c r="I657" s="38"/>
      <c r="J657" s="38"/>
    </row>
    <row r="658" hidden="1">
      <c r="D658" s="38"/>
      <c r="E658" s="38"/>
      <c r="F658" s="38"/>
      <c r="G658" s="38"/>
      <c r="H658" s="38"/>
      <c r="I658" s="38"/>
      <c r="J658" s="38"/>
    </row>
    <row r="659" hidden="1">
      <c r="D659" s="38"/>
      <c r="E659" s="38"/>
      <c r="F659" s="38"/>
      <c r="G659" s="38"/>
      <c r="H659" s="38"/>
      <c r="I659" s="38"/>
      <c r="J659" s="38"/>
    </row>
    <row r="660" hidden="1">
      <c r="D660" s="38"/>
      <c r="E660" s="38"/>
      <c r="F660" s="38"/>
      <c r="G660" s="38"/>
      <c r="H660" s="38"/>
      <c r="I660" s="38"/>
      <c r="J660" s="38"/>
    </row>
    <row r="661" hidden="1">
      <c r="D661" s="38"/>
      <c r="E661" s="38"/>
      <c r="F661" s="38"/>
      <c r="G661" s="38"/>
      <c r="H661" s="38"/>
      <c r="I661" s="38"/>
      <c r="J661" s="38"/>
    </row>
    <row r="662" hidden="1">
      <c r="D662" s="38"/>
      <c r="E662" s="38"/>
      <c r="F662" s="38"/>
      <c r="G662" s="38"/>
      <c r="H662" s="38"/>
      <c r="I662" s="38"/>
      <c r="J662" s="38"/>
    </row>
    <row r="663" hidden="1">
      <c r="D663" s="38"/>
      <c r="E663" s="38"/>
      <c r="F663" s="38"/>
      <c r="G663" s="38"/>
      <c r="H663" s="38"/>
      <c r="I663" s="38"/>
      <c r="J663" s="38"/>
    </row>
    <row r="664" hidden="1">
      <c r="D664" s="38"/>
      <c r="E664" s="38"/>
      <c r="F664" s="38"/>
      <c r="G664" s="38"/>
      <c r="H664" s="38"/>
      <c r="I664" s="38"/>
      <c r="J664" s="38"/>
    </row>
    <row r="665" hidden="1">
      <c r="D665" s="38"/>
      <c r="E665" s="38"/>
      <c r="F665" s="38"/>
      <c r="G665" s="38"/>
      <c r="H665" s="38"/>
      <c r="I665" s="38"/>
      <c r="J665" s="38"/>
    </row>
    <row r="666" hidden="1">
      <c r="D666" s="38"/>
      <c r="E666" s="38"/>
      <c r="F666" s="38"/>
      <c r="G666" s="38"/>
      <c r="H666" s="38"/>
      <c r="I666" s="38"/>
      <c r="J666" s="38"/>
    </row>
    <row r="667" hidden="1">
      <c r="D667" s="38"/>
      <c r="E667" s="38"/>
      <c r="F667" s="38"/>
      <c r="G667" s="38"/>
      <c r="H667" s="38"/>
      <c r="I667" s="38"/>
      <c r="J667" s="38"/>
    </row>
    <row r="668" hidden="1">
      <c r="D668" s="38"/>
      <c r="E668" s="38"/>
      <c r="F668" s="38"/>
      <c r="G668" s="38"/>
      <c r="H668" s="38"/>
      <c r="I668" s="38"/>
      <c r="J668" s="38"/>
    </row>
    <row r="669" hidden="1">
      <c r="D669" s="38"/>
      <c r="E669" s="38"/>
      <c r="F669" s="38"/>
      <c r="G669" s="38"/>
      <c r="H669" s="38"/>
      <c r="I669" s="38"/>
      <c r="J669" s="38"/>
    </row>
    <row r="670" hidden="1">
      <c r="D670" s="38"/>
      <c r="E670" s="38"/>
      <c r="F670" s="38"/>
      <c r="G670" s="38"/>
      <c r="H670" s="38"/>
      <c r="I670" s="38"/>
      <c r="J670" s="38"/>
    </row>
    <row r="671" hidden="1">
      <c r="D671" s="38"/>
      <c r="E671" s="38"/>
      <c r="F671" s="38"/>
      <c r="G671" s="38"/>
      <c r="H671" s="38"/>
      <c r="I671" s="38"/>
      <c r="J671" s="38"/>
    </row>
    <row r="672" hidden="1">
      <c r="D672" s="38"/>
      <c r="E672" s="38"/>
      <c r="F672" s="38"/>
      <c r="G672" s="38"/>
      <c r="H672" s="38"/>
      <c r="I672" s="38"/>
      <c r="J672" s="38"/>
    </row>
    <row r="673" hidden="1">
      <c r="D673" s="38"/>
      <c r="E673" s="38"/>
      <c r="F673" s="38"/>
      <c r="G673" s="38"/>
      <c r="H673" s="38"/>
      <c r="I673" s="38"/>
      <c r="J673" s="38"/>
    </row>
    <row r="674" hidden="1">
      <c r="D674" s="38"/>
      <c r="E674" s="38"/>
      <c r="F674" s="38"/>
      <c r="G674" s="38"/>
      <c r="H674" s="38"/>
      <c r="I674" s="38"/>
      <c r="J674" s="38"/>
    </row>
    <row r="675" hidden="1">
      <c r="D675" s="38"/>
      <c r="E675" s="38"/>
      <c r="F675" s="38"/>
      <c r="G675" s="38"/>
      <c r="H675" s="38"/>
      <c r="I675" s="38"/>
      <c r="J675" s="38"/>
    </row>
    <row r="676" hidden="1">
      <c r="D676" s="38"/>
      <c r="E676" s="38"/>
      <c r="F676" s="38"/>
      <c r="G676" s="38"/>
      <c r="H676" s="38"/>
      <c r="I676" s="38"/>
      <c r="J676" s="38"/>
    </row>
    <row r="677" hidden="1">
      <c r="D677" s="38"/>
      <c r="E677" s="38"/>
      <c r="F677" s="38"/>
      <c r="G677" s="38"/>
      <c r="H677" s="38"/>
      <c r="I677" s="38"/>
      <c r="J677" s="38"/>
    </row>
    <row r="678" hidden="1">
      <c r="D678" s="38"/>
      <c r="E678" s="38"/>
      <c r="F678" s="38"/>
      <c r="G678" s="38"/>
      <c r="H678" s="38"/>
      <c r="I678" s="38"/>
      <c r="J678" s="38"/>
    </row>
    <row r="679" hidden="1">
      <c r="D679" s="38"/>
      <c r="E679" s="38"/>
      <c r="F679" s="38"/>
      <c r="G679" s="38"/>
      <c r="H679" s="38"/>
      <c r="I679" s="38"/>
      <c r="J679" s="38"/>
    </row>
    <row r="680" hidden="1">
      <c r="D680" s="38"/>
      <c r="E680" s="38"/>
      <c r="F680" s="38"/>
      <c r="G680" s="38"/>
      <c r="H680" s="38"/>
      <c r="I680" s="38"/>
      <c r="J680" s="38"/>
    </row>
    <row r="681" hidden="1">
      <c r="D681" s="38"/>
      <c r="E681" s="38"/>
      <c r="F681" s="38"/>
      <c r="G681" s="38"/>
      <c r="H681" s="38"/>
      <c r="I681" s="38"/>
      <c r="J681" s="38"/>
    </row>
    <row r="682" hidden="1">
      <c r="D682" s="38"/>
      <c r="E682" s="38"/>
      <c r="F682" s="38"/>
      <c r="G682" s="38"/>
      <c r="H682" s="38"/>
      <c r="I682" s="38"/>
      <c r="J682" s="38"/>
    </row>
    <row r="683" hidden="1">
      <c r="D683" s="38"/>
      <c r="E683" s="38"/>
      <c r="F683" s="38"/>
      <c r="G683" s="38"/>
      <c r="H683" s="38"/>
      <c r="I683" s="38"/>
      <c r="J683" s="38"/>
    </row>
    <row r="684" hidden="1">
      <c r="D684" s="38"/>
      <c r="E684" s="38"/>
      <c r="F684" s="38"/>
      <c r="G684" s="38"/>
      <c r="H684" s="38"/>
      <c r="I684" s="38"/>
      <c r="J684" s="38"/>
    </row>
    <row r="685" hidden="1">
      <c r="D685" s="38"/>
      <c r="E685" s="38"/>
      <c r="F685" s="38"/>
      <c r="G685" s="38"/>
      <c r="H685" s="38"/>
      <c r="I685" s="38"/>
      <c r="J685" s="38"/>
    </row>
    <row r="686" hidden="1">
      <c r="D686" s="38"/>
      <c r="E686" s="38"/>
      <c r="F686" s="38"/>
      <c r="G686" s="38"/>
      <c r="H686" s="38"/>
      <c r="I686" s="38"/>
      <c r="J686" s="38"/>
    </row>
    <row r="687" hidden="1">
      <c r="D687" s="38"/>
      <c r="E687" s="38"/>
      <c r="F687" s="38"/>
      <c r="G687" s="38"/>
      <c r="H687" s="38"/>
      <c r="I687" s="38"/>
      <c r="J687" s="38"/>
    </row>
    <row r="688" hidden="1">
      <c r="D688" s="38"/>
      <c r="E688" s="38"/>
      <c r="F688" s="38"/>
      <c r="G688" s="38"/>
      <c r="H688" s="38"/>
      <c r="I688" s="38"/>
      <c r="J688" s="38"/>
    </row>
    <row r="689" hidden="1">
      <c r="D689" s="38"/>
      <c r="E689" s="38"/>
      <c r="F689" s="38"/>
      <c r="G689" s="38"/>
      <c r="H689" s="38"/>
      <c r="I689" s="38"/>
      <c r="J689" s="38"/>
    </row>
    <row r="690" hidden="1">
      <c r="D690" s="38"/>
      <c r="E690" s="38"/>
      <c r="F690" s="38"/>
      <c r="G690" s="38"/>
      <c r="H690" s="38"/>
      <c r="I690" s="38"/>
      <c r="J690" s="38"/>
    </row>
    <row r="691" hidden="1">
      <c r="D691" s="38"/>
      <c r="E691" s="38"/>
      <c r="F691" s="38"/>
      <c r="G691" s="38"/>
      <c r="H691" s="38"/>
      <c r="I691" s="38"/>
      <c r="J691" s="38"/>
    </row>
    <row r="692" hidden="1">
      <c r="D692" s="38"/>
      <c r="E692" s="38"/>
      <c r="F692" s="38"/>
      <c r="G692" s="38"/>
      <c r="H692" s="38"/>
      <c r="I692" s="38"/>
      <c r="J692" s="38"/>
    </row>
    <row r="693" hidden="1">
      <c r="D693" s="38"/>
      <c r="E693" s="38"/>
      <c r="F693" s="38"/>
      <c r="G693" s="38"/>
      <c r="H693" s="38"/>
      <c r="I693" s="38"/>
      <c r="J693" s="38"/>
    </row>
    <row r="694" hidden="1">
      <c r="D694" s="38"/>
      <c r="E694" s="38"/>
      <c r="F694" s="38"/>
      <c r="G694" s="38"/>
      <c r="H694" s="38"/>
      <c r="I694" s="38"/>
      <c r="J694" s="38"/>
    </row>
    <row r="695" hidden="1">
      <c r="D695" s="38"/>
      <c r="E695" s="38"/>
      <c r="F695" s="38"/>
      <c r="G695" s="38"/>
      <c r="H695" s="38"/>
      <c r="I695" s="38"/>
      <c r="J695" s="38"/>
    </row>
    <row r="696" hidden="1">
      <c r="D696" s="38"/>
      <c r="E696" s="38"/>
      <c r="F696" s="38"/>
      <c r="G696" s="38"/>
      <c r="H696" s="38"/>
      <c r="I696" s="38"/>
      <c r="J696" s="38"/>
    </row>
    <row r="697" hidden="1">
      <c r="D697" s="38"/>
      <c r="E697" s="38"/>
      <c r="F697" s="38"/>
      <c r="G697" s="38"/>
      <c r="H697" s="38"/>
      <c r="I697" s="38"/>
      <c r="J697" s="38"/>
    </row>
    <row r="698" hidden="1">
      <c r="D698" s="38"/>
      <c r="E698" s="38"/>
      <c r="F698" s="38"/>
      <c r="G698" s="38"/>
      <c r="H698" s="38"/>
      <c r="I698" s="38"/>
      <c r="J698" s="38"/>
    </row>
    <row r="699" hidden="1">
      <c r="D699" s="38"/>
      <c r="E699" s="38"/>
      <c r="F699" s="38"/>
      <c r="G699" s="38"/>
      <c r="H699" s="38"/>
      <c r="I699" s="38"/>
      <c r="J699" s="38"/>
    </row>
    <row r="700" hidden="1">
      <c r="D700" s="38"/>
      <c r="E700" s="38"/>
      <c r="F700" s="38"/>
      <c r="G700" s="38"/>
      <c r="H700" s="38"/>
      <c r="I700" s="38"/>
      <c r="J700" s="38"/>
    </row>
    <row r="701" hidden="1">
      <c r="D701" s="38"/>
      <c r="E701" s="38"/>
      <c r="F701" s="38"/>
      <c r="G701" s="38"/>
      <c r="H701" s="38"/>
      <c r="I701" s="38"/>
      <c r="J701" s="38"/>
    </row>
    <row r="702" hidden="1">
      <c r="D702" s="38"/>
      <c r="E702" s="38"/>
      <c r="F702" s="38"/>
      <c r="G702" s="38"/>
      <c r="H702" s="38"/>
      <c r="I702" s="38"/>
      <c r="J702" s="38"/>
    </row>
    <row r="703" hidden="1">
      <c r="D703" s="38"/>
      <c r="E703" s="38"/>
      <c r="F703" s="38"/>
      <c r="G703" s="38"/>
      <c r="H703" s="38"/>
      <c r="I703" s="38"/>
      <c r="J703" s="38"/>
    </row>
    <row r="704" hidden="1">
      <c r="D704" s="38"/>
      <c r="E704" s="38"/>
      <c r="F704" s="38"/>
      <c r="G704" s="38"/>
      <c r="H704" s="38"/>
      <c r="I704" s="38"/>
      <c r="J704" s="38"/>
    </row>
    <row r="705" hidden="1">
      <c r="D705" s="38"/>
      <c r="E705" s="38"/>
      <c r="F705" s="38"/>
      <c r="G705" s="38"/>
      <c r="H705" s="38"/>
      <c r="I705" s="38"/>
      <c r="J705" s="38"/>
    </row>
    <row r="706" hidden="1">
      <c r="D706" s="38"/>
      <c r="E706" s="38"/>
      <c r="F706" s="38"/>
      <c r="G706" s="38"/>
      <c r="H706" s="38"/>
      <c r="I706" s="38"/>
      <c r="J706" s="38"/>
    </row>
    <row r="707" hidden="1">
      <c r="D707" s="38"/>
      <c r="E707" s="38"/>
      <c r="F707" s="38"/>
      <c r="G707" s="38"/>
      <c r="H707" s="38"/>
      <c r="I707" s="38"/>
      <c r="J707" s="38"/>
    </row>
    <row r="708" hidden="1">
      <c r="D708" s="38"/>
      <c r="E708" s="38"/>
      <c r="F708" s="38"/>
      <c r="G708" s="38"/>
      <c r="H708" s="38"/>
      <c r="I708" s="38"/>
      <c r="J708" s="38"/>
    </row>
    <row r="709" hidden="1">
      <c r="D709" s="38"/>
      <c r="E709" s="38"/>
      <c r="F709" s="38"/>
      <c r="G709" s="38"/>
      <c r="H709" s="38"/>
      <c r="I709" s="38"/>
      <c r="J709" s="38"/>
    </row>
    <row r="710" hidden="1">
      <c r="D710" s="38"/>
      <c r="E710" s="38"/>
      <c r="F710" s="38"/>
      <c r="G710" s="38"/>
      <c r="H710" s="38"/>
      <c r="I710" s="38"/>
      <c r="J710" s="38"/>
    </row>
    <row r="711" hidden="1">
      <c r="D711" s="38"/>
      <c r="E711" s="38"/>
      <c r="F711" s="38"/>
      <c r="G711" s="38"/>
      <c r="H711" s="38"/>
      <c r="I711" s="38"/>
      <c r="J711" s="38"/>
    </row>
    <row r="712" hidden="1">
      <c r="D712" s="38"/>
      <c r="E712" s="38"/>
      <c r="F712" s="38"/>
      <c r="G712" s="38"/>
      <c r="H712" s="38"/>
      <c r="I712" s="38"/>
      <c r="J712" s="38"/>
    </row>
    <row r="713" hidden="1">
      <c r="D713" s="38"/>
      <c r="E713" s="38"/>
      <c r="F713" s="38"/>
      <c r="G713" s="38"/>
      <c r="H713" s="38"/>
      <c r="I713" s="38"/>
      <c r="J713" s="38"/>
    </row>
    <row r="714" hidden="1">
      <c r="D714" s="38"/>
      <c r="E714" s="38"/>
      <c r="F714" s="38"/>
      <c r="G714" s="38"/>
      <c r="H714" s="38"/>
      <c r="I714" s="38"/>
      <c r="J714" s="38"/>
    </row>
    <row r="715" hidden="1">
      <c r="D715" s="38"/>
      <c r="E715" s="38"/>
      <c r="F715" s="38"/>
      <c r="G715" s="38"/>
      <c r="H715" s="38"/>
      <c r="I715" s="38"/>
      <c r="J715" s="38"/>
    </row>
    <row r="716" hidden="1">
      <c r="D716" s="38"/>
      <c r="E716" s="38"/>
      <c r="F716" s="38"/>
      <c r="G716" s="38"/>
      <c r="H716" s="38"/>
      <c r="I716" s="38"/>
      <c r="J716" s="38"/>
    </row>
    <row r="717" hidden="1">
      <c r="D717" s="38"/>
      <c r="E717" s="38"/>
      <c r="F717" s="38"/>
      <c r="G717" s="38"/>
      <c r="H717" s="38"/>
      <c r="I717" s="38"/>
      <c r="J717" s="38"/>
    </row>
    <row r="718" hidden="1">
      <c r="D718" s="38"/>
      <c r="E718" s="38"/>
      <c r="F718" s="38"/>
      <c r="G718" s="38"/>
      <c r="H718" s="38"/>
      <c r="I718" s="38"/>
      <c r="J718" s="38"/>
    </row>
    <row r="719" hidden="1">
      <c r="D719" s="38"/>
      <c r="E719" s="38"/>
      <c r="F719" s="38"/>
      <c r="G719" s="38"/>
      <c r="H719" s="38"/>
      <c r="I719" s="38"/>
      <c r="J719" s="38"/>
    </row>
    <row r="720" hidden="1">
      <c r="D720" s="38"/>
      <c r="E720" s="38"/>
      <c r="F720" s="38"/>
      <c r="G720" s="38"/>
      <c r="H720" s="38"/>
      <c r="I720" s="38"/>
      <c r="J720" s="38"/>
    </row>
    <row r="721" hidden="1">
      <c r="D721" s="38"/>
      <c r="E721" s="38"/>
      <c r="F721" s="38"/>
      <c r="G721" s="38"/>
      <c r="H721" s="38"/>
      <c r="I721" s="38"/>
      <c r="J721" s="38"/>
    </row>
    <row r="722" hidden="1">
      <c r="D722" s="38"/>
      <c r="E722" s="38"/>
      <c r="F722" s="38"/>
      <c r="G722" s="38"/>
      <c r="H722" s="38"/>
      <c r="I722" s="38"/>
      <c r="J722" s="38"/>
    </row>
    <row r="723" hidden="1">
      <c r="D723" s="38"/>
      <c r="E723" s="38"/>
      <c r="F723" s="38"/>
      <c r="G723" s="38"/>
      <c r="H723" s="38"/>
      <c r="I723" s="38"/>
      <c r="J723" s="38"/>
    </row>
    <row r="724" hidden="1">
      <c r="D724" s="38"/>
      <c r="E724" s="38"/>
      <c r="F724" s="38"/>
      <c r="G724" s="38"/>
      <c r="H724" s="38"/>
      <c r="I724" s="38"/>
      <c r="J724" s="38"/>
    </row>
    <row r="725" hidden="1">
      <c r="D725" s="38"/>
      <c r="E725" s="38"/>
      <c r="F725" s="38"/>
      <c r="G725" s="38"/>
      <c r="H725" s="38"/>
      <c r="I725" s="38"/>
      <c r="J725" s="38"/>
    </row>
    <row r="726" hidden="1">
      <c r="D726" s="38"/>
      <c r="E726" s="38"/>
      <c r="F726" s="38"/>
      <c r="G726" s="38"/>
      <c r="H726" s="38"/>
      <c r="I726" s="38"/>
      <c r="J726" s="38"/>
    </row>
    <row r="727" hidden="1">
      <c r="D727" s="38"/>
      <c r="E727" s="38"/>
      <c r="F727" s="38"/>
      <c r="G727" s="38"/>
      <c r="H727" s="38"/>
      <c r="I727" s="38"/>
      <c r="J727" s="38"/>
    </row>
    <row r="728" hidden="1">
      <c r="D728" s="38"/>
      <c r="E728" s="38"/>
      <c r="F728" s="38"/>
      <c r="G728" s="38"/>
      <c r="H728" s="38"/>
      <c r="I728" s="38"/>
      <c r="J728" s="38"/>
    </row>
    <row r="729" hidden="1">
      <c r="D729" s="38"/>
      <c r="E729" s="38"/>
      <c r="F729" s="38"/>
      <c r="G729" s="38"/>
      <c r="H729" s="38"/>
      <c r="I729" s="38"/>
      <c r="J729" s="38"/>
    </row>
    <row r="730" hidden="1">
      <c r="D730" s="38"/>
      <c r="E730" s="38"/>
      <c r="F730" s="38"/>
      <c r="G730" s="38"/>
      <c r="H730" s="38"/>
      <c r="I730" s="38"/>
      <c r="J730" s="38"/>
    </row>
    <row r="731" hidden="1">
      <c r="D731" s="38"/>
      <c r="E731" s="38"/>
      <c r="F731" s="38"/>
      <c r="G731" s="38"/>
      <c r="H731" s="38"/>
      <c r="I731" s="38"/>
      <c r="J731" s="38"/>
    </row>
    <row r="732" hidden="1">
      <c r="D732" s="38"/>
      <c r="E732" s="38"/>
      <c r="F732" s="38"/>
      <c r="G732" s="38"/>
      <c r="H732" s="38"/>
      <c r="I732" s="38"/>
      <c r="J732" s="38"/>
    </row>
    <row r="733" hidden="1">
      <c r="D733" s="38"/>
      <c r="E733" s="38"/>
      <c r="F733" s="38"/>
      <c r="G733" s="38"/>
      <c r="H733" s="38"/>
      <c r="I733" s="38"/>
      <c r="J733" s="38"/>
    </row>
    <row r="734" hidden="1">
      <c r="D734" s="38"/>
      <c r="E734" s="38"/>
      <c r="F734" s="38"/>
      <c r="G734" s="38"/>
      <c r="H734" s="38"/>
      <c r="I734" s="38"/>
      <c r="J734" s="38"/>
    </row>
    <row r="735" hidden="1">
      <c r="D735" s="38"/>
      <c r="E735" s="38"/>
      <c r="F735" s="38"/>
      <c r="G735" s="38"/>
      <c r="H735" s="38"/>
      <c r="I735" s="38"/>
      <c r="J735" s="38"/>
    </row>
    <row r="736" hidden="1">
      <c r="D736" s="38"/>
      <c r="E736" s="38"/>
      <c r="F736" s="38"/>
      <c r="G736" s="38"/>
      <c r="H736" s="38"/>
      <c r="I736" s="38"/>
      <c r="J736" s="38"/>
    </row>
    <row r="737" hidden="1">
      <c r="D737" s="38"/>
      <c r="E737" s="38"/>
      <c r="F737" s="38"/>
      <c r="G737" s="38"/>
      <c r="H737" s="38"/>
      <c r="I737" s="38"/>
      <c r="J737" s="38"/>
    </row>
    <row r="738" hidden="1">
      <c r="D738" s="38"/>
      <c r="E738" s="38"/>
      <c r="F738" s="38"/>
      <c r="G738" s="38"/>
      <c r="H738" s="38"/>
      <c r="I738" s="38"/>
      <c r="J738" s="38"/>
    </row>
    <row r="739" hidden="1">
      <c r="D739" s="38"/>
      <c r="E739" s="38"/>
      <c r="F739" s="38"/>
      <c r="G739" s="38"/>
      <c r="H739" s="38"/>
      <c r="I739" s="38"/>
      <c r="J739" s="38"/>
    </row>
    <row r="740" hidden="1">
      <c r="D740" s="38"/>
      <c r="E740" s="38"/>
      <c r="F740" s="38"/>
      <c r="G740" s="38"/>
      <c r="H740" s="38"/>
      <c r="I740" s="38"/>
      <c r="J740" s="38"/>
    </row>
    <row r="741" hidden="1">
      <c r="D741" s="38"/>
      <c r="E741" s="38"/>
      <c r="F741" s="38"/>
      <c r="G741" s="38"/>
      <c r="H741" s="38"/>
      <c r="I741" s="38"/>
      <c r="J741" s="38"/>
    </row>
    <row r="742" hidden="1">
      <c r="D742" s="38"/>
      <c r="E742" s="38"/>
      <c r="F742" s="38"/>
      <c r="G742" s="38"/>
      <c r="H742" s="38"/>
      <c r="I742" s="38"/>
      <c r="J742" s="38"/>
    </row>
    <row r="743" hidden="1">
      <c r="D743" s="38"/>
      <c r="E743" s="38"/>
      <c r="F743" s="38"/>
      <c r="G743" s="38"/>
      <c r="H743" s="38"/>
      <c r="I743" s="38"/>
      <c r="J743" s="38"/>
    </row>
    <row r="744" hidden="1">
      <c r="D744" s="38"/>
      <c r="E744" s="38"/>
      <c r="F744" s="38"/>
      <c r="G744" s="38"/>
      <c r="H744" s="38"/>
      <c r="I744" s="38"/>
      <c r="J744" s="38"/>
    </row>
    <row r="745" hidden="1">
      <c r="D745" s="38"/>
      <c r="E745" s="38"/>
      <c r="F745" s="38"/>
      <c r="G745" s="38"/>
      <c r="H745" s="38"/>
      <c r="I745" s="38"/>
      <c r="J745" s="38"/>
    </row>
    <row r="746" hidden="1">
      <c r="D746" s="38"/>
      <c r="E746" s="38"/>
      <c r="F746" s="38"/>
      <c r="G746" s="38"/>
      <c r="H746" s="38"/>
      <c r="I746" s="38"/>
      <c r="J746" s="38"/>
    </row>
    <row r="747" hidden="1">
      <c r="D747" s="38"/>
      <c r="E747" s="38"/>
      <c r="F747" s="38"/>
      <c r="G747" s="38"/>
      <c r="H747" s="38"/>
      <c r="I747" s="38"/>
      <c r="J747" s="38"/>
    </row>
    <row r="748" hidden="1">
      <c r="D748" s="38"/>
      <c r="E748" s="38"/>
      <c r="F748" s="38"/>
      <c r="G748" s="38"/>
      <c r="H748" s="38"/>
      <c r="I748" s="38"/>
      <c r="J748" s="38"/>
    </row>
    <row r="749" hidden="1">
      <c r="D749" s="38"/>
      <c r="E749" s="38"/>
      <c r="F749" s="38"/>
      <c r="G749" s="38"/>
      <c r="H749" s="38"/>
      <c r="I749" s="38"/>
      <c r="J749" s="38"/>
    </row>
    <row r="750" hidden="1">
      <c r="D750" s="38"/>
      <c r="E750" s="38"/>
      <c r="F750" s="38"/>
      <c r="G750" s="38"/>
      <c r="H750" s="38"/>
      <c r="I750" s="38"/>
      <c r="J750" s="38"/>
    </row>
    <row r="751" hidden="1">
      <c r="D751" s="38"/>
      <c r="E751" s="38"/>
      <c r="F751" s="38"/>
      <c r="G751" s="38"/>
      <c r="H751" s="38"/>
      <c r="I751" s="38"/>
      <c r="J751" s="38"/>
    </row>
    <row r="752" hidden="1">
      <c r="D752" s="38"/>
      <c r="E752" s="38"/>
      <c r="F752" s="38"/>
      <c r="G752" s="38"/>
      <c r="H752" s="38"/>
      <c r="I752" s="38"/>
      <c r="J752" s="38"/>
    </row>
    <row r="753" hidden="1">
      <c r="D753" s="38"/>
      <c r="E753" s="38"/>
      <c r="F753" s="38"/>
      <c r="G753" s="38"/>
      <c r="H753" s="38"/>
      <c r="I753" s="38"/>
      <c r="J753" s="38"/>
    </row>
    <row r="754" hidden="1">
      <c r="D754" s="38"/>
      <c r="E754" s="38"/>
      <c r="F754" s="38"/>
      <c r="G754" s="38"/>
      <c r="H754" s="38"/>
      <c r="I754" s="38"/>
      <c r="J754" s="38"/>
    </row>
    <row r="755" hidden="1">
      <c r="D755" s="38"/>
      <c r="E755" s="38"/>
      <c r="F755" s="38"/>
      <c r="G755" s="38"/>
      <c r="H755" s="38"/>
      <c r="I755" s="38"/>
      <c r="J755" s="38"/>
    </row>
    <row r="756" hidden="1">
      <c r="D756" s="38"/>
      <c r="E756" s="38"/>
      <c r="F756" s="38"/>
      <c r="G756" s="38"/>
      <c r="H756" s="38"/>
      <c r="I756" s="38"/>
      <c r="J756" s="38"/>
    </row>
    <row r="757" hidden="1">
      <c r="D757" s="38"/>
      <c r="E757" s="38"/>
      <c r="F757" s="38"/>
      <c r="G757" s="38"/>
      <c r="H757" s="38"/>
      <c r="I757" s="38"/>
      <c r="J757" s="38"/>
    </row>
    <row r="758" hidden="1">
      <c r="D758" s="38"/>
      <c r="E758" s="38"/>
      <c r="F758" s="38"/>
      <c r="G758" s="38"/>
      <c r="H758" s="38"/>
      <c r="I758" s="38"/>
      <c r="J758" s="38"/>
    </row>
    <row r="759" hidden="1">
      <c r="D759" s="38"/>
      <c r="E759" s="38"/>
      <c r="F759" s="38"/>
      <c r="G759" s="38"/>
      <c r="H759" s="38"/>
      <c r="I759" s="38"/>
      <c r="J759" s="38"/>
    </row>
    <row r="760" hidden="1">
      <c r="D760" s="38"/>
      <c r="E760" s="38"/>
      <c r="F760" s="38"/>
      <c r="G760" s="38"/>
      <c r="H760" s="38"/>
      <c r="I760" s="38"/>
      <c r="J760" s="38"/>
    </row>
    <row r="761" hidden="1">
      <c r="D761" s="38"/>
      <c r="E761" s="38"/>
      <c r="F761" s="38"/>
      <c r="G761" s="38"/>
      <c r="H761" s="38"/>
      <c r="I761" s="38"/>
      <c r="J761" s="38"/>
    </row>
    <row r="762" hidden="1">
      <c r="D762" s="38"/>
      <c r="E762" s="38"/>
      <c r="F762" s="38"/>
      <c r="G762" s="38"/>
      <c r="H762" s="38"/>
      <c r="I762" s="38"/>
      <c r="J762" s="38"/>
    </row>
    <row r="763" hidden="1">
      <c r="D763" s="38"/>
      <c r="E763" s="38"/>
      <c r="F763" s="38"/>
      <c r="G763" s="38"/>
      <c r="H763" s="38"/>
      <c r="I763" s="38"/>
      <c r="J763" s="38"/>
    </row>
    <row r="764" hidden="1">
      <c r="D764" s="38"/>
      <c r="E764" s="38"/>
      <c r="F764" s="38"/>
      <c r="G764" s="38"/>
      <c r="H764" s="38"/>
      <c r="I764" s="38"/>
      <c r="J764" s="38"/>
    </row>
    <row r="765" hidden="1">
      <c r="D765" s="38"/>
      <c r="E765" s="38"/>
      <c r="F765" s="38"/>
      <c r="G765" s="38"/>
      <c r="H765" s="38"/>
      <c r="I765" s="38"/>
      <c r="J765" s="38"/>
    </row>
    <row r="766" hidden="1">
      <c r="D766" s="38"/>
      <c r="E766" s="38"/>
      <c r="F766" s="38"/>
      <c r="G766" s="38"/>
      <c r="H766" s="38"/>
      <c r="I766" s="38"/>
      <c r="J766" s="38"/>
    </row>
    <row r="767" hidden="1">
      <c r="D767" s="38"/>
      <c r="E767" s="38"/>
      <c r="F767" s="38"/>
      <c r="G767" s="38"/>
      <c r="H767" s="38"/>
      <c r="I767" s="38"/>
      <c r="J767" s="38"/>
    </row>
    <row r="768" hidden="1">
      <c r="D768" s="38"/>
      <c r="E768" s="38"/>
      <c r="F768" s="38"/>
      <c r="G768" s="38"/>
      <c r="H768" s="38"/>
      <c r="I768" s="38"/>
      <c r="J768" s="38"/>
    </row>
    <row r="769" hidden="1">
      <c r="D769" s="38"/>
      <c r="E769" s="38"/>
      <c r="F769" s="38"/>
      <c r="G769" s="38"/>
      <c r="H769" s="38"/>
      <c r="I769" s="38"/>
      <c r="J769" s="38"/>
    </row>
    <row r="770" hidden="1">
      <c r="D770" s="38"/>
      <c r="E770" s="38"/>
      <c r="F770" s="38"/>
      <c r="G770" s="38"/>
      <c r="H770" s="38"/>
      <c r="I770" s="38"/>
      <c r="J770" s="38"/>
    </row>
    <row r="771" hidden="1">
      <c r="D771" s="38"/>
      <c r="E771" s="38"/>
      <c r="F771" s="38"/>
      <c r="G771" s="38"/>
      <c r="H771" s="38"/>
      <c r="I771" s="38"/>
      <c r="J771" s="38"/>
    </row>
    <row r="772" hidden="1">
      <c r="D772" s="38"/>
      <c r="E772" s="38"/>
      <c r="F772" s="38"/>
      <c r="G772" s="38"/>
      <c r="H772" s="38"/>
      <c r="I772" s="38"/>
      <c r="J772" s="38"/>
    </row>
    <row r="773" hidden="1">
      <c r="D773" s="38"/>
      <c r="E773" s="38"/>
      <c r="F773" s="38"/>
      <c r="G773" s="38"/>
      <c r="H773" s="38"/>
      <c r="I773" s="38"/>
      <c r="J773" s="38"/>
    </row>
    <row r="774" hidden="1">
      <c r="D774" s="38"/>
      <c r="E774" s="38"/>
      <c r="F774" s="38"/>
      <c r="G774" s="38"/>
      <c r="H774" s="38"/>
      <c r="I774" s="38"/>
      <c r="J774" s="38"/>
    </row>
    <row r="775" hidden="1">
      <c r="D775" s="38"/>
      <c r="E775" s="38"/>
      <c r="F775" s="38"/>
      <c r="G775" s="38"/>
      <c r="H775" s="38"/>
      <c r="I775" s="38"/>
      <c r="J775" s="38"/>
    </row>
    <row r="776" hidden="1">
      <c r="D776" s="38"/>
      <c r="E776" s="38"/>
      <c r="F776" s="38"/>
      <c r="G776" s="38"/>
      <c r="H776" s="38"/>
      <c r="I776" s="38"/>
      <c r="J776" s="38"/>
    </row>
    <row r="777" hidden="1">
      <c r="D777" s="38"/>
      <c r="E777" s="38"/>
      <c r="F777" s="38"/>
      <c r="G777" s="38"/>
      <c r="H777" s="38"/>
      <c r="I777" s="38"/>
      <c r="J777" s="38"/>
    </row>
    <row r="778" hidden="1">
      <c r="D778" s="38"/>
      <c r="E778" s="38"/>
      <c r="F778" s="38"/>
      <c r="G778" s="38"/>
      <c r="H778" s="38"/>
      <c r="I778" s="38"/>
      <c r="J778" s="38"/>
    </row>
    <row r="779" hidden="1">
      <c r="D779" s="38"/>
      <c r="E779" s="38"/>
      <c r="F779" s="38"/>
      <c r="G779" s="38"/>
      <c r="H779" s="38"/>
      <c r="I779" s="38"/>
      <c r="J779" s="38"/>
    </row>
    <row r="780" hidden="1">
      <c r="D780" s="38"/>
      <c r="E780" s="38"/>
      <c r="F780" s="38"/>
      <c r="G780" s="38"/>
      <c r="H780" s="38"/>
      <c r="I780" s="38"/>
      <c r="J780" s="38"/>
    </row>
    <row r="781" hidden="1">
      <c r="D781" s="38"/>
      <c r="E781" s="38"/>
      <c r="F781" s="38"/>
      <c r="G781" s="38"/>
      <c r="H781" s="38"/>
      <c r="I781" s="38"/>
      <c r="J781" s="38"/>
    </row>
    <row r="782" hidden="1">
      <c r="D782" s="38"/>
      <c r="E782" s="38"/>
      <c r="F782" s="38"/>
      <c r="G782" s="38"/>
      <c r="H782" s="38"/>
      <c r="I782" s="38"/>
      <c r="J782" s="38"/>
    </row>
    <row r="783" hidden="1">
      <c r="D783" s="38"/>
      <c r="E783" s="38"/>
      <c r="F783" s="38"/>
      <c r="G783" s="38"/>
      <c r="H783" s="38"/>
      <c r="I783" s="38"/>
      <c r="J783" s="38"/>
    </row>
    <row r="784" hidden="1">
      <c r="D784" s="38"/>
      <c r="E784" s="38"/>
      <c r="F784" s="38"/>
      <c r="G784" s="38"/>
      <c r="H784" s="38"/>
      <c r="I784" s="38"/>
      <c r="J784" s="38"/>
    </row>
    <row r="785" hidden="1">
      <c r="D785" s="38"/>
      <c r="E785" s="38"/>
      <c r="F785" s="38"/>
      <c r="G785" s="38"/>
      <c r="H785" s="38"/>
      <c r="I785" s="38"/>
      <c r="J785" s="38"/>
    </row>
    <row r="786" hidden="1">
      <c r="D786" s="38"/>
      <c r="E786" s="38"/>
      <c r="F786" s="38"/>
      <c r="G786" s="38"/>
      <c r="H786" s="38"/>
      <c r="I786" s="38"/>
      <c r="J786" s="38"/>
    </row>
    <row r="787" hidden="1">
      <c r="D787" s="38"/>
      <c r="E787" s="38"/>
      <c r="F787" s="38"/>
      <c r="G787" s="38"/>
      <c r="H787" s="38"/>
      <c r="I787" s="38"/>
      <c r="J787" s="38"/>
    </row>
    <row r="788" hidden="1">
      <c r="D788" s="38"/>
      <c r="E788" s="38"/>
      <c r="F788" s="38"/>
      <c r="G788" s="38"/>
      <c r="H788" s="38"/>
      <c r="I788" s="38"/>
      <c r="J788" s="38"/>
    </row>
    <row r="789" hidden="1">
      <c r="D789" s="38"/>
      <c r="E789" s="38"/>
      <c r="F789" s="38"/>
      <c r="G789" s="38"/>
      <c r="H789" s="38"/>
      <c r="I789" s="38"/>
      <c r="J789" s="38"/>
    </row>
    <row r="790" hidden="1">
      <c r="D790" s="38"/>
      <c r="E790" s="38"/>
      <c r="F790" s="38"/>
      <c r="G790" s="38"/>
      <c r="H790" s="38"/>
      <c r="I790" s="38"/>
      <c r="J790" s="38"/>
    </row>
    <row r="791" hidden="1">
      <c r="D791" s="38"/>
      <c r="E791" s="38"/>
      <c r="F791" s="38"/>
      <c r="G791" s="38"/>
      <c r="H791" s="38"/>
      <c r="I791" s="38"/>
      <c r="J791" s="38"/>
    </row>
    <row r="792" hidden="1">
      <c r="D792" s="38"/>
      <c r="E792" s="38"/>
      <c r="F792" s="38"/>
      <c r="G792" s="38"/>
      <c r="H792" s="38"/>
      <c r="I792" s="38"/>
      <c r="J792" s="38"/>
    </row>
    <row r="793" hidden="1">
      <c r="D793" s="38"/>
      <c r="E793" s="38"/>
      <c r="F793" s="38"/>
      <c r="G793" s="38"/>
      <c r="H793" s="38"/>
      <c r="I793" s="38"/>
      <c r="J793" s="38"/>
    </row>
    <row r="794" hidden="1">
      <c r="D794" s="38"/>
      <c r="E794" s="38"/>
      <c r="F794" s="38"/>
      <c r="G794" s="38"/>
      <c r="H794" s="38"/>
      <c r="I794" s="38"/>
      <c r="J794" s="38"/>
    </row>
    <row r="795" hidden="1">
      <c r="D795" s="38"/>
      <c r="E795" s="38"/>
      <c r="F795" s="38"/>
      <c r="G795" s="38"/>
      <c r="H795" s="38"/>
      <c r="I795" s="38"/>
      <c r="J795" s="38"/>
    </row>
    <row r="796" hidden="1">
      <c r="D796" s="38"/>
      <c r="E796" s="38"/>
      <c r="F796" s="38"/>
      <c r="G796" s="38"/>
      <c r="H796" s="38"/>
      <c r="I796" s="38"/>
      <c r="J796" s="38"/>
    </row>
    <row r="797" hidden="1">
      <c r="D797" s="38"/>
      <c r="E797" s="38"/>
      <c r="F797" s="38"/>
      <c r="G797" s="38"/>
      <c r="H797" s="38"/>
      <c r="I797" s="38"/>
      <c r="J797" s="38"/>
    </row>
    <row r="798" hidden="1">
      <c r="D798" s="38"/>
      <c r="E798" s="38"/>
      <c r="F798" s="38"/>
      <c r="G798" s="38"/>
      <c r="H798" s="38"/>
      <c r="I798" s="38"/>
      <c r="J798" s="38"/>
    </row>
    <row r="799" hidden="1">
      <c r="D799" s="38"/>
      <c r="E799" s="38"/>
      <c r="F799" s="38"/>
      <c r="G799" s="38"/>
      <c r="H799" s="38"/>
      <c r="I799" s="38"/>
      <c r="J799" s="38"/>
    </row>
    <row r="800" hidden="1">
      <c r="D800" s="38"/>
      <c r="E800" s="38"/>
      <c r="F800" s="38"/>
      <c r="G800" s="38"/>
      <c r="H800" s="38"/>
      <c r="I800" s="38"/>
      <c r="J800" s="38"/>
    </row>
    <row r="801" hidden="1">
      <c r="D801" s="38"/>
      <c r="E801" s="38"/>
      <c r="F801" s="38"/>
      <c r="G801" s="38"/>
      <c r="H801" s="38"/>
      <c r="I801" s="38"/>
      <c r="J801" s="38"/>
    </row>
    <row r="802" hidden="1">
      <c r="D802" s="38"/>
      <c r="E802" s="38"/>
      <c r="F802" s="38"/>
      <c r="G802" s="38"/>
      <c r="H802" s="38"/>
      <c r="I802" s="38"/>
      <c r="J802" s="38"/>
    </row>
    <row r="803" hidden="1">
      <c r="D803" s="38"/>
      <c r="E803" s="38"/>
      <c r="F803" s="38"/>
      <c r="G803" s="38"/>
      <c r="H803" s="38"/>
      <c r="I803" s="38"/>
      <c r="J803" s="38"/>
    </row>
    <row r="804" hidden="1">
      <c r="D804" s="38"/>
      <c r="E804" s="38"/>
      <c r="F804" s="38"/>
      <c r="G804" s="38"/>
      <c r="H804" s="38"/>
      <c r="I804" s="38"/>
      <c r="J804" s="38"/>
    </row>
    <row r="805" hidden="1">
      <c r="D805" s="38"/>
      <c r="E805" s="38"/>
      <c r="F805" s="38"/>
      <c r="G805" s="38"/>
      <c r="H805" s="38"/>
      <c r="I805" s="38"/>
      <c r="J805" s="38"/>
    </row>
    <row r="806" hidden="1">
      <c r="D806" s="38"/>
      <c r="E806" s="38"/>
      <c r="F806" s="38"/>
      <c r="G806" s="38"/>
      <c r="H806" s="38"/>
      <c r="I806" s="38"/>
      <c r="J806" s="38"/>
    </row>
    <row r="807" hidden="1">
      <c r="D807" s="38"/>
      <c r="E807" s="38"/>
      <c r="F807" s="38"/>
      <c r="G807" s="38"/>
      <c r="H807" s="38"/>
      <c r="I807" s="38"/>
      <c r="J807" s="38"/>
    </row>
    <row r="808" hidden="1">
      <c r="D808" s="38"/>
      <c r="E808" s="38"/>
      <c r="F808" s="38"/>
      <c r="G808" s="38"/>
      <c r="H808" s="38"/>
      <c r="I808" s="38"/>
      <c r="J808" s="38"/>
    </row>
    <row r="809" hidden="1">
      <c r="D809" s="38"/>
      <c r="E809" s="38"/>
      <c r="F809" s="38"/>
      <c r="G809" s="38"/>
      <c r="H809" s="38"/>
      <c r="I809" s="38"/>
      <c r="J809" s="38"/>
    </row>
    <row r="810" hidden="1">
      <c r="D810" s="38"/>
      <c r="E810" s="38"/>
      <c r="F810" s="38"/>
      <c r="G810" s="38"/>
      <c r="H810" s="38"/>
      <c r="I810" s="38"/>
      <c r="J810" s="38"/>
    </row>
    <row r="811" hidden="1">
      <c r="D811" s="38"/>
      <c r="E811" s="38"/>
      <c r="F811" s="38"/>
      <c r="G811" s="38"/>
      <c r="H811" s="38"/>
      <c r="I811" s="38"/>
      <c r="J811" s="38"/>
    </row>
    <row r="812" hidden="1">
      <c r="D812" s="38"/>
      <c r="E812" s="38"/>
      <c r="F812" s="38"/>
      <c r="G812" s="38"/>
      <c r="H812" s="38"/>
      <c r="I812" s="38"/>
      <c r="J812" s="38"/>
    </row>
    <row r="813" hidden="1">
      <c r="D813" s="38"/>
      <c r="E813" s="38"/>
      <c r="F813" s="38"/>
      <c r="G813" s="38"/>
      <c r="H813" s="38"/>
      <c r="I813" s="38"/>
      <c r="J813" s="38"/>
    </row>
    <row r="814" hidden="1">
      <c r="D814" s="38"/>
      <c r="E814" s="38"/>
      <c r="F814" s="38"/>
      <c r="G814" s="38"/>
      <c r="H814" s="38"/>
      <c r="I814" s="38"/>
      <c r="J814" s="38"/>
    </row>
    <row r="815" hidden="1">
      <c r="D815" s="38"/>
      <c r="E815" s="38"/>
      <c r="F815" s="38"/>
      <c r="G815" s="38"/>
      <c r="H815" s="38"/>
      <c r="I815" s="38"/>
      <c r="J815" s="38"/>
    </row>
    <row r="816" hidden="1">
      <c r="D816" s="38"/>
      <c r="E816" s="38"/>
      <c r="F816" s="38"/>
      <c r="G816" s="38"/>
      <c r="H816" s="38"/>
      <c r="I816" s="38"/>
      <c r="J816" s="38"/>
    </row>
    <row r="817" hidden="1">
      <c r="D817" s="38"/>
      <c r="E817" s="38"/>
      <c r="F817" s="38"/>
      <c r="G817" s="38"/>
      <c r="H817" s="38"/>
      <c r="I817" s="38"/>
      <c r="J817" s="38"/>
    </row>
    <row r="818" hidden="1">
      <c r="D818" s="38"/>
      <c r="E818" s="38"/>
      <c r="F818" s="38"/>
      <c r="G818" s="38"/>
      <c r="H818" s="38"/>
      <c r="I818" s="38"/>
      <c r="J818" s="38"/>
    </row>
    <row r="819" hidden="1">
      <c r="D819" s="38"/>
      <c r="E819" s="38"/>
      <c r="F819" s="38"/>
      <c r="G819" s="38"/>
      <c r="H819" s="38"/>
      <c r="I819" s="38"/>
      <c r="J819" s="38"/>
    </row>
    <row r="820" hidden="1">
      <c r="D820" s="38"/>
      <c r="E820" s="38"/>
      <c r="F820" s="38"/>
      <c r="G820" s="38"/>
      <c r="H820" s="38"/>
      <c r="I820" s="38"/>
      <c r="J820" s="38"/>
    </row>
    <row r="821" hidden="1">
      <c r="D821" s="38"/>
      <c r="E821" s="38"/>
      <c r="F821" s="38"/>
      <c r="G821" s="38"/>
      <c r="H821" s="38"/>
      <c r="I821" s="38"/>
      <c r="J821" s="38"/>
    </row>
    <row r="822" hidden="1">
      <c r="D822" s="38"/>
      <c r="E822" s="38"/>
      <c r="F822" s="38"/>
      <c r="G822" s="38"/>
      <c r="H822" s="38"/>
      <c r="I822" s="38"/>
      <c r="J822" s="38"/>
    </row>
    <row r="823" hidden="1">
      <c r="D823" s="38"/>
      <c r="E823" s="38"/>
      <c r="F823" s="38"/>
      <c r="G823" s="38"/>
      <c r="H823" s="38"/>
      <c r="I823" s="38"/>
      <c r="J823" s="38"/>
    </row>
    <row r="824" hidden="1">
      <c r="D824" s="38"/>
      <c r="E824" s="38"/>
      <c r="F824" s="38"/>
      <c r="G824" s="38"/>
      <c r="H824" s="38"/>
      <c r="I824" s="38"/>
      <c r="J824" s="38"/>
    </row>
    <row r="825" hidden="1">
      <c r="D825" s="38"/>
      <c r="E825" s="38"/>
      <c r="F825" s="38"/>
      <c r="G825" s="38"/>
      <c r="H825" s="38"/>
      <c r="I825" s="38"/>
      <c r="J825" s="38"/>
    </row>
    <row r="826" hidden="1">
      <c r="D826" s="38"/>
      <c r="E826" s="38"/>
      <c r="F826" s="38"/>
      <c r="G826" s="38"/>
      <c r="H826" s="38"/>
      <c r="I826" s="38"/>
      <c r="J826" s="38"/>
    </row>
    <row r="827" hidden="1">
      <c r="D827" s="38"/>
      <c r="E827" s="38"/>
      <c r="F827" s="38"/>
      <c r="G827" s="38"/>
      <c r="H827" s="38"/>
      <c r="I827" s="38"/>
      <c r="J827" s="38"/>
    </row>
    <row r="828" hidden="1">
      <c r="D828" s="38"/>
      <c r="E828" s="38"/>
      <c r="F828" s="38"/>
      <c r="G828" s="38"/>
      <c r="H828" s="38"/>
      <c r="I828" s="38"/>
      <c r="J828" s="38"/>
    </row>
    <row r="829" hidden="1">
      <c r="D829" s="38"/>
      <c r="E829" s="38"/>
      <c r="F829" s="38"/>
      <c r="G829" s="38"/>
      <c r="H829" s="38"/>
      <c r="I829" s="38"/>
      <c r="J829" s="38"/>
    </row>
    <row r="830" hidden="1">
      <c r="D830" s="38"/>
      <c r="E830" s="38"/>
      <c r="F830" s="38"/>
      <c r="G830" s="38"/>
      <c r="H830" s="38"/>
      <c r="I830" s="38"/>
      <c r="J830" s="38"/>
    </row>
    <row r="831" hidden="1">
      <c r="D831" s="38"/>
      <c r="E831" s="38"/>
      <c r="F831" s="38"/>
      <c r="G831" s="38"/>
      <c r="H831" s="38"/>
      <c r="I831" s="38"/>
      <c r="J831" s="38"/>
    </row>
    <row r="832" hidden="1">
      <c r="D832" s="38"/>
      <c r="E832" s="38"/>
      <c r="F832" s="38"/>
      <c r="G832" s="38"/>
      <c r="H832" s="38"/>
      <c r="I832" s="38"/>
      <c r="J832" s="38"/>
    </row>
    <row r="833" hidden="1">
      <c r="D833" s="38"/>
      <c r="E833" s="38"/>
      <c r="F833" s="38"/>
      <c r="G833" s="38"/>
      <c r="H833" s="38"/>
      <c r="I833" s="38"/>
      <c r="J833" s="38"/>
    </row>
    <row r="834" hidden="1">
      <c r="D834" s="38"/>
      <c r="E834" s="38"/>
      <c r="F834" s="38"/>
      <c r="G834" s="38"/>
      <c r="H834" s="38"/>
      <c r="I834" s="38"/>
      <c r="J834" s="38"/>
    </row>
    <row r="835" hidden="1">
      <c r="D835" s="38"/>
      <c r="E835" s="38"/>
      <c r="F835" s="38"/>
      <c r="G835" s="38"/>
      <c r="H835" s="38"/>
      <c r="I835" s="38"/>
      <c r="J835" s="38"/>
    </row>
    <row r="836" hidden="1">
      <c r="D836" s="38"/>
      <c r="E836" s="38"/>
      <c r="F836" s="38"/>
      <c r="G836" s="38"/>
      <c r="H836" s="38"/>
      <c r="I836" s="38"/>
      <c r="J836" s="38"/>
    </row>
    <row r="837" hidden="1">
      <c r="D837" s="38"/>
      <c r="E837" s="38"/>
      <c r="F837" s="38"/>
      <c r="G837" s="38"/>
      <c r="H837" s="38"/>
      <c r="I837" s="38"/>
      <c r="J837" s="38"/>
    </row>
    <row r="838" hidden="1">
      <c r="D838" s="38"/>
      <c r="E838" s="38"/>
      <c r="F838" s="38"/>
      <c r="G838" s="38"/>
      <c r="H838" s="38"/>
      <c r="I838" s="38"/>
      <c r="J838" s="38"/>
    </row>
    <row r="839" hidden="1">
      <c r="D839" s="38"/>
      <c r="E839" s="38"/>
      <c r="F839" s="38"/>
      <c r="G839" s="38"/>
      <c r="H839" s="38"/>
      <c r="I839" s="38"/>
      <c r="J839" s="38"/>
    </row>
    <row r="840" hidden="1">
      <c r="D840" s="38"/>
      <c r="E840" s="38"/>
      <c r="F840" s="38"/>
      <c r="G840" s="38"/>
      <c r="H840" s="38"/>
      <c r="I840" s="38"/>
      <c r="J840" s="38"/>
    </row>
    <row r="841" hidden="1">
      <c r="D841" s="38"/>
      <c r="E841" s="38"/>
      <c r="F841" s="38"/>
      <c r="G841" s="38"/>
      <c r="H841" s="38"/>
      <c r="I841" s="38"/>
      <c r="J841" s="38"/>
    </row>
    <row r="842" hidden="1">
      <c r="D842" s="38"/>
      <c r="E842" s="38"/>
      <c r="F842" s="38"/>
      <c r="G842" s="38"/>
      <c r="H842" s="38"/>
      <c r="I842" s="38"/>
      <c r="J842" s="38"/>
    </row>
    <row r="843" hidden="1">
      <c r="D843" s="38"/>
      <c r="E843" s="38"/>
      <c r="F843" s="38"/>
      <c r="G843" s="38"/>
      <c r="H843" s="38"/>
      <c r="I843" s="38"/>
      <c r="J843" s="38"/>
    </row>
    <row r="844" hidden="1">
      <c r="D844" s="38"/>
      <c r="E844" s="38"/>
      <c r="F844" s="38"/>
      <c r="G844" s="38"/>
      <c r="H844" s="38"/>
      <c r="I844" s="38"/>
      <c r="J844" s="38"/>
    </row>
    <row r="845" hidden="1">
      <c r="D845" s="38"/>
      <c r="E845" s="38"/>
      <c r="F845" s="38"/>
      <c r="G845" s="38"/>
      <c r="H845" s="38"/>
      <c r="I845" s="38"/>
      <c r="J845" s="38"/>
    </row>
    <row r="846" hidden="1">
      <c r="D846" s="38"/>
      <c r="E846" s="38"/>
      <c r="F846" s="38"/>
      <c r="G846" s="38"/>
      <c r="H846" s="38"/>
      <c r="I846" s="38"/>
      <c r="J846" s="38"/>
    </row>
    <row r="847" hidden="1">
      <c r="D847" s="38"/>
      <c r="E847" s="38"/>
      <c r="F847" s="38"/>
      <c r="G847" s="38"/>
      <c r="H847" s="38"/>
      <c r="I847" s="38"/>
      <c r="J847" s="38"/>
    </row>
    <row r="848" hidden="1">
      <c r="D848" s="38"/>
      <c r="E848" s="38"/>
      <c r="F848" s="38"/>
      <c r="G848" s="38"/>
      <c r="H848" s="38"/>
      <c r="I848" s="38"/>
      <c r="J848" s="38"/>
    </row>
    <row r="849" hidden="1">
      <c r="D849" s="38"/>
      <c r="E849" s="38"/>
      <c r="F849" s="38"/>
      <c r="G849" s="38"/>
      <c r="H849" s="38"/>
      <c r="I849" s="38"/>
      <c r="J849" s="38"/>
    </row>
    <row r="850" hidden="1">
      <c r="D850" s="38"/>
      <c r="E850" s="38"/>
      <c r="F850" s="38"/>
      <c r="G850" s="38"/>
      <c r="H850" s="38"/>
      <c r="I850" s="38"/>
      <c r="J850" s="38"/>
    </row>
    <row r="851" hidden="1">
      <c r="D851" s="38"/>
      <c r="E851" s="38"/>
      <c r="F851" s="38"/>
      <c r="G851" s="38"/>
      <c r="H851" s="38"/>
      <c r="I851" s="38"/>
      <c r="J851" s="38"/>
    </row>
    <row r="852" hidden="1">
      <c r="D852" s="38"/>
      <c r="E852" s="38"/>
      <c r="F852" s="38"/>
      <c r="G852" s="38"/>
      <c r="H852" s="38"/>
      <c r="I852" s="38"/>
      <c r="J852" s="38"/>
    </row>
    <row r="853" hidden="1">
      <c r="D853" s="38"/>
      <c r="E853" s="38"/>
      <c r="F853" s="38"/>
      <c r="G853" s="38"/>
      <c r="H853" s="38"/>
      <c r="I853" s="38"/>
      <c r="J853" s="38"/>
    </row>
    <row r="854" hidden="1">
      <c r="D854" s="38"/>
      <c r="E854" s="38"/>
      <c r="F854" s="38"/>
      <c r="G854" s="38"/>
      <c r="H854" s="38"/>
      <c r="I854" s="38"/>
      <c r="J854" s="38"/>
    </row>
    <row r="855" hidden="1">
      <c r="D855" s="38"/>
      <c r="E855" s="38"/>
      <c r="F855" s="38"/>
      <c r="G855" s="38"/>
      <c r="H855" s="38"/>
      <c r="I855" s="38"/>
      <c r="J855" s="38"/>
    </row>
    <row r="856" hidden="1">
      <c r="D856" s="38"/>
      <c r="E856" s="38"/>
      <c r="F856" s="38"/>
      <c r="G856" s="38"/>
      <c r="H856" s="38"/>
      <c r="I856" s="38"/>
      <c r="J856" s="38"/>
    </row>
    <row r="857" hidden="1">
      <c r="D857" s="38"/>
      <c r="E857" s="38"/>
      <c r="F857" s="38"/>
      <c r="G857" s="38"/>
      <c r="H857" s="38"/>
      <c r="I857" s="38"/>
      <c r="J857" s="38"/>
    </row>
    <row r="858" hidden="1">
      <c r="D858" s="38"/>
      <c r="E858" s="38"/>
      <c r="F858" s="38"/>
      <c r="G858" s="38"/>
      <c r="H858" s="38"/>
      <c r="I858" s="38"/>
      <c r="J858" s="38"/>
    </row>
    <row r="859" hidden="1">
      <c r="D859" s="38"/>
      <c r="E859" s="38"/>
      <c r="F859" s="38"/>
      <c r="G859" s="38"/>
      <c r="H859" s="38"/>
      <c r="I859" s="38"/>
      <c r="J859" s="38"/>
    </row>
    <row r="860" hidden="1">
      <c r="D860" s="38"/>
      <c r="E860" s="38"/>
      <c r="F860" s="38"/>
      <c r="G860" s="38"/>
      <c r="H860" s="38"/>
      <c r="I860" s="38"/>
      <c r="J860" s="38"/>
    </row>
    <row r="861" hidden="1">
      <c r="D861" s="38"/>
      <c r="E861" s="38"/>
      <c r="F861" s="38"/>
      <c r="G861" s="38"/>
      <c r="H861" s="38"/>
      <c r="I861" s="38"/>
      <c r="J861" s="38"/>
    </row>
    <row r="862" hidden="1">
      <c r="D862" s="38"/>
      <c r="E862" s="38"/>
      <c r="F862" s="38"/>
      <c r="G862" s="38"/>
      <c r="H862" s="38"/>
      <c r="I862" s="38"/>
      <c r="J862" s="38"/>
    </row>
    <row r="863" hidden="1">
      <c r="D863" s="38"/>
      <c r="E863" s="38"/>
      <c r="F863" s="38"/>
      <c r="G863" s="38"/>
      <c r="H863" s="38"/>
      <c r="I863" s="38"/>
      <c r="J863" s="38"/>
    </row>
    <row r="864" hidden="1">
      <c r="D864" s="38"/>
      <c r="E864" s="38"/>
      <c r="F864" s="38"/>
      <c r="G864" s="38"/>
      <c r="H864" s="38"/>
      <c r="I864" s="38"/>
      <c r="J864" s="38"/>
    </row>
    <row r="865" hidden="1">
      <c r="D865" s="38"/>
      <c r="E865" s="38"/>
      <c r="F865" s="38"/>
      <c r="G865" s="38"/>
      <c r="H865" s="38"/>
      <c r="I865" s="38"/>
      <c r="J865" s="38"/>
    </row>
    <row r="866" hidden="1">
      <c r="D866" s="38"/>
      <c r="E866" s="38"/>
      <c r="F866" s="38"/>
      <c r="G866" s="38"/>
      <c r="H866" s="38"/>
      <c r="I866" s="38"/>
      <c r="J866" s="38"/>
    </row>
    <row r="867" hidden="1">
      <c r="D867" s="38"/>
      <c r="E867" s="38"/>
      <c r="F867" s="38"/>
      <c r="G867" s="38"/>
      <c r="H867" s="38"/>
      <c r="I867" s="38"/>
      <c r="J867" s="38"/>
    </row>
    <row r="868" hidden="1">
      <c r="D868" s="38"/>
      <c r="E868" s="38"/>
      <c r="F868" s="38"/>
      <c r="G868" s="38"/>
      <c r="H868" s="38"/>
      <c r="I868" s="38"/>
      <c r="J868" s="38"/>
    </row>
    <row r="869" hidden="1">
      <c r="D869" s="38"/>
      <c r="E869" s="38"/>
      <c r="F869" s="38"/>
      <c r="G869" s="38"/>
      <c r="H869" s="38"/>
      <c r="I869" s="38"/>
      <c r="J869" s="38"/>
    </row>
    <row r="870" hidden="1">
      <c r="D870" s="38"/>
      <c r="E870" s="38"/>
      <c r="F870" s="38"/>
      <c r="G870" s="38"/>
      <c r="H870" s="38"/>
      <c r="I870" s="38"/>
      <c r="J870" s="38"/>
    </row>
    <row r="871" hidden="1">
      <c r="D871" s="38"/>
      <c r="E871" s="38"/>
      <c r="F871" s="38"/>
      <c r="G871" s="38"/>
      <c r="H871" s="38"/>
      <c r="I871" s="38"/>
      <c r="J871" s="38"/>
    </row>
    <row r="872" hidden="1">
      <c r="D872" s="38"/>
      <c r="E872" s="38"/>
      <c r="F872" s="38"/>
      <c r="G872" s="38"/>
      <c r="H872" s="38"/>
      <c r="I872" s="38"/>
      <c r="J872" s="38"/>
    </row>
    <row r="873" hidden="1">
      <c r="D873" s="38"/>
      <c r="E873" s="38"/>
      <c r="F873" s="38"/>
      <c r="G873" s="38"/>
      <c r="H873" s="38"/>
      <c r="I873" s="38"/>
      <c r="J873" s="38"/>
    </row>
    <row r="874" hidden="1">
      <c r="D874" s="38"/>
      <c r="E874" s="38"/>
      <c r="F874" s="38"/>
      <c r="G874" s="38"/>
      <c r="H874" s="38"/>
      <c r="I874" s="38"/>
      <c r="J874" s="38"/>
    </row>
    <row r="875" hidden="1">
      <c r="D875" s="38"/>
      <c r="E875" s="38"/>
      <c r="F875" s="38"/>
      <c r="G875" s="38"/>
      <c r="H875" s="38"/>
      <c r="I875" s="38"/>
      <c r="J875" s="38"/>
    </row>
    <row r="876" hidden="1">
      <c r="D876" s="38"/>
      <c r="E876" s="38"/>
      <c r="F876" s="38"/>
      <c r="G876" s="38"/>
      <c r="H876" s="38"/>
      <c r="I876" s="38"/>
      <c r="J876" s="38"/>
    </row>
    <row r="877" hidden="1">
      <c r="D877" s="38"/>
      <c r="E877" s="38"/>
      <c r="F877" s="38"/>
      <c r="G877" s="38"/>
      <c r="H877" s="38"/>
      <c r="I877" s="38"/>
      <c r="J877" s="38"/>
    </row>
    <row r="878" hidden="1">
      <c r="D878" s="38"/>
      <c r="E878" s="38"/>
      <c r="F878" s="38"/>
      <c r="G878" s="38"/>
      <c r="H878" s="38"/>
      <c r="I878" s="38"/>
      <c r="J878" s="38"/>
    </row>
    <row r="879" hidden="1">
      <c r="D879" s="38"/>
      <c r="E879" s="38"/>
      <c r="F879" s="38"/>
      <c r="G879" s="38"/>
      <c r="H879" s="38"/>
      <c r="I879" s="38"/>
      <c r="J879" s="38"/>
    </row>
    <row r="880" hidden="1">
      <c r="D880" s="38"/>
      <c r="E880" s="38"/>
      <c r="F880" s="38"/>
      <c r="G880" s="38"/>
      <c r="H880" s="38"/>
      <c r="I880" s="38"/>
      <c r="J880" s="38"/>
    </row>
    <row r="881" hidden="1">
      <c r="D881" s="38"/>
      <c r="E881" s="38"/>
      <c r="F881" s="38"/>
      <c r="G881" s="38"/>
      <c r="H881" s="38"/>
      <c r="I881" s="38"/>
      <c r="J881" s="38"/>
    </row>
    <row r="882" hidden="1">
      <c r="D882" s="38"/>
      <c r="E882" s="38"/>
      <c r="F882" s="38"/>
      <c r="G882" s="38"/>
      <c r="H882" s="38"/>
      <c r="I882" s="38"/>
      <c r="J882" s="38"/>
    </row>
    <row r="883" hidden="1">
      <c r="D883" s="38"/>
      <c r="E883" s="38"/>
      <c r="F883" s="38"/>
      <c r="G883" s="38"/>
      <c r="H883" s="38"/>
      <c r="I883" s="38"/>
      <c r="J883" s="38"/>
    </row>
    <row r="884" hidden="1">
      <c r="D884" s="38"/>
      <c r="E884" s="38"/>
      <c r="F884" s="38"/>
      <c r="G884" s="38"/>
      <c r="H884" s="38"/>
      <c r="I884" s="38"/>
      <c r="J884" s="38"/>
    </row>
    <row r="885" hidden="1">
      <c r="D885" s="38"/>
      <c r="E885" s="38"/>
      <c r="F885" s="38"/>
      <c r="G885" s="38"/>
      <c r="H885" s="38"/>
      <c r="I885" s="38"/>
      <c r="J885" s="38"/>
    </row>
    <row r="886" hidden="1">
      <c r="D886" s="38"/>
      <c r="E886" s="38"/>
      <c r="F886" s="38"/>
      <c r="G886" s="38"/>
      <c r="H886" s="38"/>
      <c r="I886" s="38"/>
      <c r="J886" s="38"/>
    </row>
    <row r="887" hidden="1">
      <c r="D887" s="38"/>
      <c r="E887" s="38"/>
      <c r="F887" s="38"/>
      <c r="G887" s="38"/>
      <c r="H887" s="38"/>
      <c r="I887" s="38"/>
      <c r="J887" s="38"/>
    </row>
    <row r="888" hidden="1">
      <c r="D888" s="38"/>
      <c r="E888" s="38"/>
      <c r="F888" s="38"/>
      <c r="G888" s="38"/>
      <c r="H888" s="38"/>
      <c r="I888" s="38"/>
      <c r="J888" s="38"/>
    </row>
    <row r="889" hidden="1">
      <c r="D889" s="38"/>
      <c r="E889" s="38"/>
      <c r="F889" s="38"/>
      <c r="G889" s="38"/>
      <c r="H889" s="38"/>
      <c r="I889" s="38"/>
      <c r="J889" s="38"/>
    </row>
    <row r="890" hidden="1">
      <c r="D890" s="38"/>
      <c r="E890" s="38"/>
      <c r="F890" s="38"/>
      <c r="G890" s="38"/>
      <c r="H890" s="38"/>
      <c r="I890" s="38"/>
      <c r="J890" s="38"/>
    </row>
    <row r="891" hidden="1">
      <c r="D891" s="38"/>
      <c r="E891" s="38"/>
      <c r="F891" s="38"/>
      <c r="G891" s="38"/>
      <c r="H891" s="38"/>
      <c r="I891" s="38"/>
      <c r="J891" s="38"/>
    </row>
    <row r="892" hidden="1">
      <c r="D892" s="38"/>
      <c r="E892" s="38"/>
      <c r="F892" s="38"/>
      <c r="G892" s="38"/>
      <c r="H892" s="38"/>
      <c r="I892" s="38"/>
      <c r="J892" s="38"/>
    </row>
    <row r="893" hidden="1">
      <c r="D893" s="38"/>
      <c r="E893" s="38"/>
      <c r="F893" s="38"/>
      <c r="G893" s="38"/>
      <c r="H893" s="38"/>
      <c r="I893" s="38"/>
      <c r="J893" s="38"/>
    </row>
    <row r="894" hidden="1">
      <c r="D894" s="38"/>
      <c r="E894" s="38"/>
      <c r="F894" s="38"/>
      <c r="G894" s="38"/>
      <c r="H894" s="38"/>
      <c r="I894" s="38"/>
      <c r="J894" s="38"/>
    </row>
    <row r="895" hidden="1">
      <c r="D895" s="38"/>
      <c r="E895" s="38"/>
      <c r="F895" s="38"/>
      <c r="G895" s="38"/>
      <c r="H895" s="38"/>
      <c r="I895" s="38"/>
      <c r="J895" s="38"/>
    </row>
    <row r="896" hidden="1">
      <c r="D896" s="38"/>
      <c r="E896" s="38"/>
      <c r="F896" s="38"/>
      <c r="G896" s="38"/>
      <c r="H896" s="38"/>
      <c r="I896" s="38"/>
      <c r="J896" s="38"/>
    </row>
    <row r="897" hidden="1">
      <c r="D897" s="38"/>
      <c r="E897" s="38"/>
      <c r="F897" s="38"/>
      <c r="G897" s="38"/>
      <c r="H897" s="38"/>
      <c r="I897" s="38"/>
      <c r="J897" s="38"/>
    </row>
    <row r="898" hidden="1">
      <c r="D898" s="38"/>
      <c r="E898" s="38"/>
      <c r="F898" s="38"/>
      <c r="G898" s="38"/>
      <c r="H898" s="38"/>
      <c r="I898" s="38"/>
      <c r="J898" s="38"/>
    </row>
    <row r="899" hidden="1">
      <c r="D899" s="38"/>
      <c r="E899" s="38"/>
      <c r="F899" s="38"/>
      <c r="G899" s="38"/>
      <c r="H899" s="38"/>
      <c r="I899" s="38"/>
      <c r="J899" s="38"/>
    </row>
    <row r="900" hidden="1">
      <c r="D900" s="38"/>
      <c r="E900" s="38"/>
      <c r="F900" s="38"/>
      <c r="G900" s="38"/>
      <c r="H900" s="38"/>
      <c r="I900" s="38"/>
      <c r="J900" s="38"/>
    </row>
    <row r="901" hidden="1">
      <c r="D901" s="38"/>
      <c r="E901" s="38"/>
      <c r="F901" s="38"/>
      <c r="G901" s="38"/>
      <c r="H901" s="38"/>
      <c r="I901" s="38"/>
      <c r="J901" s="38"/>
    </row>
    <row r="902" hidden="1">
      <c r="D902" s="38"/>
      <c r="E902" s="38"/>
      <c r="F902" s="38"/>
      <c r="G902" s="38"/>
      <c r="H902" s="38"/>
      <c r="I902" s="38"/>
      <c r="J902" s="38"/>
    </row>
    <row r="903" hidden="1">
      <c r="D903" s="38"/>
      <c r="E903" s="38"/>
      <c r="F903" s="38"/>
      <c r="G903" s="38"/>
      <c r="H903" s="38"/>
      <c r="I903" s="38"/>
      <c r="J903" s="38"/>
    </row>
    <row r="904" hidden="1">
      <c r="D904" s="38"/>
      <c r="E904" s="38"/>
      <c r="F904" s="38"/>
      <c r="G904" s="38"/>
      <c r="H904" s="38"/>
      <c r="I904" s="38"/>
      <c r="J904" s="38"/>
    </row>
    <row r="905" hidden="1">
      <c r="D905" s="38"/>
      <c r="E905" s="38"/>
      <c r="F905" s="38"/>
      <c r="G905" s="38"/>
      <c r="H905" s="38"/>
      <c r="I905" s="38"/>
      <c r="J905" s="38"/>
    </row>
    <row r="906" hidden="1">
      <c r="D906" s="38"/>
      <c r="E906" s="38"/>
      <c r="F906" s="38"/>
      <c r="G906" s="38"/>
      <c r="H906" s="38"/>
      <c r="I906" s="38"/>
      <c r="J906" s="38"/>
    </row>
    <row r="907" hidden="1">
      <c r="D907" s="38"/>
      <c r="E907" s="38"/>
      <c r="F907" s="38"/>
      <c r="G907" s="38"/>
      <c r="H907" s="38"/>
      <c r="I907" s="38"/>
      <c r="J907" s="38"/>
    </row>
    <row r="908" hidden="1">
      <c r="D908" s="38"/>
      <c r="E908" s="38"/>
      <c r="F908" s="38"/>
      <c r="G908" s="38"/>
      <c r="H908" s="38"/>
      <c r="I908" s="38"/>
      <c r="J908" s="38"/>
    </row>
    <row r="909" hidden="1">
      <c r="D909" s="38"/>
      <c r="E909" s="38"/>
      <c r="F909" s="38"/>
      <c r="G909" s="38"/>
      <c r="H909" s="38"/>
      <c r="I909" s="38"/>
      <c r="J909" s="38"/>
    </row>
    <row r="910" hidden="1">
      <c r="D910" s="38"/>
      <c r="E910" s="38"/>
      <c r="F910" s="38"/>
      <c r="G910" s="38"/>
      <c r="H910" s="38"/>
      <c r="I910" s="38"/>
      <c r="J910" s="38"/>
    </row>
    <row r="911" hidden="1">
      <c r="D911" s="38"/>
      <c r="E911" s="38"/>
      <c r="F911" s="38"/>
      <c r="G911" s="38"/>
      <c r="H911" s="38"/>
      <c r="I911" s="38"/>
      <c r="J911" s="38"/>
    </row>
    <row r="912" hidden="1">
      <c r="D912" s="38"/>
      <c r="E912" s="38"/>
      <c r="F912" s="38"/>
      <c r="G912" s="38"/>
      <c r="H912" s="38"/>
      <c r="I912" s="38"/>
      <c r="J912" s="38"/>
    </row>
    <row r="913" hidden="1">
      <c r="D913" s="38"/>
      <c r="E913" s="38"/>
      <c r="F913" s="38"/>
      <c r="G913" s="38"/>
      <c r="H913" s="38"/>
      <c r="I913" s="38"/>
      <c r="J913" s="38"/>
    </row>
    <row r="914" hidden="1">
      <c r="D914" s="38"/>
      <c r="E914" s="38"/>
      <c r="F914" s="38"/>
      <c r="G914" s="38"/>
      <c r="H914" s="38"/>
      <c r="I914" s="38"/>
      <c r="J914" s="38"/>
    </row>
    <row r="915" hidden="1">
      <c r="D915" s="38"/>
      <c r="E915" s="38"/>
      <c r="F915" s="38"/>
      <c r="G915" s="38"/>
      <c r="H915" s="38"/>
      <c r="I915" s="38"/>
      <c r="J915" s="38"/>
    </row>
    <row r="916" hidden="1">
      <c r="D916" s="38"/>
      <c r="E916" s="38"/>
      <c r="F916" s="38"/>
      <c r="G916" s="38"/>
      <c r="H916" s="38"/>
      <c r="I916" s="38"/>
      <c r="J916" s="38"/>
    </row>
    <row r="917" hidden="1">
      <c r="D917" s="38"/>
      <c r="E917" s="38"/>
      <c r="F917" s="38"/>
      <c r="G917" s="38"/>
      <c r="H917" s="38"/>
      <c r="I917" s="38"/>
      <c r="J917" s="38"/>
    </row>
    <row r="918" hidden="1">
      <c r="D918" s="38"/>
      <c r="E918" s="38"/>
      <c r="F918" s="38"/>
      <c r="G918" s="38"/>
      <c r="H918" s="38"/>
      <c r="I918" s="38"/>
      <c r="J918" s="38"/>
    </row>
    <row r="919" hidden="1">
      <c r="D919" s="38"/>
      <c r="E919" s="38"/>
      <c r="F919" s="38"/>
      <c r="G919" s="38"/>
      <c r="H919" s="38"/>
      <c r="I919" s="38"/>
      <c r="J919" s="38"/>
    </row>
    <row r="920" hidden="1">
      <c r="D920" s="38"/>
      <c r="E920" s="38"/>
      <c r="F920" s="38"/>
      <c r="G920" s="38"/>
      <c r="H920" s="38"/>
      <c r="I920" s="38"/>
      <c r="J920" s="38"/>
    </row>
    <row r="921" hidden="1">
      <c r="D921" s="38"/>
      <c r="E921" s="38"/>
      <c r="F921" s="38"/>
      <c r="G921" s="38"/>
      <c r="H921" s="38"/>
      <c r="I921" s="38"/>
      <c r="J921" s="38"/>
    </row>
    <row r="922" hidden="1">
      <c r="D922" s="38"/>
      <c r="E922" s="38"/>
      <c r="F922" s="38"/>
      <c r="G922" s="38"/>
      <c r="H922" s="38"/>
      <c r="I922" s="38"/>
      <c r="J922" s="38"/>
    </row>
    <row r="923" hidden="1">
      <c r="D923" s="38"/>
      <c r="E923" s="38"/>
      <c r="F923" s="38"/>
      <c r="G923" s="38"/>
      <c r="H923" s="38"/>
      <c r="I923" s="38"/>
      <c r="J923" s="38"/>
    </row>
    <row r="924" hidden="1">
      <c r="D924" s="38"/>
      <c r="E924" s="38"/>
      <c r="F924" s="38"/>
      <c r="G924" s="38"/>
      <c r="H924" s="38"/>
      <c r="I924" s="38"/>
      <c r="J924" s="38"/>
    </row>
    <row r="925" hidden="1">
      <c r="D925" s="38"/>
      <c r="E925" s="38"/>
      <c r="F925" s="38"/>
      <c r="G925" s="38"/>
      <c r="H925" s="38"/>
      <c r="I925" s="38"/>
      <c r="J925" s="38"/>
    </row>
    <row r="926" hidden="1">
      <c r="D926" s="38"/>
      <c r="E926" s="38"/>
      <c r="F926" s="38"/>
      <c r="G926" s="38"/>
      <c r="H926" s="38"/>
      <c r="I926" s="38"/>
      <c r="J926" s="38"/>
    </row>
    <row r="927" hidden="1">
      <c r="D927" s="38"/>
      <c r="E927" s="38"/>
      <c r="F927" s="38"/>
      <c r="G927" s="38"/>
      <c r="H927" s="38"/>
      <c r="I927" s="38"/>
      <c r="J927" s="38"/>
    </row>
    <row r="928" hidden="1">
      <c r="D928" s="38"/>
      <c r="E928" s="38"/>
      <c r="F928" s="38"/>
      <c r="G928" s="38"/>
      <c r="H928" s="38"/>
      <c r="I928" s="38"/>
      <c r="J928" s="38"/>
    </row>
    <row r="929" hidden="1">
      <c r="D929" s="38"/>
      <c r="E929" s="38"/>
      <c r="F929" s="38"/>
      <c r="G929" s="38"/>
      <c r="H929" s="38"/>
      <c r="I929" s="38"/>
      <c r="J929" s="38"/>
    </row>
    <row r="930" hidden="1">
      <c r="D930" s="38"/>
      <c r="E930" s="38"/>
      <c r="F930" s="38"/>
      <c r="G930" s="38"/>
      <c r="H930" s="38"/>
      <c r="I930" s="38"/>
      <c r="J930" s="38"/>
    </row>
    <row r="931" hidden="1">
      <c r="D931" s="38"/>
      <c r="E931" s="38"/>
      <c r="F931" s="38"/>
      <c r="G931" s="38"/>
      <c r="H931" s="38"/>
      <c r="I931" s="38"/>
      <c r="J931" s="38"/>
    </row>
    <row r="932" hidden="1">
      <c r="D932" s="38"/>
      <c r="E932" s="38"/>
      <c r="F932" s="38"/>
      <c r="G932" s="38"/>
      <c r="H932" s="38"/>
      <c r="I932" s="38"/>
      <c r="J932" s="38"/>
    </row>
    <row r="933" hidden="1">
      <c r="D933" s="38"/>
      <c r="E933" s="38"/>
      <c r="F933" s="38"/>
      <c r="G933" s="38"/>
      <c r="H933" s="38"/>
      <c r="I933" s="38"/>
      <c r="J933" s="38"/>
    </row>
    <row r="934" hidden="1">
      <c r="D934" s="38"/>
      <c r="E934" s="38"/>
      <c r="F934" s="38"/>
      <c r="G934" s="38"/>
      <c r="H934" s="38"/>
      <c r="I934" s="38"/>
      <c r="J934" s="38"/>
    </row>
    <row r="935" hidden="1">
      <c r="D935" s="38"/>
      <c r="E935" s="38"/>
      <c r="F935" s="38"/>
      <c r="G935" s="38"/>
      <c r="H935" s="38"/>
      <c r="I935" s="38"/>
      <c r="J935" s="38"/>
    </row>
    <row r="936" hidden="1">
      <c r="D936" s="38"/>
      <c r="E936" s="38"/>
      <c r="F936" s="38"/>
      <c r="G936" s="38"/>
      <c r="H936" s="38"/>
      <c r="I936" s="38"/>
      <c r="J936" s="38"/>
    </row>
    <row r="937" hidden="1">
      <c r="D937" s="38"/>
      <c r="E937" s="38"/>
      <c r="F937" s="38"/>
      <c r="G937" s="38"/>
      <c r="H937" s="38"/>
      <c r="I937" s="38"/>
      <c r="J937" s="38"/>
    </row>
    <row r="938" hidden="1">
      <c r="D938" s="38"/>
      <c r="E938" s="38"/>
      <c r="F938" s="38"/>
      <c r="G938" s="38"/>
      <c r="H938" s="38"/>
      <c r="I938" s="38"/>
      <c r="J938" s="38"/>
    </row>
    <row r="939" hidden="1">
      <c r="D939" s="38"/>
      <c r="E939" s="38"/>
      <c r="F939" s="38"/>
      <c r="G939" s="38"/>
      <c r="H939" s="38"/>
      <c r="I939" s="38"/>
      <c r="J939" s="38"/>
    </row>
    <row r="940" hidden="1">
      <c r="D940" s="38"/>
      <c r="E940" s="38"/>
      <c r="F940" s="38"/>
      <c r="G940" s="38"/>
      <c r="H940" s="38"/>
      <c r="I940" s="38"/>
      <c r="J940" s="38"/>
    </row>
    <row r="941" hidden="1">
      <c r="D941" s="38"/>
      <c r="E941" s="38"/>
      <c r="F941" s="38"/>
      <c r="G941" s="38"/>
      <c r="H941" s="38"/>
      <c r="I941" s="38"/>
      <c r="J941" s="38"/>
    </row>
    <row r="942" hidden="1">
      <c r="D942" s="38"/>
      <c r="E942" s="38"/>
      <c r="F942" s="38"/>
      <c r="G942" s="38"/>
      <c r="H942" s="38"/>
      <c r="I942" s="38"/>
      <c r="J942" s="38"/>
    </row>
    <row r="943" hidden="1">
      <c r="D943" s="38"/>
      <c r="E943" s="38"/>
      <c r="F943" s="38"/>
      <c r="G943" s="38"/>
      <c r="H943" s="38"/>
      <c r="I943" s="38"/>
      <c r="J943" s="38"/>
    </row>
    <row r="944" hidden="1">
      <c r="D944" s="38"/>
      <c r="E944" s="38"/>
      <c r="F944" s="38"/>
      <c r="G944" s="38"/>
      <c r="H944" s="38"/>
      <c r="I944" s="38"/>
      <c r="J944" s="38"/>
    </row>
    <row r="945" hidden="1">
      <c r="D945" s="38"/>
      <c r="E945" s="38"/>
      <c r="F945" s="38"/>
      <c r="G945" s="38"/>
      <c r="H945" s="38"/>
      <c r="I945" s="38"/>
      <c r="J945" s="38"/>
    </row>
    <row r="946" hidden="1">
      <c r="D946" s="38"/>
      <c r="E946" s="38"/>
      <c r="F946" s="38"/>
      <c r="G946" s="38"/>
      <c r="H946" s="38"/>
      <c r="I946" s="38"/>
      <c r="J946" s="38"/>
    </row>
    <row r="947" hidden="1">
      <c r="D947" s="38"/>
      <c r="E947" s="38"/>
      <c r="F947" s="38"/>
      <c r="G947" s="38"/>
      <c r="H947" s="38"/>
      <c r="I947" s="38"/>
      <c r="J947" s="38"/>
    </row>
    <row r="948" hidden="1">
      <c r="D948" s="38"/>
      <c r="E948" s="38"/>
      <c r="F948" s="38"/>
      <c r="G948" s="38"/>
      <c r="H948" s="38"/>
      <c r="I948" s="38"/>
      <c r="J948" s="38"/>
    </row>
    <row r="949" hidden="1">
      <c r="D949" s="38"/>
      <c r="E949" s="38"/>
      <c r="F949" s="38"/>
      <c r="G949" s="38"/>
      <c r="H949" s="38"/>
      <c r="I949" s="38"/>
      <c r="J949" s="38"/>
    </row>
    <row r="950" hidden="1">
      <c r="D950" s="38"/>
      <c r="E950" s="38"/>
      <c r="F950" s="38"/>
      <c r="G950" s="38"/>
      <c r="H950" s="38"/>
      <c r="I950" s="38"/>
      <c r="J950" s="38"/>
    </row>
    <row r="951" hidden="1">
      <c r="D951" s="38"/>
      <c r="E951" s="38"/>
      <c r="F951" s="38"/>
      <c r="G951" s="38"/>
      <c r="H951" s="38"/>
      <c r="I951" s="38"/>
      <c r="J951" s="38"/>
    </row>
    <row r="952" hidden="1">
      <c r="D952" s="38"/>
      <c r="E952" s="38"/>
      <c r="F952" s="38"/>
      <c r="G952" s="38"/>
      <c r="H952" s="38"/>
      <c r="I952" s="38"/>
      <c r="J952" s="38"/>
    </row>
    <row r="953" hidden="1">
      <c r="D953" s="38"/>
      <c r="E953" s="38"/>
      <c r="F953" s="38"/>
      <c r="G953" s="38"/>
      <c r="H953" s="38"/>
      <c r="I953" s="38"/>
      <c r="J953" s="38"/>
    </row>
    <row r="954" hidden="1">
      <c r="D954" s="38"/>
      <c r="E954" s="38"/>
      <c r="F954" s="38"/>
      <c r="G954" s="38"/>
      <c r="H954" s="38"/>
      <c r="I954" s="38"/>
      <c r="J954" s="38"/>
    </row>
    <row r="955" hidden="1">
      <c r="D955" s="38"/>
      <c r="E955" s="38"/>
      <c r="F955" s="38"/>
      <c r="G955" s="38"/>
      <c r="H955" s="38"/>
      <c r="I955" s="38"/>
      <c r="J955" s="38"/>
    </row>
    <row r="956" hidden="1">
      <c r="D956" s="38"/>
      <c r="E956" s="38"/>
      <c r="F956" s="38"/>
      <c r="G956" s="38"/>
      <c r="H956" s="38"/>
      <c r="I956" s="38"/>
      <c r="J956" s="38"/>
    </row>
    <row r="957" hidden="1">
      <c r="D957" s="38"/>
      <c r="E957" s="38"/>
      <c r="F957" s="38"/>
      <c r="G957" s="38"/>
      <c r="H957" s="38"/>
      <c r="I957" s="38"/>
      <c r="J957" s="38"/>
    </row>
    <row r="958" hidden="1">
      <c r="D958" s="38"/>
      <c r="E958" s="38"/>
      <c r="F958" s="38"/>
      <c r="G958" s="38"/>
      <c r="H958" s="38"/>
      <c r="I958" s="38"/>
      <c r="J958" s="38"/>
    </row>
    <row r="959" hidden="1">
      <c r="D959" s="38"/>
      <c r="E959" s="38"/>
      <c r="F959" s="38"/>
      <c r="G959" s="38"/>
      <c r="H959" s="38"/>
      <c r="I959" s="38"/>
      <c r="J959" s="38"/>
    </row>
    <row r="960" hidden="1">
      <c r="D960" s="38"/>
      <c r="E960" s="38"/>
      <c r="F960" s="38"/>
      <c r="G960" s="38"/>
      <c r="H960" s="38"/>
      <c r="I960" s="38"/>
      <c r="J960" s="38"/>
    </row>
    <row r="961" hidden="1">
      <c r="D961" s="38"/>
      <c r="E961" s="38"/>
      <c r="F961" s="38"/>
      <c r="G961" s="38"/>
      <c r="H961" s="38"/>
      <c r="I961" s="38"/>
      <c r="J961" s="38"/>
    </row>
    <row r="962" hidden="1">
      <c r="D962" s="38"/>
      <c r="E962" s="38"/>
      <c r="F962" s="38"/>
      <c r="G962" s="38"/>
      <c r="H962" s="38"/>
      <c r="I962" s="38"/>
      <c r="J962" s="38"/>
    </row>
    <row r="963" hidden="1">
      <c r="D963" s="38"/>
      <c r="E963" s="38"/>
      <c r="F963" s="38"/>
      <c r="G963" s="38"/>
      <c r="H963" s="38"/>
      <c r="I963" s="38"/>
      <c r="J963" s="38"/>
    </row>
    <row r="964" hidden="1">
      <c r="D964" s="38"/>
      <c r="E964" s="38"/>
      <c r="F964" s="38"/>
      <c r="G964" s="38"/>
      <c r="H964" s="38"/>
      <c r="I964" s="38"/>
      <c r="J964" s="38"/>
    </row>
    <row r="965" hidden="1">
      <c r="D965" s="38"/>
      <c r="E965" s="38"/>
      <c r="F965" s="38"/>
      <c r="G965" s="38"/>
      <c r="H965" s="38"/>
      <c r="I965" s="38"/>
      <c r="J965" s="38"/>
    </row>
    <row r="966" hidden="1">
      <c r="D966" s="38"/>
      <c r="E966" s="38"/>
      <c r="F966" s="38"/>
      <c r="G966" s="38"/>
      <c r="H966" s="38"/>
      <c r="I966" s="38"/>
      <c r="J966" s="38"/>
    </row>
    <row r="967" hidden="1">
      <c r="D967" s="38"/>
      <c r="E967" s="38"/>
      <c r="F967" s="38"/>
      <c r="G967" s="38"/>
      <c r="H967" s="38"/>
      <c r="I967" s="38"/>
      <c r="J967" s="38"/>
    </row>
    <row r="968" hidden="1">
      <c r="D968" s="38"/>
      <c r="E968" s="38"/>
      <c r="F968" s="38"/>
      <c r="G968" s="38"/>
      <c r="H968" s="38"/>
      <c r="I968" s="38"/>
      <c r="J968" s="38"/>
    </row>
    <row r="969" hidden="1">
      <c r="D969" s="38"/>
      <c r="E969" s="38"/>
      <c r="F969" s="38"/>
      <c r="G969" s="38"/>
      <c r="H969" s="38"/>
      <c r="I969" s="38"/>
      <c r="J969" s="38"/>
    </row>
    <row r="970" hidden="1">
      <c r="D970" s="38"/>
      <c r="E970" s="38"/>
      <c r="F970" s="38"/>
      <c r="G970" s="38"/>
      <c r="H970" s="38"/>
      <c r="I970" s="38"/>
      <c r="J970" s="38"/>
    </row>
    <row r="971" hidden="1">
      <c r="D971" s="38"/>
      <c r="E971" s="38"/>
      <c r="F971" s="38"/>
      <c r="G971" s="38"/>
      <c r="H971" s="38"/>
      <c r="I971" s="38"/>
      <c r="J971" s="38"/>
    </row>
    <row r="972" hidden="1">
      <c r="D972" s="38"/>
      <c r="E972" s="38"/>
      <c r="F972" s="38"/>
      <c r="G972" s="38"/>
      <c r="H972" s="38"/>
      <c r="I972" s="38"/>
      <c r="J972" s="38"/>
    </row>
    <row r="973" hidden="1">
      <c r="D973" s="38"/>
      <c r="E973" s="38"/>
      <c r="F973" s="38"/>
      <c r="G973" s="38"/>
      <c r="H973" s="38"/>
      <c r="I973" s="38"/>
      <c r="J973" s="38"/>
    </row>
    <row r="974" hidden="1">
      <c r="D974" s="38"/>
      <c r="E974" s="38"/>
      <c r="F974" s="38"/>
      <c r="G974" s="38"/>
      <c r="H974" s="38"/>
      <c r="I974" s="38"/>
      <c r="J974" s="38"/>
    </row>
    <row r="975" hidden="1">
      <c r="D975" s="38"/>
      <c r="E975" s="38"/>
      <c r="F975" s="38"/>
      <c r="G975" s="38"/>
      <c r="H975" s="38"/>
      <c r="I975" s="38"/>
      <c r="J975" s="38"/>
    </row>
    <row r="976" hidden="1">
      <c r="D976" s="38"/>
      <c r="E976" s="38"/>
      <c r="F976" s="38"/>
      <c r="G976" s="38"/>
      <c r="H976" s="38"/>
      <c r="I976" s="38"/>
      <c r="J976" s="38"/>
    </row>
    <row r="977" hidden="1">
      <c r="D977" s="38"/>
      <c r="E977" s="38"/>
      <c r="F977" s="38"/>
      <c r="G977" s="38"/>
      <c r="H977" s="38"/>
      <c r="I977" s="38"/>
      <c r="J977" s="38"/>
    </row>
    <row r="978" hidden="1">
      <c r="D978" s="38"/>
      <c r="E978" s="38"/>
      <c r="F978" s="38"/>
      <c r="G978" s="38"/>
      <c r="H978" s="38"/>
      <c r="I978" s="38"/>
      <c r="J978" s="38"/>
    </row>
    <row r="979" hidden="1">
      <c r="D979" s="38"/>
      <c r="E979" s="38"/>
      <c r="F979" s="38"/>
      <c r="G979" s="38"/>
      <c r="H979" s="38"/>
      <c r="I979" s="38"/>
      <c r="J979" s="38"/>
    </row>
    <row r="980" hidden="1">
      <c r="D980" s="38"/>
      <c r="E980" s="38"/>
      <c r="F980" s="38"/>
      <c r="G980" s="38"/>
      <c r="H980" s="38"/>
      <c r="I980" s="38"/>
      <c r="J980" s="38"/>
    </row>
    <row r="981" hidden="1">
      <c r="D981" s="38"/>
      <c r="E981" s="38"/>
      <c r="F981" s="38"/>
      <c r="G981" s="38"/>
      <c r="H981" s="38"/>
      <c r="I981" s="38"/>
      <c r="J981" s="38"/>
    </row>
    <row r="982" hidden="1">
      <c r="D982" s="38"/>
      <c r="E982" s="38"/>
      <c r="F982" s="38"/>
      <c r="G982" s="38"/>
      <c r="H982" s="38"/>
      <c r="I982" s="38"/>
      <c r="J982" s="38"/>
    </row>
    <row r="983" hidden="1">
      <c r="D983" s="38"/>
      <c r="E983" s="38"/>
      <c r="F983" s="38"/>
      <c r="G983" s="38"/>
      <c r="H983" s="38"/>
      <c r="I983" s="38"/>
      <c r="J983" s="38"/>
    </row>
    <row r="984" hidden="1">
      <c r="D984" s="38"/>
      <c r="E984" s="38"/>
      <c r="F984" s="38"/>
      <c r="G984" s="38"/>
      <c r="H984" s="38"/>
      <c r="I984" s="38"/>
      <c r="J984" s="38"/>
    </row>
    <row r="985" hidden="1">
      <c r="D985" s="38"/>
      <c r="E985" s="38"/>
      <c r="F985" s="38"/>
      <c r="G985" s="38"/>
      <c r="H985" s="38"/>
      <c r="I985" s="38"/>
      <c r="J985" s="38"/>
    </row>
    <row r="986" hidden="1">
      <c r="D986" s="38"/>
      <c r="E986" s="38"/>
      <c r="F986" s="38"/>
      <c r="G986" s="38"/>
      <c r="H986" s="38"/>
      <c r="I986" s="38"/>
      <c r="J986" s="38"/>
    </row>
    <row r="987" hidden="1">
      <c r="D987" s="38"/>
      <c r="E987" s="38"/>
      <c r="F987" s="38"/>
      <c r="G987" s="38"/>
      <c r="H987" s="38"/>
      <c r="I987" s="38"/>
      <c r="J987" s="38"/>
    </row>
    <row r="988" hidden="1">
      <c r="D988" s="38"/>
      <c r="E988" s="38"/>
      <c r="F988" s="38"/>
      <c r="G988" s="38"/>
      <c r="H988" s="38"/>
      <c r="I988" s="38"/>
      <c r="J988" s="38"/>
    </row>
    <row r="989" hidden="1">
      <c r="D989" s="38"/>
      <c r="E989" s="38"/>
      <c r="F989" s="38"/>
      <c r="G989" s="38"/>
      <c r="H989" s="38"/>
      <c r="I989" s="38"/>
      <c r="J989" s="38"/>
    </row>
    <row r="990" hidden="1">
      <c r="D990" s="38"/>
      <c r="E990" s="38"/>
      <c r="F990" s="38"/>
      <c r="G990" s="38"/>
      <c r="H990" s="38"/>
      <c r="I990" s="38"/>
      <c r="J990" s="38"/>
    </row>
    <row r="991" hidden="1">
      <c r="D991" s="38"/>
      <c r="E991" s="38"/>
      <c r="F991" s="38"/>
      <c r="G991" s="38"/>
      <c r="H991" s="38"/>
      <c r="I991" s="38"/>
      <c r="J991" s="38"/>
    </row>
    <row r="992" hidden="1">
      <c r="D992" s="38"/>
      <c r="E992" s="38"/>
      <c r="F992" s="38"/>
      <c r="G992" s="38"/>
      <c r="H992" s="38"/>
      <c r="I992" s="38"/>
      <c r="J992" s="38"/>
    </row>
    <row r="993" hidden="1">
      <c r="D993" s="38"/>
      <c r="E993" s="38"/>
      <c r="F993" s="38"/>
      <c r="G993" s="38"/>
      <c r="H993" s="38"/>
      <c r="I993" s="38"/>
      <c r="J993" s="38"/>
    </row>
    <row r="994" hidden="1">
      <c r="D994" s="38"/>
      <c r="E994" s="38"/>
      <c r="F994" s="38"/>
      <c r="G994" s="38"/>
      <c r="H994" s="38"/>
      <c r="I994" s="38"/>
      <c r="J994" s="38"/>
    </row>
    <row r="995" hidden="1">
      <c r="D995" s="38"/>
      <c r="E995" s="38"/>
      <c r="F995" s="38"/>
      <c r="G995" s="38"/>
      <c r="H995" s="38"/>
      <c r="I995" s="38"/>
      <c r="J995" s="38"/>
    </row>
    <row r="996" hidden="1">
      <c r="D996" s="38"/>
      <c r="E996" s="38"/>
      <c r="F996" s="38"/>
      <c r="G996" s="38"/>
      <c r="H996" s="38"/>
      <c r="I996" s="38"/>
      <c r="J996" s="38"/>
    </row>
    <row r="997" hidden="1">
      <c r="D997" s="38"/>
      <c r="E997" s="38"/>
      <c r="F997" s="38"/>
      <c r="G997" s="38"/>
      <c r="H997" s="38"/>
      <c r="I997" s="38"/>
      <c r="J997" s="38"/>
    </row>
    <row r="998" hidden="1">
      <c r="D998" s="38"/>
      <c r="E998" s="38"/>
      <c r="F998" s="38"/>
      <c r="G998" s="38"/>
      <c r="H998" s="38"/>
      <c r="I998" s="38"/>
      <c r="J998" s="38"/>
    </row>
    <row r="999" hidden="1">
      <c r="D999" s="38"/>
      <c r="E999" s="38"/>
      <c r="F999" s="38"/>
      <c r="G999" s="38"/>
      <c r="H999" s="38"/>
      <c r="I999" s="38"/>
      <c r="J999" s="38"/>
    </row>
    <row r="1000" hidden="1">
      <c r="D1000" s="38"/>
      <c r="E1000" s="38"/>
      <c r="F1000" s="38"/>
      <c r="G1000" s="38"/>
      <c r="H1000" s="38"/>
      <c r="I1000" s="38"/>
      <c r="J1000" s="38"/>
    </row>
    <row r="1001" hidden="1">
      <c r="D1001" s="38"/>
      <c r="E1001" s="38"/>
      <c r="F1001" s="38"/>
      <c r="G1001" s="38"/>
      <c r="H1001" s="38"/>
      <c r="I1001" s="38"/>
      <c r="J1001" s="38"/>
    </row>
  </sheetData>
  <autoFilter ref="$K$1:$O$1001">
    <filterColumn colId="2">
      <filters>
        <filter val="non-RocOrAUC"/>
      </filters>
    </filterColumn>
  </autoFilter>
  <customSheetViews>
    <customSheetView guid="{B6312854-6345-493B-9D5A-580178527BAC}" filter="1" showAutoFilter="1">
      <autoFilter ref="$K$1:$O$1001">
        <filterColumn colId="2">
          <filters>
            <filter val="non-Reprod"/>
          </filters>
        </filterColumn>
      </autoFilter>
    </customSheetView>
  </customSheetViews>
  <mergeCells count="1">
    <mergeCell ref="K2:O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43"/>
    <col customWidth="1" min="3" max="3" width="31.29"/>
    <col customWidth="1" min="9" max="9" width="14.86"/>
    <col customWidth="1" min="10" max="10" width="4.29"/>
    <col customWidth="1" min="11" max="11" width="14.71"/>
  </cols>
  <sheetData>
    <row r="1">
      <c r="A1" s="32" t="s">
        <v>946</v>
      </c>
      <c r="B1" s="32" t="s">
        <v>947</v>
      </c>
      <c r="C1" s="32" t="s">
        <v>948</v>
      </c>
      <c r="D1" s="32" t="s">
        <v>949</v>
      </c>
      <c r="E1" s="32" t="s">
        <v>950</v>
      </c>
      <c r="F1" s="32" t="s">
        <v>951</v>
      </c>
      <c r="G1" s="32" t="s">
        <v>952</v>
      </c>
      <c r="H1" s="32" t="s">
        <v>953</v>
      </c>
      <c r="I1" s="32" t="s">
        <v>954</v>
      </c>
      <c r="J1" s="35" t="s">
        <v>956</v>
      </c>
      <c r="M1" s="33" t="s">
        <v>1013</v>
      </c>
    </row>
    <row r="2">
      <c r="A2" s="33">
        <v>264.0</v>
      </c>
      <c r="B2" s="33" t="s">
        <v>837</v>
      </c>
      <c r="C2" s="33" t="s">
        <v>826</v>
      </c>
      <c r="D2" s="39">
        <v>0.857142857142857</v>
      </c>
      <c r="E2" s="39">
        <v>0.935064935064935</v>
      </c>
      <c r="F2" s="39">
        <v>0.968944099378882</v>
      </c>
      <c r="G2" s="39">
        <v>-0.976190476190476</v>
      </c>
      <c r="H2" s="39">
        <v>0.00595238095238093</v>
      </c>
      <c r="I2" s="39">
        <v>1.006993006993</v>
      </c>
      <c r="J2" s="36">
        <v>260.0</v>
      </c>
      <c r="K2" s="36" t="s">
        <v>841</v>
      </c>
      <c r="L2" s="36" t="s">
        <v>825</v>
      </c>
    </row>
    <row r="3">
      <c r="A3" s="33">
        <v>265.0</v>
      </c>
      <c r="B3" s="33" t="s">
        <v>848</v>
      </c>
      <c r="C3" s="33" t="s">
        <v>826</v>
      </c>
      <c r="D3" s="39">
        <v>0.857142857142857</v>
      </c>
      <c r="E3" s="39">
        <v>0.935064935064935</v>
      </c>
      <c r="F3" s="39">
        <v>0.968944099378882</v>
      </c>
      <c r="G3" s="39">
        <v>-0.976190476190476</v>
      </c>
      <c r="H3" s="39">
        <v>0.00595238095238093</v>
      </c>
      <c r="I3" s="39">
        <v>1.006993006993</v>
      </c>
      <c r="J3" s="36">
        <v>222.0</v>
      </c>
      <c r="K3" s="36" t="s">
        <v>840</v>
      </c>
      <c r="L3" s="36" t="s">
        <v>837</v>
      </c>
    </row>
    <row r="4">
      <c r="A4" s="33">
        <v>240.0</v>
      </c>
      <c r="B4" s="33" t="s">
        <v>826</v>
      </c>
      <c r="C4" s="33" t="s">
        <v>825</v>
      </c>
      <c r="D4" s="39">
        <v>0.857142857142857</v>
      </c>
      <c r="E4" s="39">
        <v>0.923076923076923</v>
      </c>
      <c r="F4" s="39">
        <v>0.962962962962963</v>
      </c>
      <c r="G4" s="39">
        <v>-1.0</v>
      </c>
      <c r="H4" s="39">
        <v>-0.00510204081632659</v>
      </c>
      <c r="I4" s="39">
        <v>0.994082840236686</v>
      </c>
      <c r="J4" s="36">
        <v>70.0</v>
      </c>
      <c r="K4" s="36" t="s">
        <v>837</v>
      </c>
      <c r="L4" s="36" t="s">
        <v>840</v>
      </c>
    </row>
    <row r="5">
      <c r="A5" s="33">
        <v>241.0</v>
      </c>
      <c r="B5" s="33" t="s">
        <v>825</v>
      </c>
      <c r="C5" s="33" t="s">
        <v>826</v>
      </c>
      <c r="D5" s="39">
        <v>0.857142857142857</v>
      </c>
      <c r="E5" s="39">
        <v>0.923076923076923</v>
      </c>
      <c r="F5" s="39">
        <v>0.962962962962963</v>
      </c>
      <c r="G5" s="39">
        <v>-1.0</v>
      </c>
      <c r="H5" s="39">
        <v>-0.00510204081632659</v>
      </c>
      <c r="I5" s="39">
        <v>0.994082840236686</v>
      </c>
      <c r="J5" s="36">
        <v>125.0</v>
      </c>
      <c r="K5" s="36" t="s">
        <v>836</v>
      </c>
      <c r="L5" s="36" t="s">
        <v>841</v>
      </c>
    </row>
    <row r="6">
      <c r="A6" s="33">
        <v>242.0</v>
      </c>
      <c r="B6" s="33" t="s">
        <v>826</v>
      </c>
      <c r="C6" s="33" t="s">
        <v>837</v>
      </c>
      <c r="D6" s="39">
        <v>0.857142857142857</v>
      </c>
      <c r="E6" s="39">
        <v>0.923076923076923</v>
      </c>
      <c r="F6" s="39">
        <v>0.962962962962963</v>
      </c>
      <c r="G6" s="39">
        <v>-1.0</v>
      </c>
      <c r="H6" s="39">
        <v>0.00595238095238093</v>
      </c>
      <c r="I6" s="39">
        <v>1.006993006993</v>
      </c>
      <c r="J6" s="36">
        <v>50.0</v>
      </c>
      <c r="K6" s="36" t="s">
        <v>837</v>
      </c>
      <c r="L6" s="36" t="s">
        <v>841</v>
      </c>
    </row>
    <row r="7">
      <c r="A7" s="33">
        <v>243.0</v>
      </c>
      <c r="B7" s="33" t="s">
        <v>826</v>
      </c>
      <c r="C7" s="33" t="s">
        <v>848</v>
      </c>
      <c r="D7" s="39">
        <v>0.857142857142857</v>
      </c>
      <c r="E7" s="39">
        <v>0.923076923076923</v>
      </c>
      <c r="F7" s="39">
        <v>0.962962962962963</v>
      </c>
      <c r="G7" s="39">
        <v>-1.0</v>
      </c>
      <c r="H7" s="39">
        <v>0.00595238095238093</v>
      </c>
      <c r="I7" s="39">
        <v>1.006993006993</v>
      </c>
      <c r="J7" s="36">
        <v>215.0</v>
      </c>
      <c r="K7" s="36" t="s">
        <v>64</v>
      </c>
      <c r="L7" s="36" t="s">
        <v>825</v>
      </c>
    </row>
    <row r="8">
      <c r="A8" s="33">
        <v>238.0</v>
      </c>
      <c r="B8" s="33" t="s">
        <v>837</v>
      </c>
      <c r="C8" s="33" t="s">
        <v>825</v>
      </c>
      <c r="D8" s="39">
        <v>0.845238095238095</v>
      </c>
      <c r="E8" s="39">
        <v>0.922077922077922</v>
      </c>
      <c r="F8" s="39">
        <v>0.962732919254658</v>
      </c>
      <c r="G8" s="39">
        <v>-0.988095238095238</v>
      </c>
      <c r="H8" s="39">
        <v>-0.00595238095238093</v>
      </c>
      <c r="I8" s="39">
        <v>0.993006993006993</v>
      </c>
      <c r="J8" s="40">
        <v>208.0</v>
      </c>
      <c r="K8" s="36" t="s">
        <v>842</v>
      </c>
      <c r="L8" s="36" t="s">
        <v>837</v>
      </c>
    </row>
    <row r="9">
      <c r="A9" s="33">
        <v>239.0</v>
      </c>
      <c r="B9" s="33" t="s">
        <v>848</v>
      </c>
      <c r="C9" s="33" t="s">
        <v>825</v>
      </c>
      <c r="D9" s="39">
        <v>0.845238095238095</v>
      </c>
      <c r="E9" s="39">
        <v>0.922077922077922</v>
      </c>
      <c r="F9" s="39">
        <v>0.962732919254658</v>
      </c>
      <c r="G9" s="39">
        <v>-0.988095238095238</v>
      </c>
      <c r="H9" s="39">
        <v>-0.00595238095238093</v>
      </c>
      <c r="I9" s="39">
        <v>0.993006993006993</v>
      </c>
      <c r="J9" s="41">
        <v>168.0</v>
      </c>
      <c r="K9" s="42" t="s">
        <v>64</v>
      </c>
      <c r="L9" s="42" t="s">
        <v>837</v>
      </c>
    </row>
    <row r="10">
      <c r="A10" s="33">
        <v>203.0</v>
      </c>
      <c r="B10" s="33" t="s">
        <v>825</v>
      </c>
      <c r="C10" s="33" t="s">
        <v>837</v>
      </c>
      <c r="D10" s="39">
        <v>0.845238095238095</v>
      </c>
      <c r="E10" s="39">
        <v>0.91025641025641</v>
      </c>
      <c r="F10" s="39">
        <v>0.95679012345679</v>
      </c>
      <c r="G10" s="39">
        <v>-1.01190476190476</v>
      </c>
      <c r="H10" s="39">
        <v>-0.00595238095238093</v>
      </c>
      <c r="I10" s="39">
        <v>0.993006993006993</v>
      </c>
      <c r="J10" s="40">
        <v>64.0</v>
      </c>
      <c r="K10" s="36" t="s">
        <v>836</v>
      </c>
      <c r="L10" s="36" t="s">
        <v>840</v>
      </c>
    </row>
    <row r="11">
      <c r="A11" s="33">
        <v>204.0</v>
      </c>
      <c r="B11" s="33" t="s">
        <v>825</v>
      </c>
      <c r="C11" s="33" t="s">
        <v>848</v>
      </c>
      <c r="D11" s="39">
        <v>0.845238095238095</v>
      </c>
      <c r="E11" s="39">
        <v>0.91025641025641</v>
      </c>
      <c r="F11" s="39">
        <v>0.95679012345679</v>
      </c>
      <c r="G11" s="39">
        <v>-1.01190476190476</v>
      </c>
      <c r="H11" s="39">
        <v>-0.00595238095238093</v>
      </c>
      <c r="I11" s="39">
        <v>0.993006993006993</v>
      </c>
      <c r="J11" s="40">
        <v>3.0</v>
      </c>
      <c r="K11" s="36" t="s">
        <v>837</v>
      </c>
      <c r="L11" s="36" t="s">
        <v>842</v>
      </c>
    </row>
    <row r="12">
      <c r="A12" s="33">
        <v>191.0</v>
      </c>
      <c r="B12" s="33" t="s">
        <v>837</v>
      </c>
      <c r="C12" s="33" t="s">
        <v>848</v>
      </c>
      <c r="D12" s="39">
        <v>0.833333333333333</v>
      </c>
      <c r="E12" s="39">
        <v>0.909090909090909</v>
      </c>
      <c r="F12" s="39">
        <v>0.956521739130434</v>
      </c>
      <c r="G12" s="39">
        <v>-0.999999999999999</v>
      </c>
      <c r="H12" s="39">
        <v>-0.0069444444444443</v>
      </c>
      <c r="I12" s="39">
        <v>0.991735537190082</v>
      </c>
      <c r="J12" s="43">
        <v>194.0</v>
      </c>
      <c r="K12" s="44" t="s">
        <v>843</v>
      </c>
      <c r="L12" s="44" t="s">
        <v>837</v>
      </c>
      <c r="M12" s="33"/>
      <c r="N12" s="33"/>
    </row>
    <row r="13">
      <c r="A13" s="33">
        <v>192.0</v>
      </c>
      <c r="B13" s="33" t="s">
        <v>848</v>
      </c>
      <c r="C13" s="33" t="s">
        <v>837</v>
      </c>
      <c r="D13" s="39">
        <v>0.833333333333333</v>
      </c>
      <c r="E13" s="39">
        <v>0.909090909090909</v>
      </c>
      <c r="F13" s="39">
        <v>0.956521739130434</v>
      </c>
      <c r="G13" s="39">
        <v>-0.999999999999999</v>
      </c>
      <c r="H13" s="39">
        <v>-0.0069444444444443</v>
      </c>
      <c r="I13" s="39">
        <v>0.991735537190082</v>
      </c>
      <c r="J13" s="40">
        <v>133.0</v>
      </c>
      <c r="K13" s="36" t="s">
        <v>64</v>
      </c>
      <c r="L13" s="36" t="s">
        <v>840</v>
      </c>
    </row>
    <row r="14">
      <c r="A14" s="33">
        <v>286.0</v>
      </c>
      <c r="B14" s="33" t="s">
        <v>839</v>
      </c>
      <c r="C14" s="33" t="s">
        <v>826</v>
      </c>
      <c r="D14" s="39">
        <v>0.821428571428571</v>
      </c>
      <c r="E14" s="39">
        <v>0.958333333333333</v>
      </c>
      <c r="F14" s="39">
        <v>0.98076923076923</v>
      </c>
      <c r="G14" s="39">
        <v>-0.892857142857142</v>
      </c>
      <c r="H14" s="39">
        <v>0.0255102040816326</v>
      </c>
      <c r="I14" s="39">
        <v>1.03205128205128</v>
      </c>
      <c r="J14" s="40">
        <v>74.0</v>
      </c>
      <c r="K14" s="36" t="s">
        <v>840</v>
      </c>
      <c r="L14" s="36" t="s">
        <v>64</v>
      </c>
    </row>
    <row r="15">
      <c r="A15" s="33">
        <v>151.0</v>
      </c>
      <c r="B15" s="33" t="s">
        <v>826</v>
      </c>
      <c r="C15" s="33" t="s">
        <v>839</v>
      </c>
      <c r="D15" s="39">
        <v>0.821428571428571</v>
      </c>
      <c r="E15" s="39">
        <v>0.884615384615384</v>
      </c>
      <c r="F15" s="39">
        <v>0.944444444444444</v>
      </c>
      <c r="G15" s="39">
        <v>-1.03571428571428</v>
      </c>
      <c r="H15" s="39">
        <v>0.0255102040816326</v>
      </c>
      <c r="I15" s="39">
        <v>1.03205128205128</v>
      </c>
      <c r="J15" s="40">
        <v>152.0</v>
      </c>
      <c r="K15" s="36" t="s">
        <v>843</v>
      </c>
      <c r="L15" s="36" t="s">
        <v>839</v>
      </c>
    </row>
    <row r="16">
      <c r="A16" s="33">
        <v>279.0</v>
      </c>
      <c r="B16" s="33" t="s">
        <v>839</v>
      </c>
      <c r="C16" s="33" t="s">
        <v>848</v>
      </c>
      <c r="D16" s="39">
        <v>0.809523809523809</v>
      </c>
      <c r="E16" s="39">
        <v>0.944444444444444</v>
      </c>
      <c r="F16" s="39">
        <v>0.974358974358974</v>
      </c>
      <c r="G16" s="39">
        <v>-0.904761904761904</v>
      </c>
      <c r="H16" s="39">
        <v>0.0238095238095239</v>
      </c>
      <c r="I16" s="39">
        <v>1.03030303030303</v>
      </c>
      <c r="J16" s="40">
        <v>101.0</v>
      </c>
      <c r="K16" s="36" t="s">
        <v>64</v>
      </c>
      <c r="L16" s="36" t="s">
        <v>841</v>
      </c>
    </row>
    <row r="17">
      <c r="A17" s="33">
        <v>231.0</v>
      </c>
      <c r="B17" s="33" t="s">
        <v>836</v>
      </c>
      <c r="C17" s="33" t="s">
        <v>826</v>
      </c>
      <c r="D17" s="39">
        <v>0.809523809523809</v>
      </c>
      <c r="E17" s="39">
        <v>0.918918918918919</v>
      </c>
      <c r="F17" s="39">
        <v>0.962025316455696</v>
      </c>
      <c r="G17" s="39">
        <v>-0.952380952380952</v>
      </c>
      <c r="H17" s="39">
        <v>-0.00850340136054417</v>
      </c>
      <c r="I17" s="39">
        <v>0.989604989604989</v>
      </c>
      <c r="J17" s="40">
        <v>37.0</v>
      </c>
      <c r="K17" s="36" t="s">
        <v>840</v>
      </c>
      <c r="L17" s="36" t="s">
        <v>839</v>
      </c>
    </row>
    <row r="18">
      <c r="A18" s="33">
        <v>232.0</v>
      </c>
      <c r="B18" s="33" t="s">
        <v>836</v>
      </c>
      <c r="C18" s="33" t="s">
        <v>825</v>
      </c>
      <c r="D18" s="39">
        <v>0.809523809523809</v>
      </c>
      <c r="E18" s="39">
        <v>0.918918918918919</v>
      </c>
      <c r="F18" s="39">
        <v>0.962025316455696</v>
      </c>
      <c r="G18" s="39">
        <v>-0.952380952380952</v>
      </c>
      <c r="H18" s="39">
        <v>-0.00850340136054417</v>
      </c>
      <c r="I18" s="39">
        <v>0.989604989604989</v>
      </c>
      <c r="J18" s="40">
        <v>38.0</v>
      </c>
      <c r="K18" s="36" t="s">
        <v>841</v>
      </c>
      <c r="L18" s="36" t="s">
        <v>64</v>
      </c>
    </row>
    <row r="19">
      <c r="A19" s="33">
        <v>147.0</v>
      </c>
      <c r="B19" s="33" t="s">
        <v>848</v>
      </c>
      <c r="C19" s="33" t="s">
        <v>839</v>
      </c>
      <c r="D19" s="39">
        <v>0.809523809523809</v>
      </c>
      <c r="E19" s="39">
        <v>0.883116883116883</v>
      </c>
      <c r="F19" s="39">
        <v>0.944099378881987</v>
      </c>
      <c r="G19" s="39">
        <v>-1.02380952380952</v>
      </c>
      <c r="H19" s="39">
        <v>0.0238095238095239</v>
      </c>
      <c r="I19" s="39">
        <v>1.03030303030303</v>
      </c>
      <c r="J19" s="40">
        <v>16.0</v>
      </c>
      <c r="K19" s="36" t="s">
        <v>839</v>
      </c>
      <c r="L19" s="36" t="s">
        <v>840</v>
      </c>
    </row>
    <row r="20">
      <c r="A20" s="33">
        <v>139.0</v>
      </c>
      <c r="B20" s="33" t="s">
        <v>826</v>
      </c>
      <c r="C20" s="33" t="s">
        <v>836</v>
      </c>
      <c r="D20" s="39">
        <v>0.809523809523809</v>
      </c>
      <c r="E20" s="39">
        <v>0.871794871794871</v>
      </c>
      <c r="F20" s="39">
        <v>0.938271604938271</v>
      </c>
      <c r="G20" s="39">
        <v>-1.04761904761904</v>
      </c>
      <c r="H20" s="39">
        <v>-0.00850340136054417</v>
      </c>
      <c r="I20" s="39">
        <v>0.989604989604989</v>
      </c>
      <c r="J20" s="40">
        <v>18.0</v>
      </c>
      <c r="K20" s="36" t="s">
        <v>839</v>
      </c>
      <c r="L20" s="36" t="s">
        <v>843</v>
      </c>
    </row>
    <row r="21">
      <c r="A21" s="33">
        <v>140.0</v>
      </c>
      <c r="B21" s="33" t="s">
        <v>825</v>
      </c>
      <c r="C21" s="33" t="s">
        <v>836</v>
      </c>
      <c r="D21" s="39">
        <v>0.809523809523809</v>
      </c>
      <c r="E21" s="39">
        <v>0.871794871794871</v>
      </c>
      <c r="F21" s="39">
        <v>0.938271604938271</v>
      </c>
      <c r="G21" s="39">
        <v>-1.04761904761904</v>
      </c>
      <c r="H21" s="39">
        <v>-0.00850340136054417</v>
      </c>
      <c r="I21" s="39">
        <v>0.989604989604989</v>
      </c>
    </row>
    <row r="22">
      <c r="A22" s="33">
        <v>293.0</v>
      </c>
      <c r="B22" s="33" t="s">
        <v>830</v>
      </c>
      <c r="C22" s="33" t="s">
        <v>825</v>
      </c>
      <c r="D22" s="39">
        <v>0.797619047619047</v>
      </c>
      <c r="E22" s="39">
        <v>0.971014492753623</v>
      </c>
      <c r="F22" s="39">
        <v>0.986928104575163</v>
      </c>
      <c r="G22" s="39">
        <v>-0.845238095238095</v>
      </c>
      <c r="H22" s="39">
        <v>0.0348639455782313</v>
      </c>
      <c r="I22" s="39">
        <v>1.04570791527313</v>
      </c>
    </row>
    <row r="23">
      <c r="A23" s="33">
        <v>177.0</v>
      </c>
      <c r="B23" s="33" t="s">
        <v>836</v>
      </c>
      <c r="C23" s="33" t="s">
        <v>837</v>
      </c>
      <c r="D23" s="39">
        <v>0.797619047619047</v>
      </c>
      <c r="E23" s="39">
        <v>0.905405405405405</v>
      </c>
      <c r="F23" s="39">
        <v>0.955696202531645</v>
      </c>
      <c r="G23" s="39">
        <v>-0.964285714285714</v>
      </c>
      <c r="H23" s="39">
        <v>-0.00992063492063477</v>
      </c>
      <c r="I23" s="39">
        <v>0.987714987714987</v>
      </c>
    </row>
    <row r="24">
      <c r="A24" s="33">
        <v>178.0</v>
      </c>
      <c r="B24" s="33" t="s">
        <v>836</v>
      </c>
      <c r="C24" s="33" t="s">
        <v>848</v>
      </c>
      <c r="D24" s="39">
        <v>0.797619047619047</v>
      </c>
      <c r="E24" s="39">
        <v>0.905405405405405</v>
      </c>
      <c r="F24" s="39">
        <v>0.955696202531645</v>
      </c>
      <c r="G24" s="39">
        <v>-0.964285714285714</v>
      </c>
      <c r="H24" s="39">
        <v>-0.00992063492063477</v>
      </c>
      <c r="I24" s="39">
        <v>0.987714987714987</v>
      </c>
    </row>
    <row r="25">
      <c r="A25" s="33">
        <v>136.0</v>
      </c>
      <c r="B25" s="33" t="s">
        <v>837</v>
      </c>
      <c r="C25" s="33" t="s">
        <v>836</v>
      </c>
      <c r="D25" s="39">
        <v>0.797619047619047</v>
      </c>
      <c r="E25" s="39">
        <v>0.87012987012987</v>
      </c>
      <c r="F25" s="39">
        <v>0.937888198757764</v>
      </c>
      <c r="G25" s="39">
        <v>-1.03571428571428</v>
      </c>
      <c r="H25" s="39">
        <v>-0.00992063492063477</v>
      </c>
      <c r="I25" s="39">
        <v>0.987714987714987</v>
      </c>
    </row>
    <row r="26">
      <c r="A26" s="33">
        <v>137.0</v>
      </c>
      <c r="B26" s="33" t="s">
        <v>848</v>
      </c>
      <c r="C26" s="33" t="s">
        <v>836</v>
      </c>
      <c r="D26" s="39">
        <v>0.797619047619047</v>
      </c>
      <c r="E26" s="39">
        <v>0.87012987012987</v>
      </c>
      <c r="F26" s="39">
        <v>0.937888198757764</v>
      </c>
      <c r="G26" s="39">
        <v>-1.03571428571428</v>
      </c>
      <c r="H26" s="39">
        <v>-0.00992063492063477</v>
      </c>
      <c r="I26" s="39">
        <v>0.987714987714987</v>
      </c>
    </row>
    <row r="27">
      <c r="A27" s="33">
        <v>115.0</v>
      </c>
      <c r="B27" s="33" t="s">
        <v>825</v>
      </c>
      <c r="C27" s="33" t="s">
        <v>830</v>
      </c>
      <c r="D27" s="39">
        <v>0.797619047619047</v>
      </c>
      <c r="E27" s="39">
        <v>0.858974358974358</v>
      </c>
      <c r="F27" s="39">
        <v>0.932098765432098</v>
      </c>
      <c r="G27" s="39">
        <v>-1.0595238095238</v>
      </c>
      <c r="H27" s="39">
        <v>0.0348639455782313</v>
      </c>
      <c r="I27" s="39">
        <v>1.04570791527313</v>
      </c>
    </row>
    <row r="28">
      <c r="A28" s="33">
        <v>278.0</v>
      </c>
      <c r="B28" s="33" t="s">
        <v>971</v>
      </c>
      <c r="C28" s="33" t="s">
        <v>826</v>
      </c>
      <c r="D28" s="39">
        <v>0.785714285714285</v>
      </c>
      <c r="E28" s="39">
        <v>0.942857142857142</v>
      </c>
      <c r="F28" s="39">
        <v>0.974025974025973</v>
      </c>
      <c r="G28" s="39">
        <v>-0.880952380952381</v>
      </c>
      <c r="H28" s="39">
        <v>0.0119047619047618</v>
      </c>
      <c r="I28" s="39">
        <v>1.01538461538461</v>
      </c>
    </row>
    <row r="29">
      <c r="A29" s="36">
        <v>260.0</v>
      </c>
      <c r="B29" s="36" t="s">
        <v>841</v>
      </c>
      <c r="C29" s="36" t="s">
        <v>825</v>
      </c>
      <c r="D29" s="45">
        <v>0.785714285714285</v>
      </c>
      <c r="E29" s="45">
        <v>0.929577464788732</v>
      </c>
      <c r="F29" s="45">
        <v>0.96774193548387</v>
      </c>
      <c r="G29" s="45">
        <v>-0.904761904761904</v>
      </c>
      <c r="H29" s="45">
        <v>8.50340136054339E-4</v>
      </c>
      <c r="I29" s="45">
        <v>1.00108342361863</v>
      </c>
    </row>
    <row r="30">
      <c r="A30" s="33">
        <v>261.0</v>
      </c>
      <c r="B30" s="33" t="s">
        <v>840</v>
      </c>
      <c r="C30" s="33" t="s">
        <v>848</v>
      </c>
      <c r="D30" s="39">
        <v>0.785714285714285</v>
      </c>
      <c r="E30" s="39">
        <v>0.929577464788732</v>
      </c>
      <c r="F30" s="39">
        <v>0.96774193548387</v>
      </c>
      <c r="G30" s="39">
        <v>-0.904761904761904</v>
      </c>
      <c r="H30" s="39">
        <v>0.0109126984126984</v>
      </c>
      <c r="I30" s="39">
        <v>1.01408450704225</v>
      </c>
    </row>
    <row r="31">
      <c r="A31" s="33">
        <v>262.0</v>
      </c>
      <c r="B31" s="33" t="s">
        <v>988</v>
      </c>
      <c r="C31" s="33" t="s">
        <v>826</v>
      </c>
      <c r="D31" s="39">
        <v>0.785714285714285</v>
      </c>
      <c r="E31" s="39">
        <v>0.929577464788732</v>
      </c>
      <c r="F31" s="39">
        <v>0.96774193548387</v>
      </c>
      <c r="G31" s="39">
        <v>-0.904761904761904</v>
      </c>
      <c r="H31" s="39">
        <v>8.50340136054339E-4</v>
      </c>
      <c r="I31" s="39">
        <v>1.00108342361863</v>
      </c>
    </row>
    <row r="32">
      <c r="A32" s="33">
        <v>263.0</v>
      </c>
      <c r="B32" s="33" t="s">
        <v>989</v>
      </c>
      <c r="C32" s="33" t="s">
        <v>826</v>
      </c>
      <c r="D32" s="39">
        <v>0.785714285714285</v>
      </c>
      <c r="E32" s="39">
        <v>0.929577464788732</v>
      </c>
      <c r="F32" s="39">
        <v>0.96774193548387</v>
      </c>
      <c r="G32" s="39">
        <v>-0.904761904761904</v>
      </c>
      <c r="H32" s="39">
        <v>8.50340136054339E-4</v>
      </c>
      <c r="I32" s="39">
        <v>1.00108342361863</v>
      </c>
    </row>
    <row r="33">
      <c r="A33" s="33">
        <v>224.0</v>
      </c>
      <c r="B33" s="33" t="s">
        <v>839</v>
      </c>
      <c r="C33" s="33" t="s">
        <v>825</v>
      </c>
      <c r="D33" s="39">
        <v>0.785714285714285</v>
      </c>
      <c r="E33" s="39">
        <v>0.916666666666666</v>
      </c>
      <c r="F33" s="39">
        <v>0.961538461538461</v>
      </c>
      <c r="G33" s="39">
        <v>-0.928571428571428</v>
      </c>
      <c r="H33" s="39">
        <v>-0.010204081632653</v>
      </c>
      <c r="I33" s="39">
        <v>0.987179487179487</v>
      </c>
    </row>
    <row r="34">
      <c r="A34" s="33">
        <v>225.0</v>
      </c>
      <c r="B34" s="33" t="s">
        <v>1002</v>
      </c>
      <c r="C34" s="33" t="s">
        <v>837</v>
      </c>
      <c r="D34" s="39">
        <v>0.785714285714285</v>
      </c>
      <c r="E34" s="39">
        <v>0.916666666666666</v>
      </c>
      <c r="F34" s="39">
        <v>0.961538461538461</v>
      </c>
      <c r="G34" s="39">
        <v>-0.928571428571428</v>
      </c>
      <c r="H34" s="39">
        <v>1.11022302462515E-16</v>
      </c>
      <c r="I34" s="39">
        <v>1.0</v>
      </c>
    </row>
    <row r="35">
      <c r="A35" s="33">
        <v>226.0</v>
      </c>
      <c r="B35" s="33" t="s">
        <v>1003</v>
      </c>
      <c r="C35" s="33" t="s">
        <v>825</v>
      </c>
      <c r="D35" s="39">
        <v>0.785714285714285</v>
      </c>
      <c r="E35" s="39">
        <v>0.916666666666666</v>
      </c>
      <c r="F35" s="39">
        <v>0.961538461538461</v>
      </c>
      <c r="G35" s="39">
        <v>-0.928571428571428</v>
      </c>
      <c r="H35" s="39">
        <v>-0.010204081632653</v>
      </c>
      <c r="I35" s="39">
        <v>0.987179487179487</v>
      </c>
    </row>
    <row r="36">
      <c r="A36" s="33">
        <v>227.0</v>
      </c>
      <c r="B36" s="33" t="s">
        <v>1002</v>
      </c>
      <c r="C36" s="33" t="s">
        <v>848</v>
      </c>
      <c r="D36" s="39">
        <v>0.785714285714285</v>
      </c>
      <c r="E36" s="39">
        <v>0.916666666666666</v>
      </c>
      <c r="F36" s="39">
        <v>0.961538461538461</v>
      </c>
      <c r="G36" s="39">
        <v>-0.928571428571428</v>
      </c>
      <c r="H36" s="39">
        <v>1.11022302462515E-16</v>
      </c>
      <c r="I36" s="39">
        <v>1.0</v>
      </c>
    </row>
    <row r="37">
      <c r="A37" s="33">
        <v>228.0</v>
      </c>
      <c r="B37" s="33" t="s">
        <v>1004</v>
      </c>
      <c r="C37" s="33" t="s">
        <v>825</v>
      </c>
      <c r="D37" s="39">
        <v>0.785714285714285</v>
      </c>
      <c r="E37" s="39">
        <v>0.916666666666666</v>
      </c>
      <c r="F37" s="39">
        <v>0.961538461538461</v>
      </c>
      <c r="G37" s="39">
        <v>-0.928571428571428</v>
      </c>
      <c r="H37" s="39">
        <v>-0.010204081632653</v>
      </c>
      <c r="I37" s="39">
        <v>0.987179487179487</v>
      </c>
    </row>
    <row r="38">
      <c r="A38" s="33">
        <v>229.0</v>
      </c>
      <c r="B38" s="33" t="s">
        <v>1003</v>
      </c>
      <c r="C38" s="33" t="s">
        <v>848</v>
      </c>
      <c r="D38" s="39">
        <v>0.785714285714285</v>
      </c>
      <c r="E38" s="39">
        <v>0.916666666666666</v>
      </c>
      <c r="F38" s="39">
        <v>0.961538461538461</v>
      </c>
      <c r="G38" s="39">
        <v>-0.928571428571428</v>
      </c>
      <c r="H38" s="39">
        <v>1.11022302462515E-16</v>
      </c>
      <c r="I38" s="39">
        <v>1.0</v>
      </c>
    </row>
    <row r="39">
      <c r="A39" s="33">
        <v>230.0</v>
      </c>
      <c r="B39" s="33" t="s">
        <v>1004</v>
      </c>
      <c r="C39" s="33" t="s">
        <v>837</v>
      </c>
      <c r="D39" s="39">
        <v>0.785714285714285</v>
      </c>
      <c r="E39" s="39">
        <v>0.916666666666666</v>
      </c>
      <c r="F39" s="39">
        <v>0.961538461538461</v>
      </c>
      <c r="G39" s="39">
        <v>-0.928571428571428</v>
      </c>
      <c r="H39" s="39">
        <v>1.11022302462515E-16</v>
      </c>
      <c r="I39" s="39">
        <v>1.0</v>
      </c>
    </row>
    <row r="40">
      <c r="A40" s="33">
        <v>107.0</v>
      </c>
      <c r="B40" s="33" t="s">
        <v>848</v>
      </c>
      <c r="C40" s="33" t="s">
        <v>840</v>
      </c>
      <c r="D40" s="39">
        <v>0.785714285714285</v>
      </c>
      <c r="E40" s="39">
        <v>0.857142857142857</v>
      </c>
      <c r="F40" s="39">
        <v>0.93167701863354</v>
      </c>
      <c r="G40" s="39">
        <v>-1.04761904761904</v>
      </c>
      <c r="H40" s="39">
        <v>0.0109126984126984</v>
      </c>
      <c r="I40" s="39">
        <v>1.01408450704225</v>
      </c>
    </row>
    <row r="41">
      <c r="A41" s="33">
        <v>108.0</v>
      </c>
      <c r="B41" s="33" t="s">
        <v>837</v>
      </c>
      <c r="C41" s="33" t="s">
        <v>1002</v>
      </c>
      <c r="D41" s="39">
        <v>0.785714285714285</v>
      </c>
      <c r="E41" s="39">
        <v>0.857142857142857</v>
      </c>
      <c r="F41" s="39">
        <v>0.93167701863354</v>
      </c>
      <c r="G41" s="39">
        <v>-1.04761904761904</v>
      </c>
      <c r="H41" s="39">
        <v>1.11022302462515E-16</v>
      </c>
      <c r="I41" s="39">
        <v>1.0</v>
      </c>
    </row>
    <row r="42">
      <c r="A42" s="33">
        <v>109.0</v>
      </c>
      <c r="B42" s="33" t="s">
        <v>848</v>
      </c>
      <c r="C42" s="33" t="s">
        <v>1002</v>
      </c>
      <c r="D42" s="39">
        <v>0.785714285714285</v>
      </c>
      <c r="E42" s="39">
        <v>0.857142857142857</v>
      </c>
      <c r="F42" s="39">
        <v>0.93167701863354</v>
      </c>
      <c r="G42" s="39">
        <v>-1.04761904761904</v>
      </c>
      <c r="H42" s="39">
        <v>1.11022302462515E-16</v>
      </c>
      <c r="I42" s="39">
        <v>1.0</v>
      </c>
    </row>
    <row r="43">
      <c r="A43" s="33">
        <v>110.0</v>
      </c>
      <c r="B43" s="33" t="s">
        <v>837</v>
      </c>
      <c r="C43" s="33" t="s">
        <v>1004</v>
      </c>
      <c r="D43" s="39">
        <v>0.785714285714285</v>
      </c>
      <c r="E43" s="39">
        <v>0.857142857142857</v>
      </c>
      <c r="F43" s="39">
        <v>0.93167701863354</v>
      </c>
      <c r="G43" s="39">
        <v>-1.04761904761904</v>
      </c>
      <c r="H43" s="39">
        <v>1.11022302462515E-16</v>
      </c>
      <c r="I43" s="39">
        <v>1.0</v>
      </c>
    </row>
    <row r="44">
      <c r="A44" s="33">
        <v>111.0</v>
      </c>
      <c r="B44" s="33" t="s">
        <v>848</v>
      </c>
      <c r="C44" s="33" t="s">
        <v>1003</v>
      </c>
      <c r="D44" s="39">
        <v>0.785714285714285</v>
      </c>
      <c r="E44" s="39">
        <v>0.857142857142857</v>
      </c>
      <c r="F44" s="39">
        <v>0.93167701863354</v>
      </c>
      <c r="G44" s="39">
        <v>-1.04761904761904</v>
      </c>
      <c r="H44" s="39">
        <v>1.11022302462515E-16</v>
      </c>
      <c r="I44" s="39">
        <v>1.0</v>
      </c>
    </row>
    <row r="45">
      <c r="A45" s="33">
        <v>87.0</v>
      </c>
      <c r="B45" s="33" t="s">
        <v>825</v>
      </c>
      <c r="C45" s="33" t="s">
        <v>839</v>
      </c>
      <c r="D45" s="39">
        <v>0.785714285714285</v>
      </c>
      <c r="E45" s="39">
        <v>0.846153846153846</v>
      </c>
      <c r="F45" s="39">
        <v>0.925925925925925</v>
      </c>
      <c r="G45" s="39">
        <v>-1.07142857142857</v>
      </c>
      <c r="H45" s="39">
        <v>-0.010204081632653</v>
      </c>
      <c r="I45" s="39">
        <v>0.987179487179487</v>
      </c>
    </row>
    <row r="46">
      <c r="A46" s="33">
        <v>88.0</v>
      </c>
      <c r="B46" s="33" t="s">
        <v>825</v>
      </c>
      <c r="C46" s="33" t="s">
        <v>841</v>
      </c>
      <c r="D46" s="39">
        <v>0.785714285714285</v>
      </c>
      <c r="E46" s="39">
        <v>0.846153846153846</v>
      </c>
      <c r="F46" s="39">
        <v>0.925925925925925</v>
      </c>
      <c r="G46" s="39">
        <v>-1.07142857142857</v>
      </c>
      <c r="H46" s="39">
        <v>8.50340136054339E-4</v>
      </c>
      <c r="I46" s="39">
        <v>1.00108342361863</v>
      </c>
    </row>
    <row r="47">
      <c r="A47" s="33">
        <v>89.0</v>
      </c>
      <c r="B47" s="33" t="s">
        <v>826</v>
      </c>
      <c r="C47" s="33" t="s">
        <v>988</v>
      </c>
      <c r="D47" s="39">
        <v>0.785714285714285</v>
      </c>
      <c r="E47" s="39">
        <v>0.846153846153846</v>
      </c>
      <c r="F47" s="39">
        <v>0.925925925925925</v>
      </c>
      <c r="G47" s="39">
        <v>-1.07142857142857</v>
      </c>
      <c r="H47" s="39">
        <v>8.50340136054339E-4</v>
      </c>
      <c r="I47" s="39">
        <v>1.00108342361863</v>
      </c>
    </row>
    <row r="48">
      <c r="A48" s="33">
        <v>90.0</v>
      </c>
      <c r="B48" s="33" t="s">
        <v>825</v>
      </c>
      <c r="C48" s="33" t="s">
        <v>1003</v>
      </c>
      <c r="D48" s="39">
        <v>0.785714285714285</v>
      </c>
      <c r="E48" s="39">
        <v>0.846153846153846</v>
      </c>
      <c r="F48" s="39">
        <v>0.925925925925925</v>
      </c>
      <c r="G48" s="39">
        <v>-1.07142857142857</v>
      </c>
      <c r="H48" s="39">
        <v>-0.010204081632653</v>
      </c>
      <c r="I48" s="39">
        <v>0.987179487179487</v>
      </c>
    </row>
    <row r="49">
      <c r="A49" s="33">
        <v>91.0</v>
      </c>
      <c r="B49" s="33" t="s">
        <v>826</v>
      </c>
      <c r="C49" s="33" t="s">
        <v>989</v>
      </c>
      <c r="D49" s="39">
        <v>0.785714285714285</v>
      </c>
      <c r="E49" s="39">
        <v>0.846153846153846</v>
      </c>
      <c r="F49" s="39">
        <v>0.925925925925925</v>
      </c>
      <c r="G49" s="39">
        <v>-1.07142857142857</v>
      </c>
      <c r="H49" s="39">
        <v>8.50340136054339E-4</v>
      </c>
      <c r="I49" s="39">
        <v>1.00108342361863</v>
      </c>
    </row>
    <row r="50">
      <c r="A50" s="33">
        <v>92.0</v>
      </c>
      <c r="B50" s="33" t="s">
        <v>825</v>
      </c>
      <c r="C50" s="33" t="s">
        <v>1004</v>
      </c>
      <c r="D50" s="39">
        <v>0.785714285714285</v>
      </c>
      <c r="E50" s="39">
        <v>0.846153846153846</v>
      </c>
      <c r="F50" s="39">
        <v>0.925925925925925</v>
      </c>
      <c r="G50" s="39">
        <v>-1.07142857142857</v>
      </c>
      <c r="H50" s="39">
        <v>-0.010204081632653</v>
      </c>
      <c r="I50" s="39">
        <v>0.987179487179487</v>
      </c>
    </row>
    <row r="51">
      <c r="A51" s="33">
        <v>93.0</v>
      </c>
      <c r="B51" s="33" t="s">
        <v>826</v>
      </c>
      <c r="C51" s="33" t="s">
        <v>971</v>
      </c>
      <c r="D51" s="39">
        <v>0.785714285714285</v>
      </c>
      <c r="E51" s="39">
        <v>0.846153846153846</v>
      </c>
      <c r="F51" s="39">
        <v>0.925925925925925</v>
      </c>
      <c r="G51" s="39">
        <v>-1.07142857142857</v>
      </c>
      <c r="H51" s="39">
        <v>0.0119047619047618</v>
      </c>
      <c r="I51" s="39">
        <v>1.01538461538461</v>
      </c>
    </row>
    <row r="52">
      <c r="A52" s="33">
        <v>285.0</v>
      </c>
      <c r="B52" s="33" t="s">
        <v>963</v>
      </c>
      <c r="C52" s="33" t="s">
        <v>826</v>
      </c>
      <c r="D52" s="39">
        <v>0.773809523809523</v>
      </c>
      <c r="E52" s="39">
        <v>0.955882352941176</v>
      </c>
      <c r="F52" s="39">
        <v>0.980263157894736</v>
      </c>
      <c r="G52" s="39">
        <v>-0.845238095238095</v>
      </c>
      <c r="H52" s="39">
        <v>0.0221088435374149</v>
      </c>
      <c r="I52" s="39">
        <v>1.02941176470588</v>
      </c>
    </row>
    <row r="53">
      <c r="A53" s="33">
        <v>276.0</v>
      </c>
      <c r="B53" s="33" t="s">
        <v>64</v>
      </c>
      <c r="C53" s="33" t="s">
        <v>848</v>
      </c>
      <c r="D53" s="39">
        <v>0.773809523809523</v>
      </c>
      <c r="E53" s="39">
        <v>0.942028985507246</v>
      </c>
      <c r="F53" s="39">
        <v>0.973856209150326</v>
      </c>
      <c r="G53" s="39">
        <v>-0.869047619047619</v>
      </c>
      <c r="H53" s="39">
        <v>0.0208333333333333</v>
      </c>
      <c r="I53" s="39">
        <v>1.02766798418972</v>
      </c>
    </row>
    <row r="54">
      <c r="A54" s="33">
        <v>277.0</v>
      </c>
      <c r="B54" s="33" t="s">
        <v>972</v>
      </c>
      <c r="C54" s="33" t="s">
        <v>848</v>
      </c>
      <c r="D54" s="39">
        <v>0.773809523809523</v>
      </c>
      <c r="E54" s="39">
        <v>0.942028985507246</v>
      </c>
      <c r="F54" s="39">
        <v>0.973856209150326</v>
      </c>
      <c r="G54" s="39">
        <v>-0.869047619047619</v>
      </c>
      <c r="H54" s="39">
        <v>0.0208333333333333</v>
      </c>
      <c r="I54" s="39">
        <v>1.02766798418972</v>
      </c>
    </row>
    <row r="55">
      <c r="A55" s="33">
        <v>219.0</v>
      </c>
      <c r="B55" s="33" t="s">
        <v>841</v>
      </c>
      <c r="C55" s="33" t="s">
        <v>826</v>
      </c>
      <c r="D55" s="39">
        <v>0.773809523809523</v>
      </c>
      <c r="E55" s="39">
        <v>0.915492957746478</v>
      </c>
      <c r="F55" s="39">
        <v>0.961290322580645</v>
      </c>
      <c r="G55" s="39">
        <v>-0.916666666666666</v>
      </c>
      <c r="H55" s="39">
        <v>-0.0110544217687075</v>
      </c>
      <c r="I55" s="39">
        <v>0.985915492957746</v>
      </c>
    </row>
    <row r="56">
      <c r="A56" s="33">
        <v>220.0</v>
      </c>
      <c r="B56" s="33" t="s">
        <v>840</v>
      </c>
      <c r="C56" s="33" t="s">
        <v>826</v>
      </c>
      <c r="D56" s="39">
        <v>0.773809523809523</v>
      </c>
      <c r="E56" s="39">
        <v>0.915492957746478</v>
      </c>
      <c r="F56" s="39">
        <v>0.961290322580645</v>
      </c>
      <c r="G56" s="39">
        <v>-0.916666666666666</v>
      </c>
      <c r="H56" s="39">
        <v>-0.0110544217687075</v>
      </c>
      <c r="I56" s="39">
        <v>0.985915492957746</v>
      </c>
    </row>
    <row r="57">
      <c r="A57" s="33">
        <v>221.0</v>
      </c>
      <c r="B57" s="33" t="s">
        <v>840</v>
      </c>
      <c r="C57" s="33" t="s">
        <v>825</v>
      </c>
      <c r="D57" s="39">
        <v>0.773809523809523</v>
      </c>
      <c r="E57" s="39">
        <v>0.915492957746478</v>
      </c>
      <c r="F57" s="39">
        <v>0.961290322580645</v>
      </c>
      <c r="G57" s="39">
        <v>-0.916666666666666</v>
      </c>
      <c r="H57" s="39">
        <v>-0.0110544217687075</v>
      </c>
      <c r="I57" s="39">
        <v>0.985915492957746</v>
      </c>
    </row>
    <row r="58">
      <c r="A58" s="36">
        <v>222.0</v>
      </c>
      <c r="B58" s="36" t="s">
        <v>840</v>
      </c>
      <c r="C58" s="36" t="s">
        <v>837</v>
      </c>
      <c r="D58" s="45">
        <v>0.773809523809523</v>
      </c>
      <c r="E58" s="45">
        <v>0.915492957746478</v>
      </c>
      <c r="F58" s="45">
        <v>0.961290322580645</v>
      </c>
      <c r="G58" s="45">
        <v>-0.916666666666666</v>
      </c>
      <c r="H58" s="45">
        <v>-9.92063492063377E-4</v>
      </c>
      <c r="I58" s="45">
        <v>0.998719590268886</v>
      </c>
    </row>
    <row r="59">
      <c r="A59" s="33">
        <v>223.0</v>
      </c>
      <c r="B59" s="33" t="s">
        <v>841</v>
      </c>
      <c r="C59" s="33" t="s">
        <v>848</v>
      </c>
      <c r="D59" s="39">
        <v>0.773809523809523</v>
      </c>
      <c r="E59" s="39">
        <v>0.915492957746478</v>
      </c>
      <c r="F59" s="39">
        <v>0.961290322580645</v>
      </c>
      <c r="G59" s="39">
        <v>-0.916666666666666</v>
      </c>
      <c r="H59" s="39">
        <v>-9.92063492063377E-4</v>
      </c>
      <c r="I59" s="39">
        <v>0.998719590268886</v>
      </c>
    </row>
    <row r="60">
      <c r="A60" s="33">
        <v>174.0</v>
      </c>
      <c r="B60" s="33" t="s">
        <v>839</v>
      </c>
      <c r="C60" s="33" t="s">
        <v>837</v>
      </c>
      <c r="D60" s="39">
        <v>0.773809523809523</v>
      </c>
      <c r="E60" s="39">
        <v>0.902777777777777</v>
      </c>
      <c r="F60" s="39">
        <v>0.955128205128205</v>
      </c>
      <c r="G60" s="39">
        <v>-0.94047619047619</v>
      </c>
      <c r="H60" s="39">
        <v>-0.0119047619047617</v>
      </c>
      <c r="I60" s="39">
        <v>0.984848484848484</v>
      </c>
    </row>
    <row r="61">
      <c r="A61" s="33">
        <v>175.0</v>
      </c>
      <c r="B61" s="33" t="s">
        <v>1004</v>
      </c>
      <c r="C61" s="33" t="s">
        <v>839</v>
      </c>
      <c r="D61" s="39">
        <v>0.773809523809523</v>
      </c>
      <c r="E61" s="39">
        <v>0.902777777777777</v>
      </c>
      <c r="F61" s="39">
        <v>0.955128205128205</v>
      </c>
      <c r="G61" s="39">
        <v>-0.94047619047619</v>
      </c>
      <c r="H61" s="39">
        <v>0.0391156462585035</v>
      </c>
      <c r="I61" s="39">
        <v>1.05324074074074</v>
      </c>
    </row>
    <row r="62">
      <c r="A62" s="33">
        <v>176.0</v>
      </c>
      <c r="B62" s="33" t="s">
        <v>839</v>
      </c>
      <c r="C62" s="33" t="s">
        <v>1004</v>
      </c>
      <c r="D62" s="39">
        <v>0.773809523809523</v>
      </c>
      <c r="E62" s="39">
        <v>0.902777777777777</v>
      </c>
      <c r="F62" s="39">
        <v>0.955128205128205</v>
      </c>
      <c r="G62" s="39">
        <v>-0.94047619047619</v>
      </c>
      <c r="H62" s="39">
        <v>0.0391156462585035</v>
      </c>
      <c r="I62" s="39">
        <v>1.05324074074074</v>
      </c>
    </row>
    <row r="63">
      <c r="A63" s="33">
        <v>69.0</v>
      </c>
      <c r="B63" s="33" t="s">
        <v>837</v>
      </c>
      <c r="C63" s="33" t="s">
        <v>839</v>
      </c>
      <c r="D63" s="39">
        <v>0.773809523809523</v>
      </c>
      <c r="E63" s="39">
        <v>0.844155844155844</v>
      </c>
      <c r="F63" s="39">
        <v>0.925465838509316</v>
      </c>
      <c r="G63" s="39">
        <v>-1.0595238095238</v>
      </c>
      <c r="H63" s="39">
        <v>-0.0119047619047617</v>
      </c>
      <c r="I63" s="39">
        <v>0.984848484848484</v>
      </c>
    </row>
    <row r="64">
      <c r="A64" s="36">
        <v>70.0</v>
      </c>
      <c r="B64" s="36" t="s">
        <v>837</v>
      </c>
      <c r="C64" s="36" t="s">
        <v>840</v>
      </c>
      <c r="D64" s="45">
        <v>0.773809523809523</v>
      </c>
      <c r="E64" s="45">
        <v>0.844155844155844</v>
      </c>
      <c r="F64" s="45">
        <v>0.925465838509316</v>
      </c>
      <c r="G64" s="45">
        <v>-1.0595238095238</v>
      </c>
      <c r="H64" s="45">
        <v>-9.92063492063377E-4</v>
      </c>
      <c r="I64" s="45">
        <v>0.998719590268886</v>
      </c>
    </row>
    <row r="65">
      <c r="A65" s="33">
        <v>71.0</v>
      </c>
      <c r="B65" s="33" t="s">
        <v>848</v>
      </c>
      <c r="C65" s="33" t="s">
        <v>841</v>
      </c>
      <c r="D65" s="39">
        <v>0.773809523809523</v>
      </c>
      <c r="E65" s="39">
        <v>0.844155844155844</v>
      </c>
      <c r="F65" s="39">
        <v>0.925465838509316</v>
      </c>
      <c r="G65" s="39">
        <v>-1.0595238095238</v>
      </c>
      <c r="H65" s="39">
        <v>-9.92063492063377E-4</v>
      </c>
      <c r="I65" s="39">
        <v>0.998719590268886</v>
      </c>
    </row>
    <row r="66">
      <c r="A66" s="33">
        <v>72.0</v>
      </c>
      <c r="B66" s="33" t="s">
        <v>848</v>
      </c>
      <c r="C66" s="33" t="s">
        <v>64</v>
      </c>
      <c r="D66" s="39">
        <v>0.773809523809523</v>
      </c>
      <c r="E66" s="39">
        <v>0.844155844155844</v>
      </c>
      <c r="F66" s="39">
        <v>0.925465838509316</v>
      </c>
      <c r="G66" s="39">
        <v>-1.0595238095238</v>
      </c>
      <c r="H66" s="39">
        <v>0.0208333333333333</v>
      </c>
      <c r="I66" s="39">
        <v>1.02766798418972</v>
      </c>
    </row>
    <row r="67">
      <c r="A67" s="33">
        <v>73.0</v>
      </c>
      <c r="B67" s="33" t="s">
        <v>848</v>
      </c>
      <c r="C67" s="33" t="s">
        <v>972</v>
      </c>
      <c r="D67" s="39">
        <v>0.773809523809523</v>
      </c>
      <c r="E67" s="39">
        <v>0.844155844155844</v>
      </c>
      <c r="F67" s="39">
        <v>0.925465838509316</v>
      </c>
      <c r="G67" s="39">
        <v>-1.0595238095238</v>
      </c>
      <c r="H67" s="39">
        <v>0.0208333333333333</v>
      </c>
      <c r="I67" s="39">
        <v>1.02766798418972</v>
      </c>
    </row>
    <row r="68">
      <c r="A68" s="33">
        <v>53.0</v>
      </c>
      <c r="B68" s="33" t="s">
        <v>826</v>
      </c>
      <c r="C68" s="33" t="s">
        <v>841</v>
      </c>
      <c r="D68" s="39">
        <v>0.773809523809523</v>
      </c>
      <c r="E68" s="39">
        <v>0.833333333333333</v>
      </c>
      <c r="F68" s="39">
        <v>0.919753086419753</v>
      </c>
      <c r="G68" s="39">
        <v>-1.08333333333333</v>
      </c>
      <c r="H68" s="39">
        <v>-0.0110544217687075</v>
      </c>
      <c r="I68" s="39">
        <v>0.985915492957746</v>
      </c>
    </row>
    <row r="69">
      <c r="A69" s="33">
        <v>54.0</v>
      </c>
      <c r="B69" s="33" t="s">
        <v>826</v>
      </c>
      <c r="C69" s="33" t="s">
        <v>840</v>
      </c>
      <c r="D69" s="39">
        <v>0.773809523809523</v>
      </c>
      <c r="E69" s="39">
        <v>0.833333333333333</v>
      </c>
      <c r="F69" s="39">
        <v>0.919753086419753</v>
      </c>
      <c r="G69" s="39">
        <v>-1.08333333333333</v>
      </c>
      <c r="H69" s="39">
        <v>-0.0110544217687075</v>
      </c>
      <c r="I69" s="39">
        <v>0.985915492957746</v>
      </c>
    </row>
    <row r="70">
      <c r="A70" s="33">
        <v>55.0</v>
      </c>
      <c r="B70" s="33" t="s">
        <v>825</v>
      </c>
      <c r="C70" s="33" t="s">
        <v>840</v>
      </c>
      <c r="D70" s="39">
        <v>0.773809523809523</v>
      </c>
      <c r="E70" s="39">
        <v>0.833333333333333</v>
      </c>
      <c r="F70" s="39">
        <v>0.919753086419753</v>
      </c>
      <c r="G70" s="39">
        <v>-1.08333333333333</v>
      </c>
      <c r="H70" s="39">
        <v>-0.0110544217687075</v>
      </c>
      <c r="I70" s="39">
        <v>0.985915492957746</v>
      </c>
    </row>
    <row r="71">
      <c r="A71" s="33">
        <v>58.0</v>
      </c>
      <c r="B71" s="33" t="s">
        <v>826</v>
      </c>
      <c r="C71" s="33" t="s">
        <v>963</v>
      </c>
      <c r="D71" s="39">
        <v>0.773809523809523</v>
      </c>
      <c r="E71" s="39">
        <v>0.833333333333333</v>
      </c>
      <c r="F71" s="39">
        <v>0.919753086419753</v>
      </c>
      <c r="G71" s="39">
        <v>-1.08333333333333</v>
      </c>
      <c r="H71" s="39">
        <v>0.0221088435374149</v>
      </c>
      <c r="I71" s="39">
        <v>1.02941176470588</v>
      </c>
    </row>
    <row r="72">
      <c r="A72" s="33">
        <v>275.0</v>
      </c>
      <c r="B72" s="33" t="s">
        <v>842</v>
      </c>
      <c r="C72" s="33" t="s">
        <v>826</v>
      </c>
      <c r="D72" s="39">
        <v>0.761904761904761</v>
      </c>
      <c r="E72" s="39">
        <v>0.941176470588235</v>
      </c>
      <c r="F72" s="39">
        <v>0.973684210526315</v>
      </c>
      <c r="G72" s="39">
        <v>-0.857142857142857</v>
      </c>
      <c r="H72" s="39">
        <v>0.0102040816326529</v>
      </c>
      <c r="I72" s="39">
        <v>1.01357466063348</v>
      </c>
    </row>
    <row r="73">
      <c r="A73" s="33">
        <v>259.0</v>
      </c>
      <c r="B73" s="33" t="s">
        <v>64</v>
      </c>
      <c r="C73" s="33" t="s">
        <v>826</v>
      </c>
      <c r="D73" s="39">
        <v>0.761904761904761</v>
      </c>
      <c r="E73" s="39">
        <v>0.927536231884058</v>
      </c>
      <c r="F73" s="39">
        <v>0.967320261437908</v>
      </c>
      <c r="G73" s="39">
        <v>-0.88095238095238</v>
      </c>
      <c r="H73" s="39">
        <v>-8.5034013605445E-4</v>
      </c>
      <c r="I73" s="39">
        <v>0.998885172798216</v>
      </c>
    </row>
    <row r="74">
      <c r="A74" s="33">
        <v>218.0</v>
      </c>
      <c r="B74" s="33" t="s">
        <v>971</v>
      </c>
      <c r="C74" s="33" t="s">
        <v>825</v>
      </c>
      <c r="D74" s="39">
        <v>0.761904761904761</v>
      </c>
      <c r="E74" s="39">
        <v>0.914285714285714</v>
      </c>
      <c r="F74" s="39">
        <v>0.96103896103896</v>
      </c>
      <c r="G74" s="39">
        <v>-0.904761904761904</v>
      </c>
      <c r="H74" s="39">
        <v>-0.0119047619047619</v>
      </c>
      <c r="I74" s="39">
        <v>0.984615384615384</v>
      </c>
    </row>
    <row r="75">
      <c r="A75" s="33">
        <v>170.0</v>
      </c>
      <c r="B75" s="33" t="s">
        <v>841</v>
      </c>
      <c r="C75" s="33" t="s">
        <v>837</v>
      </c>
      <c r="D75" s="39">
        <v>0.761904761904761</v>
      </c>
      <c r="E75" s="39">
        <v>0.901408450704225</v>
      </c>
      <c r="F75" s="39">
        <v>0.954838709677419</v>
      </c>
      <c r="G75" s="39">
        <v>-0.928571428571428</v>
      </c>
      <c r="H75" s="39">
        <v>-0.0128968253968253</v>
      </c>
      <c r="I75" s="39">
        <v>0.983354673495518</v>
      </c>
    </row>
    <row r="76">
      <c r="A76" s="33">
        <v>171.0</v>
      </c>
      <c r="B76" s="33" t="s">
        <v>841</v>
      </c>
      <c r="C76" s="33" t="s">
        <v>836</v>
      </c>
      <c r="D76" s="39">
        <v>0.761904761904761</v>
      </c>
      <c r="E76" s="39">
        <v>0.901408450704225</v>
      </c>
      <c r="F76" s="39">
        <v>0.954838709677419</v>
      </c>
      <c r="G76" s="39">
        <v>-0.928571428571428</v>
      </c>
      <c r="H76" s="39">
        <v>0.0172902494331065</v>
      </c>
      <c r="I76" s="39">
        <v>1.02322040350209</v>
      </c>
    </row>
    <row r="77">
      <c r="A77" s="33">
        <v>172.0</v>
      </c>
      <c r="B77" s="33" t="s">
        <v>988</v>
      </c>
      <c r="C77" s="33" t="s">
        <v>848</v>
      </c>
      <c r="D77" s="39">
        <v>0.761904761904761</v>
      </c>
      <c r="E77" s="39">
        <v>0.901408450704225</v>
      </c>
      <c r="F77" s="39">
        <v>0.954838709677419</v>
      </c>
      <c r="G77" s="39">
        <v>-0.928571428571428</v>
      </c>
      <c r="H77" s="39">
        <v>-0.0128968253968253</v>
      </c>
      <c r="I77" s="39">
        <v>0.983354673495518</v>
      </c>
    </row>
    <row r="78">
      <c r="A78" s="33">
        <v>173.0</v>
      </c>
      <c r="B78" s="33" t="s">
        <v>989</v>
      </c>
      <c r="C78" s="33" t="s">
        <v>837</v>
      </c>
      <c r="D78" s="39">
        <v>0.761904761904761</v>
      </c>
      <c r="E78" s="39">
        <v>0.901408450704225</v>
      </c>
      <c r="F78" s="39">
        <v>0.954838709677419</v>
      </c>
      <c r="G78" s="39">
        <v>-0.928571428571428</v>
      </c>
      <c r="H78" s="39">
        <v>-0.0128968253968253</v>
      </c>
      <c r="I78" s="39">
        <v>0.983354673495518</v>
      </c>
    </row>
    <row r="79">
      <c r="A79" s="36">
        <v>125.0</v>
      </c>
      <c r="B79" s="36" t="s">
        <v>836</v>
      </c>
      <c r="C79" s="36" t="s">
        <v>841</v>
      </c>
      <c r="D79" s="45">
        <v>0.761904761904761</v>
      </c>
      <c r="E79" s="45">
        <v>0.864864864864864</v>
      </c>
      <c r="F79" s="45">
        <v>0.936708860759493</v>
      </c>
      <c r="G79" s="45">
        <v>-1.0</v>
      </c>
      <c r="H79" s="45">
        <v>0.0172902494331065</v>
      </c>
      <c r="I79" s="45">
        <v>1.02322040350209</v>
      </c>
    </row>
    <row r="80">
      <c r="A80" s="36">
        <v>50.0</v>
      </c>
      <c r="B80" s="36" t="s">
        <v>837</v>
      </c>
      <c r="C80" s="36" t="s">
        <v>841</v>
      </c>
      <c r="D80" s="45">
        <v>0.761904761904761</v>
      </c>
      <c r="E80" s="45">
        <v>0.831168831168831</v>
      </c>
      <c r="F80" s="45">
        <v>0.919254658385093</v>
      </c>
      <c r="G80" s="45">
        <v>-1.07142857142857</v>
      </c>
      <c r="H80" s="45">
        <v>-0.0128968253968253</v>
      </c>
      <c r="I80" s="45">
        <v>0.983354673495518</v>
      </c>
    </row>
    <row r="81">
      <c r="A81" s="33">
        <v>51.0</v>
      </c>
      <c r="B81" s="33" t="s">
        <v>837</v>
      </c>
      <c r="C81" s="33" t="s">
        <v>989</v>
      </c>
      <c r="D81" s="39">
        <v>0.761904761904761</v>
      </c>
      <c r="E81" s="39">
        <v>0.831168831168831</v>
      </c>
      <c r="F81" s="39">
        <v>0.919254658385093</v>
      </c>
      <c r="G81" s="39">
        <v>-1.07142857142857</v>
      </c>
      <c r="H81" s="39">
        <v>-0.0128968253968253</v>
      </c>
      <c r="I81" s="39">
        <v>0.983354673495518</v>
      </c>
    </row>
    <row r="82">
      <c r="A82" s="33">
        <v>52.0</v>
      </c>
      <c r="B82" s="33" t="s">
        <v>848</v>
      </c>
      <c r="C82" s="33" t="s">
        <v>988</v>
      </c>
      <c r="D82" s="39">
        <v>0.761904761904761</v>
      </c>
      <c r="E82" s="39">
        <v>0.831168831168831</v>
      </c>
      <c r="F82" s="39">
        <v>0.919254658385093</v>
      </c>
      <c r="G82" s="39">
        <v>-1.07142857142857</v>
      </c>
      <c r="H82" s="39">
        <v>-0.0128968253968253</v>
      </c>
      <c r="I82" s="39">
        <v>0.983354673495518</v>
      </c>
    </row>
    <row r="83">
      <c r="A83" s="33">
        <v>31.0</v>
      </c>
      <c r="B83" s="33" t="s">
        <v>826</v>
      </c>
      <c r="C83" s="33" t="s">
        <v>64</v>
      </c>
      <c r="D83" s="39">
        <v>0.761904761904761</v>
      </c>
      <c r="E83" s="39">
        <v>0.82051282051282</v>
      </c>
      <c r="F83" s="39">
        <v>0.91358024691358</v>
      </c>
      <c r="G83" s="39">
        <v>-1.09523809523809</v>
      </c>
      <c r="H83" s="39">
        <v>-8.5034013605445E-4</v>
      </c>
      <c r="I83" s="39">
        <v>0.998885172798216</v>
      </c>
    </row>
    <row r="84">
      <c r="A84" s="33">
        <v>32.0</v>
      </c>
      <c r="B84" s="33" t="s">
        <v>826</v>
      </c>
      <c r="C84" s="33" t="s">
        <v>842</v>
      </c>
      <c r="D84" s="39">
        <v>0.761904761904761</v>
      </c>
      <c r="E84" s="39">
        <v>0.82051282051282</v>
      </c>
      <c r="F84" s="39">
        <v>0.91358024691358</v>
      </c>
      <c r="G84" s="39">
        <v>-1.09523809523809</v>
      </c>
      <c r="H84" s="39">
        <v>0.0102040816326529</v>
      </c>
      <c r="I84" s="39">
        <v>1.01357466063348</v>
      </c>
    </row>
    <row r="85">
      <c r="A85" s="33">
        <v>33.0</v>
      </c>
      <c r="B85" s="33" t="s">
        <v>825</v>
      </c>
      <c r="C85" s="33" t="s">
        <v>971</v>
      </c>
      <c r="D85" s="39">
        <v>0.761904761904761</v>
      </c>
      <c r="E85" s="39">
        <v>0.82051282051282</v>
      </c>
      <c r="F85" s="39">
        <v>0.91358024691358</v>
      </c>
      <c r="G85" s="39">
        <v>-1.09523809523809</v>
      </c>
      <c r="H85" s="39">
        <v>-0.0119047619047619</v>
      </c>
      <c r="I85" s="39">
        <v>0.984615384615384</v>
      </c>
    </row>
    <row r="86">
      <c r="A86" s="33">
        <v>292.0</v>
      </c>
      <c r="B86" s="33" t="s">
        <v>957</v>
      </c>
      <c r="C86" s="33" t="s">
        <v>826</v>
      </c>
      <c r="D86" s="39">
        <v>0.75</v>
      </c>
      <c r="E86" s="39">
        <v>0.969230769230769</v>
      </c>
      <c r="F86" s="39">
        <v>0.986577181208053</v>
      </c>
      <c r="G86" s="39">
        <v>-0.797619047619047</v>
      </c>
      <c r="H86" s="39">
        <v>0.0314625850340135</v>
      </c>
      <c r="I86" s="39">
        <v>1.04378698224852</v>
      </c>
    </row>
    <row r="87">
      <c r="A87" s="33">
        <v>284.0</v>
      </c>
      <c r="B87" s="33" t="s">
        <v>964</v>
      </c>
      <c r="C87" s="33" t="s">
        <v>826</v>
      </c>
      <c r="D87" s="39">
        <v>0.75</v>
      </c>
      <c r="E87" s="39">
        <v>0.954545454545454</v>
      </c>
      <c r="F87" s="39">
        <v>0.98</v>
      </c>
      <c r="G87" s="39">
        <v>-0.821428571428571</v>
      </c>
      <c r="H87" s="39">
        <v>0.0204081632653061</v>
      </c>
      <c r="I87" s="39">
        <v>1.02797202797202</v>
      </c>
    </row>
    <row r="88">
      <c r="A88" s="33">
        <v>258.0</v>
      </c>
      <c r="B88" s="33" t="s">
        <v>842</v>
      </c>
      <c r="C88" s="33" t="s">
        <v>825</v>
      </c>
      <c r="D88" s="39">
        <v>0.75</v>
      </c>
      <c r="E88" s="39">
        <v>0.926470588235294</v>
      </c>
      <c r="F88" s="39">
        <v>0.967105263157894</v>
      </c>
      <c r="G88" s="39">
        <v>-0.869047619047619</v>
      </c>
      <c r="H88" s="39">
        <v>-0.0017006802721089</v>
      </c>
      <c r="I88" s="39">
        <v>0.997737556561086</v>
      </c>
    </row>
    <row r="89">
      <c r="A89" s="33">
        <v>214.0</v>
      </c>
      <c r="B89" s="33" t="s">
        <v>830</v>
      </c>
      <c r="C89" s="33" t="s">
        <v>826</v>
      </c>
      <c r="D89" s="39">
        <v>0.75</v>
      </c>
      <c r="E89" s="39">
        <v>0.913043478260869</v>
      </c>
      <c r="F89" s="39">
        <v>0.96078431372549</v>
      </c>
      <c r="G89" s="39">
        <v>-0.892857142857142</v>
      </c>
      <c r="H89" s="39">
        <v>-0.0127551020408163</v>
      </c>
      <c r="I89" s="39">
        <v>0.983277591973244</v>
      </c>
    </row>
    <row r="90">
      <c r="A90" s="36">
        <v>215.0</v>
      </c>
      <c r="B90" s="36" t="s">
        <v>64</v>
      </c>
      <c r="C90" s="36" t="s">
        <v>825</v>
      </c>
      <c r="D90" s="45">
        <v>0.75</v>
      </c>
      <c r="E90" s="45">
        <v>0.913043478260869</v>
      </c>
      <c r="F90" s="45">
        <v>0.96078431372549</v>
      </c>
      <c r="G90" s="45">
        <v>-0.892857142857142</v>
      </c>
      <c r="H90" s="45">
        <v>-0.0127551020408163</v>
      </c>
      <c r="I90" s="45">
        <v>0.983277591973244</v>
      </c>
    </row>
    <row r="91">
      <c r="A91" s="33">
        <v>216.0</v>
      </c>
      <c r="B91" s="33" t="s">
        <v>972</v>
      </c>
      <c r="C91" s="33" t="s">
        <v>825</v>
      </c>
      <c r="D91" s="39">
        <v>0.75</v>
      </c>
      <c r="E91" s="39">
        <v>0.913043478260869</v>
      </c>
      <c r="F91" s="39">
        <v>0.96078431372549</v>
      </c>
      <c r="G91" s="39">
        <v>-0.892857142857142</v>
      </c>
      <c r="H91" s="39">
        <v>-0.0127551020408163</v>
      </c>
      <c r="I91" s="39">
        <v>0.983277591973244</v>
      </c>
    </row>
    <row r="92">
      <c r="A92" s="33">
        <v>217.0</v>
      </c>
      <c r="B92" s="33" t="s">
        <v>972</v>
      </c>
      <c r="C92" s="33" t="s">
        <v>837</v>
      </c>
      <c r="D92" s="39">
        <v>0.75</v>
      </c>
      <c r="E92" s="39">
        <v>0.913043478260869</v>
      </c>
      <c r="F92" s="39">
        <v>0.96078431372549</v>
      </c>
      <c r="G92" s="39">
        <v>-0.892857142857142</v>
      </c>
      <c r="H92" s="39">
        <v>-0.00297619047619046</v>
      </c>
      <c r="I92" s="39">
        <v>0.996047430830039</v>
      </c>
    </row>
    <row r="93">
      <c r="A93" s="33">
        <v>143.0</v>
      </c>
      <c r="B93" s="33" t="s">
        <v>1002</v>
      </c>
      <c r="C93" s="33" t="s">
        <v>839</v>
      </c>
      <c r="D93" s="39">
        <v>0.75</v>
      </c>
      <c r="E93" s="39">
        <v>0.875</v>
      </c>
      <c r="F93" s="39">
        <v>0.942307692307692</v>
      </c>
      <c r="G93" s="39">
        <v>-0.964285714285714</v>
      </c>
      <c r="H93" s="39">
        <v>0.0153061224489796</v>
      </c>
      <c r="I93" s="39">
        <v>1.02083333333333</v>
      </c>
    </row>
    <row r="94">
      <c r="A94" s="33">
        <v>144.0</v>
      </c>
      <c r="B94" s="33" t="s">
        <v>839</v>
      </c>
      <c r="C94" s="33" t="s">
        <v>1002</v>
      </c>
      <c r="D94" s="39">
        <v>0.75</v>
      </c>
      <c r="E94" s="39">
        <v>0.875</v>
      </c>
      <c r="F94" s="39">
        <v>0.942307692307692</v>
      </c>
      <c r="G94" s="39">
        <v>-0.964285714285714</v>
      </c>
      <c r="H94" s="39">
        <v>0.0153061224489796</v>
      </c>
      <c r="I94" s="39">
        <v>1.02083333333333</v>
      </c>
    </row>
    <row r="95">
      <c r="A95" s="33">
        <v>145.0</v>
      </c>
      <c r="B95" s="33" t="s">
        <v>1003</v>
      </c>
      <c r="C95" s="33" t="s">
        <v>839</v>
      </c>
      <c r="D95" s="39">
        <v>0.75</v>
      </c>
      <c r="E95" s="39">
        <v>0.875</v>
      </c>
      <c r="F95" s="39">
        <v>0.942307692307692</v>
      </c>
      <c r="G95" s="39">
        <v>-0.964285714285714</v>
      </c>
      <c r="H95" s="39">
        <v>0.0153061224489796</v>
      </c>
      <c r="I95" s="39">
        <v>1.02083333333333</v>
      </c>
    </row>
    <row r="96">
      <c r="A96" s="33">
        <v>146.0</v>
      </c>
      <c r="B96" s="33" t="s">
        <v>839</v>
      </c>
      <c r="C96" s="33" t="s">
        <v>1003</v>
      </c>
      <c r="D96" s="39">
        <v>0.75</v>
      </c>
      <c r="E96" s="39">
        <v>0.875</v>
      </c>
      <c r="F96" s="39">
        <v>0.942307692307692</v>
      </c>
      <c r="G96" s="39">
        <v>-0.964285714285714</v>
      </c>
      <c r="H96" s="39">
        <v>0.0153061224489796</v>
      </c>
      <c r="I96" s="39">
        <v>1.02083333333333</v>
      </c>
    </row>
    <row r="97">
      <c r="A97" s="33">
        <v>15.0</v>
      </c>
      <c r="B97" s="33" t="s">
        <v>837</v>
      </c>
      <c r="C97" s="33" t="s">
        <v>972</v>
      </c>
      <c r="D97" s="39">
        <v>0.75</v>
      </c>
      <c r="E97" s="39">
        <v>0.818181818181818</v>
      </c>
      <c r="F97" s="39">
        <v>0.913043478260869</v>
      </c>
      <c r="G97" s="39">
        <v>-1.08333333333333</v>
      </c>
      <c r="H97" s="39">
        <v>-0.00297619047619046</v>
      </c>
      <c r="I97" s="39">
        <v>0.996047430830039</v>
      </c>
    </row>
    <row r="98">
      <c r="A98" s="33">
        <v>8.0</v>
      </c>
      <c r="B98" s="33" t="s">
        <v>826</v>
      </c>
      <c r="C98" s="33" t="s">
        <v>830</v>
      </c>
      <c r="D98" s="39">
        <v>0.75</v>
      </c>
      <c r="E98" s="39">
        <v>0.807692307692307</v>
      </c>
      <c r="F98" s="39">
        <v>0.907407407407407</v>
      </c>
      <c r="G98" s="39">
        <v>-1.10714285714285</v>
      </c>
      <c r="H98" s="39">
        <v>-0.0127551020408163</v>
      </c>
      <c r="I98" s="39">
        <v>0.983277591973244</v>
      </c>
    </row>
    <row r="99">
      <c r="A99" s="33">
        <v>9.0</v>
      </c>
      <c r="B99" s="33" t="s">
        <v>825</v>
      </c>
      <c r="C99" s="33" t="s">
        <v>64</v>
      </c>
      <c r="D99" s="39">
        <v>0.75</v>
      </c>
      <c r="E99" s="39">
        <v>0.807692307692307</v>
      </c>
      <c r="F99" s="39">
        <v>0.907407407407407</v>
      </c>
      <c r="G99" s="39">
        <v>-1.10714285714285</v>
      </c>
      <c r="H99" s="39">
        <v>-0.0127551020408163</v>
      </c>
      <c r="I99" s="39">
        <v>0.983277591973244</v>
      </c>
    </row>
    <row r="100">
      <c r="A100" s="33">
        <v>10.0</v>
      </c>
      <c r="B100" s="33" t="s">
        <v>825</v>
      </c>
      <c r="C100" s="33" t="s">
        <v>842</v>
      </c>
      <c r="D100" s="39">
        <v>0.75</v>
      </c>
      <c r="E100" s="39">
        <v>0.807692307692307</v>
      </c>
      <c r="F100" s="39">
        <v>0.907407407407407</v>
      </c>
      <c r="G100" s="39">
        <v>-1.10714285714285</v>
      </c>
      <c r="H100" s="39">
        <v>-0.0017006802721089</v>
      </c>
      <c r="I100" s="39">
        <v>0.997737556561086</v>
      </c>
    </row>
    <row r="101">
      <c r="A101" s="33">
        <v>11.0</v>
      </c>
      <c r="B101" s="33" t="s">
        <v>826</v>
      </c>
      <c r="C101" s="33" t="s">
        <v>964</v>
      </c>
      <c r="D101" s="39">
        <v>0.75</v>
      </c>
      <c r="E101" s="39">
        <v>0.807692307692307</v>
      </c>
      <c r="F101" s="39">
        <v>0.907407407407407</v>
      </c>
      <c r="G101" s="39">
        <v>-1.10714285714285</v>
      </c>
      <c r="H101" s="39">
        <v>0.0204081632653061</v>
      </c>
      <c r="I101" s="39">
        <v>1.02797202797202</v>
      </c>
    </row>
    <row r="102">
      <c r="A102" s="33">
        <v>12.0</v>
      </c>
      <c r="B102" s="33" t="s">
        <v>825</v>
      </c>
      <c r="C102" s="33" t="s">
        <v>972</v>
      </c>
      <c r="D102" s="39">
        <v>0.75</v>
      </c>
      <c r="E102" s="39">
        <v>0.807692307692307</v>
      </c>
      <c r="F102" s="39">
        <v>0.907407407407407</v>
      </c>
      <c r="G102" s="39">
        <v>-1.10714285714285</v>
      </c>
      <c r="H102" s="39">
        <v>-0.0127551020408163</v>
      </c>
      <c r="I102" s="39">
        <v>0.983277591973244</v>
      </c>
    </row>
    <row r="103">
      <c r="A103" s="33">
        <v>13.0</v>
      </c>
      <c r="B103" s="33" t="s">
        <v>826</v>
      </c>
      <c r="C103" s="33" t="s">
        <v>957</v>
      </c>
      <c r="D103" s="39">
        <v>0.75</v>
      </c>
      <c r="E103" s="39">
        <v>0.807692307692307</v>
      </c>
      <c r="F103" s="39">
        <v>0.907407407407407</v>
      </c>
      <c r="G103" s="39">
        <v>-1.10714285714285</v>
      </c>
      <c r="H103" s="39">
        <v>0.0314625850340135</v>
      </c>
      <c r="I103" s="39">
        <v>1.04378698224852</v>
      </c>
    </row>
    <row r="104">
      <c r="A104" s="33">
        <v>274.0</v>
      </c>
      <c r="B104" s="33" t="s">
        <v>964</v>
      </c>
      <c r="C104" s="33" t="s">
        <v>848</v>
      </c>
      <c r="D104" s="39">
        <v>0.738095238095238</v>
      </c>
      <c r="E104" s="39">
        <v>0.939393939393939</v>
      </c>
      <c r="F104" s="39">
        <v>0.973333333333333</v>
      </c>
      <c r="G104" s="39">
        <v>-0.833333333333333</v>
      </c>
      <c r="H104" s="39">
        <v>0.0178571428571429</v>
      </c>
      <c r="I104" s="39">
        <v>1.02479338842975</v>
      </c>
    </row>
    <row r="105">
      <c r="A105" s="33">
        <v>256.0</v>
      </c>
      <c r="B105" s="33" t="s">
        <v>991</v>
      </c>
      <c r="C105" s="33" t="s">
        <v>826</v>
      </c>
      <c r="D105" s="39">
        <v>0.738095238095238</v>
      </c>
      <c r="E105" s="39">
        <v>0.925373134328358</v>
      </c>
      <c r="F105" s="39">
        <v>0.966887417218543</v>
      </c>
      <c r="G105" s="39">
        <v>-0.857142857142857</v>
      </c>
      <c r="H105" s="39">
        <v>-0.00255102040816335</v>
      </c>
      <c r="I105" s="39">
        <v>0.996555683122847</v>
      </c>
    </row>
    <row r="106">
      <c r="A106" s="33">
        <v>257.0</v>
      </c>
      <c r="B106" s="33" t="s">
        <v>992</v>
      </c>
      <c r="C106" s="33" t="s">
        <v>826</v>
      </c>
      <c r="D106" s="39">
        <v>0.738095238095238</v>
      </c>
      <c r="E106" s="39">
        <v>0.925373134328358</v>
      </c>
      <c r="F106" s="39">
        <v>0.966887417218543</v>
      </c>
      <c r="G106" s="39">
        <v>-0.857142857142857</v>
      </c>
      <c r="H106" s="39">
        <v>-0.00255102040816335</v>
      </c>
      <c r="I106" s="39">
        <v>0.996555683122847</v>
      </c>
    </row>
    <row r="107">
      <c r="A107" s="36">
        <v>208.0</v>
      </c>
      <c r="B107" s="36" t="s">
        <v>842</v>
      </c>
      <c r="C107" s="36" t="s">
        <v>837</v>
      </c>
      <c r="D107" s="45">
        <v>0.738095238095238</v>
      </c>
      <c r="E107" s="45">
        <v>0.911764705882352</v>
      </c>
      <c r="F107" s="45">
        <v>0.960526315789473</v>
      </c>
      <c r="G107" s="45">
        <v>-0.88095238095238</v>
      </c>
      <c r="H107" s="45">
        <v>-0.00396825396825395</v>
      </c>
      <c r="I107" s="45">
        <v>0.994652406417112</v>
      </c>
    </row>
    <row r="108">
      <c r="A108" s="33">
        <v>209.0</v>
      </c>
      <c r="B108" s="33" t="s">
        <v>1005</v>
      </c>
      <c r="C108" s="33" t="s">
        <v>825</v>
      </c>
      <c r="D108" s="39">
        <v>0.738095238095238</v>
      </c>
      <c r="E108" s="39">
        <v>0.911764705882352</v>
      </c>
      <c r="F108" s="39">
        <v>0.960526315789473</v>
      </c>
      <c r="G108" s="39">
        <v>-0.88095238095238</v>
      </c>
      <c r="H108" s="39">
        <v>-0.0136054421768707</v>
      </c>
      <c r="I108" s="39">
        <v>0.981900452488687</v>
      </c>
    </row>
    <row r="109">
      <c r="A109" s="33">
        <v>210.0</v>
      </c>
      <c r="B109" s="33" t="s">
        <v>1006</v>
      </c>
      <c r="C109" s="33" t="s">
        <v>826</v>
      </c>
      <c r="D109" s="39">
        <v>0.738095238095238</v>
      </c>
      <c r="E109" s="39">
        <v>0.911764705882352</v>
      </c>
      <c r="F109" s="39">
        <v>0.960526315789473</v>
      </c>
      <c r="G109" s="39">
        <v>-0.88095238095238</v>
      </c>
      <c r="H109" s="39">
        <v>-0.0136054421768707</v>
      </c>
      <c r="I109" s="39">
        <v>0.981900452488687</v>
      </c>
    </row>
    <row r="110">
      <c r="A110" s="33">
        <v>211.0</v>
      </c>
      <c r="B110" s="33" t="s">
        <v>1005</v>
      </c>
      <c r="C110" s="33" t="s">
        <v>837</v>
      </c>
      <c r="D110" s="39">
        <v>0.738095238095238</v>
      </c>
      <c r="E110" s="39">
        <v>0.911764705882352</v>
      </c>
      <c r="F110" s="39">
        <v>0.960526315789473</v>
      </c>
      <c r="G110" s="39">
        <v>-0.88095238095238</v>
      </c>
      <c r="H110" s="39">
        <v>-0.00396825396825395</v>
      </c>
      <c r="I110" s="39">
        <v>0.994652406417112</v>
      </c>
    </row>
    <row r="111">
      <c r="A111" s="33">
        <v>212.0</v>
      </c>
      <c r="B111" s="33" t="s">
        <v>1005</v>
      </c>
      <c r="C111" s="33" t="s">
        <v>848</v>
      </c>
      <c r="D111" s="39">
        <v>0.738095238095238</v>
      </c>
      <c r="E111" s="39">
        <v>0.911764705882352</v>
      </c>
      <c r="F111" s="39">
        <v>0.960526315789473</v>
      </c>
      <c r="G111" s="39">
        <v>-0.88095238095238</v>
      </c>
      <c r="H111" s="39">
        <v>-0.00396825396825395</v>
      </c>
      <c r="I111" s="39">
        <v>0.994652406417112</v>
      </c>
    </row>
    <row r="112">
      <c r="A112" s="33">
        <v>213.0</v>
      </c>
      <c r="B112" s="33" t="s">
        <v>963</v>
      </c>
      <c r="C112" s="33" t="s">
        <v>825</v>
      </c>
      <c r="D112" s="39">
        <v>0.738095238095238</v>
      </c>
      <c r="E112" s="39">
        <v>0.911764705882352</v>
      </c>
      <c r="F112" s="39">
        <v>0.960526315789473</v>
      </c>
      <c r="G112" s="39">
        <v>-0.88095238095238</v>
      </c>
      <c r="H112" s="39">
        <v>-0.0136054421768707</v>
      </c>
      <c r="I112" s="39">
        <v>0.981900452488687</v>
      </c>
    </row>
    <row r="113">
      <c r="A113" s="33">
        <v>167.0</v>
      </c>
      <c r="B113" s="33" t="s">
        <v>830</v>
      </c>
      <c r="C113" s="33" t="s">
        <v>837</v>
      </c>
      <c r="D113" s="39">
        <v>0.738095238095238</v>
      </c>
      <c r="E113" s="39">
        <v>0.898550724637681</v>
      </c>
      <c r="F113" s="39">
        <v>0.954248366013072</v>
      </c>
      <c r="G113" s="39">
        <v>-0.904761904761904</v>
      </c>
      <c r="H113" s="39">
        <v>-0.0148809523809523</v>
      </c>
      <c r="I113" s="39">
        <v>0.980237154150197</v>
      </c>
    </row>
    <row r="114">
      <c r="A114" s="36">
        <v>168.0</v>
      </c>
      <c r="B114" s="36" t="s">
        <v>64</v>
      </c>
      <c r="C114" s="36" t="s">
        <v>837</v>
      </c>
      <c r="D114" s="45">
        <v>0.738095238095238</v>
      </c>
      <c r="E114" s="45">
        <v>0.898550724637681</v>
      </c>
      <c r="F114" s="45">
        <v>0.954248366013072</v>
      </c>
      <c r="G114" s="45">
        <v>-0.904761904761904</v>
      </c>
      <c r="H114" s="45">
        <v>-0.0148809523809523</v>
      </c>
      <c r="I114" s="45">
        <v>0.980237154150197</v>
      </c>
    </row>
    <row r="115">
      <c r="A115" s="33">
        <v>169.0</v>
      </c>
      <c r="B115" s="33" t="s">
        <v>830</v>
      </c>
      <c r="C115" s="33" t="s">
        <v>848</v>
      </c>
      <c r="D115" s="39">
        <v>0.738095238095238</v>
      </c>
      <c r="E115" s="39">
        <v>0.898550724637681</v>
      </c>
      <c r="F115" s="39">
        <v>0.954248366013072</v>
      </c>
      <c r="G115" s="39">
        <v>-0.904761904761904</v>
      </c>
      <c r="H115" s="39">
        <v>-0.0148809523809523</v>
      </c>
      <c r="I115" s="39">
        <v>0.980237154150197</v>
      </c>
    </row>
    <row r="116">
      <c r="A116" s="33">
        <v>141.0</v>
      </c>
      <c r="B116" s="33" t="s">
        <v>840</v>
      </c>
      <c r="C116" s="33" t="s">
        <v>836</v>
      </c>
      <c r="D116" s="39">
        <v>0.738095238095238</v>
      </c>
      <c r="E116" s="39">
        <v>0.873239436619718</v>
      </c>
      <c r="F116" s="39">
        <v>0.941935483870967</v>
      </c>
      <c r="G116" s="39">
        <v>-0.952380952380952</v>
      </c>
      <c r="H116" s="39">
        <v>-0.00651927437641719</v>
      </c>
      <c r="I116" s="39">
        <v>0.991244765892653</v>
      </c>
    </row>
    <row r="117">
      <c r="A117" s="33">
        <v>142.0</v>
      </c>
      <c r="B117" s="33" t="s">
        <v>989</v>
      </c>
      <c r="C117" s="33" t="s">
        <v>839</v>
      </c>
      <c r="D117" s="39">
        <v>0.738095238095238</v>
      </c>
      <c r="E117" s="39">
        <v>0.873239436619718</v>
      </c>
      <c r="F117" s="39">
        <v>0.941935483870967</v>
      </c>
      <c r="G117" s="39">
        <v>-0.952380952380952</v>
      </c>
      <c r="H117" s="39">
        <v>0.0136054421768708</v>
      </c>
      <c r="I117" s="39">
        <v>1.018779342723</v>
      </c>
    </row>
    <row r="118">
      <c r="A118" s="33">
        <v>120.0</v>
      </c>
      <c r="B118" s="33" t="s">
        <v>839</v>
      </c>
      <c r="C118" s="33" t="s">
        <v>836</v>
      </c>
      <c r="D118" s="39">
        <v>0.738095238095238</v>
      </c>
      <c r="E118" s="39">
        <v>0.861111111111111</v>
      </c>
      <c r="F118" s="39">
        <v>0.935897435897435</v>
      </c>
      <c r="G118" s="39">
        <v>-0.976190476190476</v>
      </c>
      <c r="H118" s="39">
        <v>-0.0170068027210883</v>
      </c>
      <c r="I118" s="39">
        <v>0.977477477477477</v>
      </c>
    </row>
    <row r="119">
      <c r="A119" s="33">
        <v>121.0</v>
      </c>
      <c r="B119" s="33" t="s">
        <v>1002</v>
      </c>
      <c r="C119" s="33" t="s">
        <v>836</v>
      </c>
      <c r="D119" s="39">
        <v>0.738095238095238</v>
      </c>
      <c r="E119" s="39">
        <v>0.861111111111111</v>
      </c>
      <c r="F119" s="39">
        <v>0.935897435897435</v>
      </c>
      <c r="G119" s="39">
        <v>-0.976190476190476</v>
      </c>
      <c r="H119" s="39">
        <v>-0.0170068027210883</v>
      </c>
      <c r="I119" s="39">
        <v>0.977477477477477</v>
      </c>
    </row>
    <row r="120">
      <c r="A120" s="33">
        <v>122.0</v>
      </c>
      <c r="B120" s="33" t="s">
        <v>1003</v>
      </c>
      <c r="C120" s="33" t="s">
        <v>836</v>
      </c>
      <c r="D120" s="39">
        <v>0.738095238095238</v>
      </c>
      <c r="E120" s="39">
        <v>0.861111111111111</v>
      </c>
      <c r="F120" s="39">
        <v>0.935897435897435</v>
      </c>
      <c r="G120" s="39">
        <v>-0.976190476190476</v>
      </c>
      <c r="H120" s="39">
        <v>-0.0170068027210883</v>
      </c>
      <c r="I120" s="39">
        <v>0.977477477477477</v>
      </c>
    </row>
    <row r="121">
      <c r="A121" s="33">
        <v>123.0</v>
      </c>
      <c r="B121" s="33" t="s">
        <v>1004</v>
      </c>
      <c r="C121" s="33" t="s">
        <v>836</v>
      </c>
      <c r="D121" s="39">
        <v>0.738095238095238</v>
      </c>
      <c r="E121" s="39">
        <v>0.861111111111111</v>
      </c>
      <c r="F121" s="39">
        <v>0.935897435897435</v>
      </c>
      <c r="G121" s="39">
        <v>-0.976190476190476</v>
      </c>
      <c r="H121" s="39">
        <v>-0.0170068027210883</v>
      </c>
      <c r="I121" s="39">
        <v>0.977477477477477</v>
      </c>
    </row>
    <row r="122">
      <c r="A122" s="33">
        <v>124.0</v>
      </c>
      <c r="B122" s="33" t="s">
        <v>839</v>
      </c>
      <c r="C122" s="33" t="s">
        <v>989</v>
      </c>
      <c r="D122" s="39">
        <v>0.738095238095238</v>
      </c>
      <c r="E122" s="39">
        <v>0.861111111111111</v>
      </c>
      <c r="F122" s="39">
        <v>0.935897435897435</v>
      </c>
      <c r="G122" s="39">
        <v>-0.976190476190476</v>
      </c>
      <c r="H122" s="39">
        <v>0.0136054421768708</v>
      </c>
      <c r="I122" s="39">
        <v>1.018779342723</v>
      </c>
    </row>
    <row r="123">
      <c r="A123" s="33">
        <v>63.0</v>
      </c>
      <c r="B123" s="33" t="s">
        <v>836</v>
      </c>
      <c r="C123" s="33" t="s">
        <v>839</v>
      </c>
      <c r="D123" s="39">
        <v>0.738095238095238</v>
      </c>
      <c r="E123" s="39">
        <v>0.837837837837837</v>
      </c>
      <c r="F123" s="39">
        <v>0.924050632911392</v>
      </c>
      <c r="G123" s="39">
        <v>-1.02380952380952</v>
      </c>
      <c r="H123" s="39">
        <v>-0.0170068027210883</v>
      </c>
      <c r="I123" s="39">
        <v>0.977477477477477</v>
      </c>
    </row>
    <row r="124">
      <c r="A124" s="36">
        <v>64.0</v>
      </c>
      <c r="B124" s="36" t="s">
        <v>836</v>
      </c>
      <c r="C124" s="36" t="s">
        <v>840</v>
      </c>
      <c r="D124" s="45">
        <v>0.738095238095238</v>
      </c>
      <c r="E124" s="45">
        <v>0.837837837837837</v>
      </c>
      <c r="F124" s="45">
        <v>0.924050632911392</v>
      </c>
      <c r="G124" s="45">
        <v>-1.02380952380952</v>
      </c>
      <c r="H124" s="45">
        <v>-0.00651927437641719</v>
      </c>
      <c r="I124" s="45">
        <v>0.991244765892653</v>
      </c>
    </row>
    <row r="125">
      <c r="A125" s="33">
        <v>65.0</v>
      </c>
      <c r="B125" s="33" t="s">
        <v>836</v>
      </c>
      <c r="C125" s="33" t="s">
        <v>1002</v>
      </c>
      <c r="D125" s="39">
        <v>0.738095238095238</v>
      </c>
      <c r="E125" s="39">
        <v>0.837837837837837</v>
      </c>
      <c r="F125" s="39">
        <v>0.924050632911392</v>
      </c>
      <c r="G125" s="39">
        <v>-1.02380952380952</v>
      </c>
      <c r="H125" s="39">
        <v>-0.0170068027210883</v>
      </c>
      <c r="I125" s="39">
        <v>0.977477477477477</v>
      </c>
    </row>
    <row r="126">
      <c r="A126" s="33">
        <v>66.0</v>
      </c>
      <c r="B126" s="33" t="s">
        <v>836</v>
      </c>
      <c r="C126" s="33" t="s">
        <v>1003</v>
      </c>
      <c r="D126" s="39">
        <v>0.738095238095238</v>
      </c>
      <c r="E126" s="39">
        <v>0.837837837837837</v>
      </c>
      <c r="F126" s="39">
        <v>0.924050632911392</v>
      </c>
      <c r="G126" s="39">
        <v>-1.02380952380952</v>
      </c>
      <c r="H126" s="39">
        <v>-0.0170068027210883</v>
      </c>
      <c r="I126" s="39">
        <v>0.977477477477477</v>
      </c>
    </row>
    <row r="127">
      <c r="A127" s="33">
        <v>67.0</v>
      </c>
      <c r="B127" s="33" t="s">
        <v>836</v>
      </c>
      <c r="C127" s="33" t="s">
        <v>1004</v>
      </c>
      <c r="D127" s="39">
        <v>0.738095238095238</v>
      </c>
      <c r="E127" s="39">
        <v>0.837837837837837</v>
      </c>
      <c r="F127" s="39">
        <v>0.924050632911392</v>
      </c>
      <c r="G127" s="39">
        <v>-1.02380952380952</v>
      </c>
      <c r="H127" s="39">
        <v>-0.0170068027210883</v>
      </c>
      <c r="I127" s="39">
        <v>0.977477477477477</v>
      </c>
    </row>
    <row r="128">
      <c r="A128" s="33">
        <v>1.0</v>
      </c>
      <c r="B128" s="33" t="s">
        <v>837</v>
      </c>
      <c r="C128" s="33" t="s">
        <v>830</v>
      </c>
      <c r="D128" s="39">
        <v>0.738095238095238</v>
      </c>
      <c r="E128" s="39">
        <v>0.805194805194805</v>
      </c>
      <c r="F128" s="39">
        <v>0.906832298136646</v>
      </c>
      <c r="G128" s="39">
        <v>-1.09523809523809</v>
      </c>
      <c r="H128" s="39">
        <v>-0.0148809523809523</v>
      </c>
      <c r="I128" s="39">
        <v>0.980237154150197</v>
      </c>
    </row>
    <row r="129">
      <c r="A129" s="33">
        <v>2.0</v>
      </c>
      <c r="B129" s="33" t="s">
        <v>837</v>
      </c>
      <c r="C129" s="33" t="s">
        <v>64</v>
      </c>
      <c r="D129" s="39">
        <v>0.738095238095238</v>
      </c>
      <c r="E129" s="39">
        <v>0.805194805194805</v>
      </c>
      <c r="F129" s="39">
        <v>0.906832298136646</v>
      </c>
      <c r="G129" s="39">
        <v>-1.09523809523809</v>
      </c>
      <c r="H129" s="39">
        <v>-0.0148809523809523</v>
      </c>
      <c r="I129" s="39">
        <v>0.980237154150197</v>
      </c>
    </row>
    <row r="130">
      <c r="A130" s="36">
        <v>3.0</v>
      </c>
      <c r="B130" s="36" t="s">
        <v>837</v>
      </c>
      <c r="C130" s="36" t="s">
        <v>842</v>
      </c>
      <c r="D130" s="45">
        <v>0.738095238095238</v>
      </c>
      <c r="E130" s="45">
        <v>0.805194805194805</v>
      </c>
      <c r="F130" s="45">
        <v>0.906832298136646</v>
      </c>
      <c r="G130" s="45">
        <v>-1.09523809523809</v>
      </c>
      <c r="H130" s="45">
        <v>-0.00396825396825395</v>
      </c>
      <c r="I130" s="45">
        <v>0.994652406417112</v>
      </c>
    </row>
    <row r="131">
      <c r="A131" s="33">
        <v>4.0</v>
      </c>
      <c r="B131" s="33" t="s">
        <v>848</v>
      </c>
      <c r="C131" s="33" t="s">
        <v>830</v>
      </c>
      <c r="D131" s="39">
        <v>0.738095238095238</v>
      </c>
      <c r="E131" s="39">
        <v>0.805194805194805</v>
      </c>
      <c r="F131" s="39">
        <v>0.906832298136646</v>
      </c>
      <c r="G131" s="39">
        <v>-1.09523809523809</v>
      </c>
      <c r="H131" s="39">
        <v>-0.0148809523809523</v>
      </c>
      <c r="I131" s="39">
        <v>0.980237154150197</v>
      </c>
    </row>
    <row r="132">
      <c r="A132" s="33">
        <v>5.0</v>
      </c>
      <c r="B132" s="33" t="s">
        <v>837</v>
      </c>
      <c r="C132" s="33" t="s">
        <v>1005</v>
      </c>
      <c r="D132" s="39">
        <v>0.738095238095238</v>
      </c>
      <c r="E132" s="39">
        <v>0.805194805194805</v>
      </c>
      <c r="F132" s="39">
        <v>0.906832298136646</v>
      </c>
      <c r="G132" s="39">
        <v>-1.09523809523809</v>
      </c>
      <c r="H132" s="39">
        <v>-0.00396825396825395</v>
      </c>
      <c r="I132" s="39">
        <v>0.994652406417112</v>
      </c>
    </row>
    <row r="133">
      <c r="A133" s="33">
        <v>6.0</v>
      </c>
      <c r="B133" s="33" t="s">
        <v>848</v>
      </c>
      <c r="C133" s="33" t="s">
        <v>1005</v>
      </c>
      <c r="D133" s="39">
        <v>0.738095238095238</v>
      </c>
      <c r="E133" s="39">
        <v>0.805194805194805</v>
      </c>
      <c r="F133" s="39">
        <v>0.906832298136646</v>
      </c>
      <c r="G133" s="39">
        <v>-1.09523809523809</v>
      </c>
      <c r="H133" s="39">
        <v>-0.00396825396825395</v>
      </c>
      <c r="I133" s="39">
        <v>0.994652406417112</v>
      </c>
    </row>
    <row r="134">
      <c r="A134" s="33">
        <v>7.0</v>
      </c>
      <c r="B134" s="33" t="s">
        <v>848</v>
      </c>
      <c r="C134" s="33" t="s">
        <v>964</v>
      </c>
      <c r="D134" s="39">
        <v>0.738095238095238</v>
      </c>
      <c r="E134" s="39">
        <v>0.805194805194805</v>
      </c>
      <c r="F134" s="39">
        <v>0.906832298136646</v>
      </c>
      <c r="G134" s="39">
        <v>-1.09523809523809</v>
      </c>
      <c r="H134" s="39">
        <v>0.0178571428571429</v>
      </c>
      <c r="I134" s="39">
        <v>1.02479338842975</v>
      </c>
    </row>
    <row r="135">
      <c r="A135" s="33">
        <v>291.0</v>
      </c>
      <c r="B135" s="33" t="s">
        <v>958</v>
      </c>
      <c r="C135" s="33" t="s">
        <v>825</v>
      </c>
      <c r="D135" s="39">
        <v>0.726190476190476</v>
      </c>
      <c r="E135" s="39">
        <v>0.968253968253968</v>
      </c>
      <c r="F135" s="39">
        <v>0.986394557823129</v>
      </c>
      <c r="G135" s="39">
        <v>-0.773809523809523</v>
      </c>
      <c r="H135" s="39">
        <v>0.0297619047619047</v>
      </c>
      <c r="I135" s="39">
        <v>1.04273504273504</v>
      </c>
    </row>
    <row r="136">
      <c r="A136" s="33">
        <v>283.0</v>
      </c>
      <c r="B136" s="33" t="s">
        <v>966</v>
      </c>
      <c r="C136" s="33" t="s">
        <v>848</v>
      </c>
      <c r="D136" s="39">
        <v>0.726190476190476</v>
      </c>
      <c r="E136" s="39">
        <v>0.953125</v>
      </c>
      <c r="F136" s="39">
        <v>0.979729729729729</v>
      </c>
      <c r="G136" s="39">
        <v>-0.797619047619047</v>
      </c>
      <c r="H136" s="39">
        <v>0.0277777777777777</v>
      </c>
      <c r="I136" s="39">
        <v>1.03977272727272</v>
      </c>
    </row>
    <row r="137">
      <c r="A137" s="33">
        <v>271.0</v>
      </c>
      <c r="B137" s="33" t="s">
        <v>975</v>
      </c>
      <c r="C137" s="33" t="s">
        <v>848</v>
      </c>
      <c r="D137" s="39">
        <v>0.726190476190476</v>
      </c>
      <c r="E137" s="39">
        <v>0.938461538461538</v>
      </c>
      <c r="F137" s="39">
        <v>0.973154362416107</v>
      </c>
      <c r="G137" s="39">
        <v>-0.821428571428571</v>
      </c>
      <c r="H137" s="39">
        <v>0.0168650793650793</v>
      </c>
      <c r="I137" s="39">
        <v>1.02377622377622</v>
      </c>
    </row>
    <row r="138">
      <c r="A138" s="33">
        <v>272.0</v>
      </c>
      <c r="B138" s="33" t="s">
        <v>976</v>
      </c>
      <c r="C138" s="33" t="s">
        <v>826</v>
      </c>
      <c r="D138" s="39">
        <v>0.726190476190476</v>
      </c>
      <c r="E138" s="39">
        <v>0.938461538461538</v>
      </c>
      <c r="F138" s="39">
        <v>0.973154362416107</v>
      </c>
      <c r="G138" s="39">
        <v>-0.821428571428571</v>
      </c>
      <c r="H138" s="39">
        <v>0.00765306122448972</v>
      </c>
      <c r="I138" s="39">
        <v>1.01065088757396</v>
      </c>
    </row>
    <row r="139">
      <c r="A139" s="33">
        <v>273.0</v>
      </c>
      <c r="B139" s="33" t="s">
        <v>957</v>
      </c>
      <c r="C139" s="33" t="s">
        <v>848</v>
      </c>
      <c r="D139" s="39">
        <v>0.726190476190476</v>
      </c>
      <c r="E139" s="39">
        <v>0.938461538461538</v>
      </c>
      <c r="F139" s="39">
        <v>0.973154362416107</v>
      </c>
      <c r="G139" s="39">
        <v>-0.821428571428571</v>
      </c>
      <c r="H139" s="39">
        <v>0.0168650793650793</v>
      </c>
      <c r="I139" s="39">
        <v>1.02377622377622</v>
      </c>
    </row>
    <row r="140">
      <c r="A140" s="33">
        <v>252.0</v>
      </c>
      <c r="B140" s="33" t="s">
        <v>59</v>
      </c>
      <c r="C140" s="33" t="s">
        <v>826</v>
      </c>
      <c r="D140" s="39">
        <v>0.726190476190476</v>
      </c>
      <c r="E140" s="39">
        <v>0.924242424242424</v>
      </c>
      <c r="F140" s="39">
        <v>0.966666666666666</v>
      </c>
      <c r="G140" s="39">
        <v>-0.845238095238095</v>
      </c>
      <c r="H140" s="39">
        <v>-0.00340136054421769</v>
      </c>
      <c r="I140" s="39">
        <v>0.995337995337995</v>
      </c>
    </row>
    <row r="141">
      <c r="A141" s="33">
        <v>253.0</v>
      </c>
      <c r="B141" s="33" t="s">
        <v>843</v>
      </c>
      <c r="C141" s="33" t="s">
        <v>825</v>
      </c>
      <c r="D141" s="39">
        <v>0.726190476190476</v>
      </c>
      <c r="E141" s="39">
        <v>0.924242424242424</v>
      </c>
      <c r="F141" s="39">
        <v>0.966666666666666</v>
      </c>
      <c r="G141" s="39">
        <v>-0.845238095238095</v>
      </c>
      <c r="H141" s="39">
        <v>-0.00340136054421769</v>
      </c>
      <c r="I141" s="39">
        <v>0.995337995337995</v>
      </c>
    </row>
    <row r="142">
      <c r="A142" s="33">
        <v>254.0</v>
      </c>
      <c r="B142" s="33" t="s">
        <v>59</v>
      </c>
      <c r="C142" s="33" t="s">
        <v>848</v>
      </c>
      <c r="D142" s="39">
        <v>0.726190476190476</v>
      </c>
      <c r="E142" s="39">
        <v>0.924242424242424</v>
      </c>
      <c r="F142" s="39">
        <v>0.966666666666666</v>
      </c>
      <c r="G142" s="39">
        <v>-0.845238095238095</v>
      </c>
      <c r="H142" s="39">
        <v>0.00595238095238093</v>
      </c>
      <c r="I142" s="39">
        <v>1.00826446280991</v>
      </c>
    </row>
    <row r="143">
      <c r="A143" s="33">
        <v>255.0</v>
      </c>
      <c r="B143" s="33" t="s">
        <v>993</v>
      </c>
      <c r="C143" s="33" t="s">
        <v>826</v>
      </c>
      <c r="D143" s="39">
        <v>0.726190476190476</v>
      </c>
      <c r="E143" s="39">
        <v>0.924242424242424</v>
      </c>
      <c r="F143" s="39">
        <v>0.966666666666666</v>
      </c>
      <c r="G143" s="39">
        <v>-0.845238095238095</v>
      </c>
      <c r="H143" s="39">
        <v>-0.00340136054421769</v>
      </c>
      <c r="I143" s="39">
        <v>0.995337995337995</v>
      </c>
    </row>
    <row r="144">
      <c r="A144" s="33">
        <v>205.0</v>
      </c>
      <c r="B144" s="33" t="s">
        <v>1007</v>
      </c>
      <c r="C144" s="33" t="s">
        <v>826</v>
      </c>
      <c r="D144" s="39">
        <v>0.726190476190476</v>
      </c>
      <c r="E144" s="39">
        <v>0.910447761194029</v>
      </c>
      <c r="F144" s="39">
        <v>0.960264900662251</v>
      </c>
      <c r="G144" s="39">
        <v>-0.869047619047619</v>
      </c>
      <c r="H144" s="39">
        <v>-0.0144557823129253</v>
      </c>
      <c r="I144" s="39">
        <v>0.980482204362801</v>
      </c>
    </row>
    <row r="145">
      <c r="A145" s="33">
        <v>206.0</v>
      </c>
      <c r="B145" s="33" t="s">
        <v>991</v>
      </c>
      <c r="C145" s="33" t="s">
        <v>825</v>
      </c>
      <c r="D145" s="39">
        <v>0.726190476190476</v>
      </c>
      <c r="E145" s="39">
        <v>0.910447761194029</v>
      </c>
      <c r="F145" s="39">
        <v>0.960264900662251</v>
      </c>
      <c r="G145" s="39">
        <v>-0.869047619047619</v>
      </c>
      <c r="H145" s="39">
        <v>-0.0144557823129253</v>
      </c>
      <c r="I145" s="39">
        <v>0.980482204362801</v>
      </c>
    </row>
    <row r="146">
      <c r="A146" s="33">
        <v>207.0</v>
      </c>
      <c r="B146" s="33" t="s">
        <v>992</v>
      </c>
      <c r="C146" s="33" t="s">
        <v>825</v>
      </c>
      <c r="D146" s="39">
        <v>0.726190476190476</v>
      </c>
      <c r="E146" s="39">
        <v>0.910447761194029</v>
      </c>
      <c r="F146" s="39">
        <v>0.960264900662251</v>
      </c>
      <c r="G146" s="39">
        <v>-0.869047619047619</v>
      </c>
      <c r="H146" s="39">
        <v>-0.0144557823129253</v>
      </c>
      <c r="I146" s="39">
        <v>0.980482204362801</v>
      </c>
    </row>
    <row r="147">
      <c r="A147" s="33">
        <v>163.0</v>
      </c>
      <c r="B147" s="33" t="s">
        <v>842</v>
      </c>
      <c r="C147" s="33" t="s">
        <v>848</v>
      </c>
      <c r="D147" s="39">
        <v>0.726190476190476</v>
      </c>
      <c r="E147" s="39">
        <v>0.897058823529411</v>
      </c>
      <c r="F147" s="39">
        <v>0.953947368421052</v>
      </c>
      <c r="G147" s="39">
        <v>-0.892857142857142</v>
      </c>
      <c r="H147" s="39">
        <v>-0.0158730158730159</v>
      </c>
      <c r="I147" s="39">
        <v>0.978609625668449</v>
      </c>
    </row>
    <row r="148">
      <c r="A148" s="33">
        <v>164.0</v>
      </c>
      <c r="B148" s="33" t="s">
        <v>1006</v>
      </c>
      <c r="C148" s="33" t="s">
        <v>837</v>
      </c>
      <c r="D148" s="39">
        <v>0.726190476190476</v>
      </c>
      <c r="E148" s="39">
        <v>0.897058823529411</v>
      </c>
      <c r="F148" s="39">
        <v>0.953947368421052</v>
      </c>
      <c r="G148" s="39">
        <v>-0.892857142857142</v>
      </c>
      <c r="H148" s="39">
        <v>-0.0158730158730159</v>
      </c>
      <c r="I148" s="39">
        <v>0.978609625668449</v>
      </c>
    </row>
    <row r="149">
      <c r="A149" s="33">
        <v>165.0</v>
      </c>
      <c r="B149" s="33" t="s">
        <v>1006</v>
      </c>
      <c r="C149" s="33" t="s">
        <v>848</v>
      </c>
      <c r="D149" s="39">
        <v>0.726190476190476</v>
      </c>
      <c r="E149" s="39">
        <v>0.897058823529411</v>
      </c>
      <c r="F149" s="39">
        <v>0.953947368421052</v>
      </c>
      <c r="G149" s="39">
        <v>-0.892857142857142</v>
      </c>
      <c r="H149" s="39">
        <v>-0.0158730158730159</v>
      </c>
      <c r="I149" s="39">
        <v>0.978609625668449</v>
      </c>
    </row>
    <row r="150">
      <c r="A150" s="33">
        <v>166.0</v>
      </c>
      <c r="B150" s="33" t="s">
        <v>963</v>
      </c>
      <c r="C150" s="33" t="s">
        <v>837</v>
      </c>
      <c r="D150" s="39">
        <v>0.726190476190476</v>
      </c>
      <c r="E150" s="39">
        <v>0.897058823529411</v>
      </c>
      <c r="F150" s="39">
        <v>0.953947368421052</v>
      </c>
      <c r="G150" s="39">
        <v>-0.892857142857142</v>
      </c>
      <c r="H150" s="39">
        <v>-0.0158730158730159</v>
      </c>
      <c r="I150" s="39">
        <v>0.978609625668449</v>
      </c>
    </row>
    <row r="151">
      <c r="A151" s="33">
        <v>148.0</v>
      </c>
      <c r="B151" s="33" t="s">
        <v>64</v>
      </c>
      <c r="C151" s="33" t="s">
        <v>836</v>
      </c>
      <c r="D151" s="39">
        <v>0.726190476190476</v>
      </c>
      <c r="E151" s="39">
        <v>0.884057971014492</v>
      </c>
      <c r="F151" s="39">
        <v>0.947712418300653</v>
      </c>
      <c r="G151" s="39">
        <v>-0.916666666666666</v>
      </c>
      <c r="H151" s="39">
        <v>0.00255102040816324</v>
      </c>
      <c r="I151" s="39">
        <v>1.00352526439482</v>
      </c>
    </row>
    <row r="152">
      <c r="A152" s="33">
        <v>149.0</v>
      </c>
      <c r="B152" s="33" t="s">
        <v>830</v>
      </c>
      <c r="C152" s="33" t="s">
        <v>1002</v>
      </c>
      <c r="D152" s="39">
        <v>0.726190476190476</v>
      </c>
      <c r="E152" s="39">
        <v>0.884057971014492</v>
      </c>
      <c r="F152" s="39">
        <v>0.947712418300653</v>
      </c>
      <c r="G152" s="39">
        <v>-0.916666666666666</v>
      </c>
      <c r="H152" s="39">
        <v>0.022108843537415</v>
      </c>
      <c r="I152" s="39">
        <v>1.03140096618357</v>
      </c>
    </row>
    <row r="153">
      <c r="A153" s="33">
        <v>150.0</v>
      </c>
      <c r="B153" s="33" t="s">
        <v>64</v>
      </c>
      <c r="C153" s="33" t="s">
        <v>1004</v>
      </c>
      <c r="D153" s="39">
        <v>0.726190476190476</v>
      </c>
      <c r="E153" s="39">
        <v>0.884057971014492</v>
      </c>
      <c r="F153" s="39">
        <v>0.947712418300653</v>
      </c>
      <c r="G153" s="39">
        <v>-0.916666666666666</v>
      </c>
      <c r="H153" s="39">
        <v>0.022108843537415</v>
      </c>
      <c r="I153" s="39">
        <v>1.03140096618357</v>
      </c>
    </row>
    <row r="154">
      <c r="A154" s="33">
        <v>138.0</v>
      </c>
      <c r="B154" s="33" t="s">
        <v>971</v>
      </c>
      <c r="C154" s="33" t="s">
        <v>839</v>
      </c>
      <c r="D154" s="39">
        <v>0.726190476190476</v>
      </c>
      <c r="E154" s="39">
        <v>0.871428571428571</v>
      </c>
      <c r="F154" s="39">
        <v>0.941558441558441</v>
      </c>
      <c r="G154" s="39">
        <v>-0.94047619047619</v>
      </c>
      <c r="H154" s="39">
        <v>0.0119047619047618</v>
      </c>
      <c r="I154" s="39">
        <v>1.01666666666666</v>
      </c>
    </row>
    <row r="155">
      <c r="A155" s="33">
        <v>116.0</v>
      </c>
      <c r="B155" s="33" t="s">
        <v>841</v>
      </c>
      <c r="C155" s="33" t="s">
        <v>839</v>
      </c>
      <c r="D155" s="39">
        <v>0.726190476190476</v>
      </c>
      <c r="E155" s="39">
        <v>0.859154929577464</v>
      </c>
      <c r="F155" s="39">
        <v>0.935483870967741</v>
      </c>
      <c r="G155" s="39">
        <v>-0.964285714285714</v>
      </c>
      <c r="H155" s="39">
        <v>0.0017006802721089</v>
      </c>
      <c r="I155" s="39">
        <v>1.00234741784037</v>
      </c>
    </row>
    <row r="156">
      <c r="A156" s="33">
        <v>117.0</v>
      </c>
      <c r="B156" s="33" t="s">
        <v>840</v>
      </c>
      <c r="C156" s="33" t="s">
        <v>1004</v>
      </c>
      <c r="D156" s="39">
        <v>0.726190476190476</v>
      </c>
      <c r="E156" s="39">
        <v>0.859154929577464</v>
      </c>
      <c r="F156" s="39">
        <v>0.935483870967741</v>
      </c>
      <c r="G156" s="39">
        <v>-0.964285714285714</v>
      </c>
      <c r="H156" s="39">
        <v>0.0017006802721089</v>
      </c>
      <c r="I156" s="39">
        <v>1.00234741784037</v>
      </c>
    </row>
    <row r="157">
      <c r="A157" s="33">
        <v>118.0</v>
      </c>
      <c r="B157" s="33" t="s">
        <v>988</v>
      </c>
      <c r="C157" s="33" t="s">
        <v>836</v>
      </c>
      <c r="D157" s="39">
        <v>0.726190476190476</v>
      </c>
      <c r="E157" s="39">
        <v>0.859154929577464</v>
      </c>
      <c r="F157" s="39">
        <v>0.935483870967741</v>
      </c>
      <c r="G157" s="39">
        <v>-0.964285714285714</v>
      </c>
      <c r="H157" s="39">
        <v>-0.0184240362811791</v>
      </c>
      <c r="I157" s="39">
        <v>0.975256947087933</v>
      </c>
    </row>
    <row r="158">
      <c r="A158" s="33">
        <v>119.0</v>
      </c>
      <c r="B158" s="33" t="s">
        <v>989</v>
      </c>
      <c r="C158" s="33" t="s">
        <v>836</v>
      </c>
      <c r="D158" s="39">
        <v>0.726190476190476</v>
      </c>
      <c r="E158" s="39">
        <v>0.859154929577464</v>
      </c>
      <c r="F158" s="39">
        <v>0.935483870967741</v>
      </c>
      <c r="G158" s="39">
        <v>-0.964285714285714</v>
      </c>
      <c r="H158" s="39">
        <v>-0.0184240362811791</v>
      </c>
      <c r="I158" s="39">
        <v>0.975256947087933</v>
      </c>
    </row>
    <row r="159">
      <c r="A159" s="33">
        <v>94.0</v>
      </c>
      <c r="B159" s="33" t="s">
        <v>839</v>
      </c>
      <c r="C159" s="33" t="s">
        <v>841</v>
      </c>
      <c r="D159" s="39">
        <v>0.726190476190476</v>
      </c>
      <c r="E159" s="39">
        <v>0.847222222222222</v>
      </c>
      <c r="F159" s="39">
        <v>0.929487179487179</v>
      </c>
      <c r="G159" s="39">
        <v>-0.988095238095238</v>
      </c>
      <c r="H159" s="39">
        <v>0.0017006802721089</v>
      </c>
      <c r="I159" s="39">
        <v>1.00234741784037</v>
      </c>
    </row>
    <row r="160">
      <c r="A160" s="33">
        <v>95.0</v>
      </c>
      <c r="B160" s="33" t="s">
        <v>1002</v>
      </c>
      <c r="C160" s="33" t="s">
        <v>830</v>
      </c>
      <c r="D160" s="39">
        <v>0.726190476190476</v>
      </c>
      <c r="E160" s="39">
        <v>0.847222222222222</v>
      </c>
      <c r="F160" s="39">
        <v>0.929487179487179</v>
      </c>
      <c r="G160" s="39">
        <v>-0.988095238095238</v>
      </c>
      <c r="H160" s="39">
        <v>0.022108843537415</v>
      </c>
      <c r="I160" s="39">
        <v>1.03140096618357</v>
      </c>
    </row>
    <row r="161">
      <c r="A161" s="33">
        <v>96.0</v>
      </c>
      <c r="B161" s="33" t="s">
        <v>1004</v>
      </c>
      <c r="C161" s="33" t="s">
        <v>840</v>
      </c>
      <c r="D161" s="39">
        <v>0.726190476190476</v>
      </c>
      <c r="E161" s="39">
        <v>0.847222222222222</v>
      </c>
      <c r="F161" s="39">
        <v>0.929487179487179</v>
      </c>
      <c r="G161" s="39">
        <v>-0.988095238095238</v>
      </c>
      <c r="H161" s="39">
        <v>0.0017006802721089</v>
      </c>
      <c r="I161" s="39">
        <v>1.00234741784037</v>
      </c>
    </row>
    <row r="162">
      <c r="A162" s="33">
        <v>97.0</v>
      </c>
      <c r="B162" s="33" t="s">
        <v>1004</v>
      </c>
      <c r="C162" s="33" t="s">
        <v>64</v>
      </c>
      <c r="D162" s="39">
        <v>0.726190476190476</v>
      </c>
      <c r="E162" s="39">
        <v>0.847222222222222</v>
      </c>
      <c r="F162" s="39">
        <v>0.929487179487179</v>
      </c>
      <c r="G162" s="39">
        <v>-0.988095238095238</v>
      </c>
      <c r="H162" s="39">
        <v>0.022108843537415</v>
      </c>
      <c r="I162" s="39">
        <v>1.03140096618357</v>
      </c>
    </row>
    <row r="163">
      <c r="A163" s="33">
        <v>98.0</v>
      </c>
      <c r="B163" s="33" t="s">
        <v>839</v>
      </c>
      <c r="C163" s="33" t="s">
        <v>971</v>
      </c>
      <c r="D163" s="39">
        <v>0.726190476190476</v>
      </c>
      <c r="E163" s="39">
        <v>0.847222222222222</v>
      </c>
      <c r="F163" s="39">
        <v>0.929487179487179</v>
      </c>
      <c r="G163" s="39">
        <v>-0.988095238095238</v>
      </c>
      <c r="H163" s="39">
        <v>0.0119047619047618</v>
      </c>
      <c r="I163" s="39">
        <v>1.01666666666666</v>
      </c>
    </row>
    <row r="164">
      <c r="A164" s="33">
        <v>34.0</v>
      </c>
      <c r="B164" s="33" t="s">
        <v>836</v>
      </c>
      <c r="C164" s="33" t="s">
        <v>64</v>
      </c>
      <c r="D164" s="39">
        <v>0.726190476190476</v>
      </c>
      <c r="E164" s="39">
        <v>0.824324324324324</v>
      </c>
      <c r="F164" s="39">
        <v>0.917721518987341</v>
      </c>
      <c r="G164" s="39">
        <v>-1.03571428571428</v>
      </c>
      <c r="H164" s="39">
        <v>0.00255102040816324</v>
      </c>
      <c r="I164" s="39">
        <v>1.00352526439482</v>
      </c>
    </row>
    <row r="165">
      <c r="A165" s="33">
        <v>35.0</v>
      </c>
      <c r="B165" s="33" t="s">
        <v>836</v>
      </c>
      <c r="C165" s="33" t="s">
        <v>988</v>
      </c>
      <c r="D165" s="39">
        <v>0.726190476190476</v>
      </c>
      <c r="E165" s="39">
        <v>0.824324324324324</v>
      </c>
      <c r="F165" s="39">
        <v>0.917721518987341</v>
      </c>
      <c r="G165" s="39">
        <v>-1.03571428571428</v>
      </c>
      <c r="H165" s="39">
        <v>-0.0184240362811791</v>
      </c>
      <c r="I165" s="39">
        <v>0.975256947087933</v>
      </c>
    </row>
    <row r="166">
      <c r="A166" s="33">
        <v>36.0</v>
      </c>
      <c r="B166" s="33" t="s">
        <v>836</v>
      </c>
      <c r="C166" s="33" t="s">
        <v>989</v>
      </c>
      <c r="D166" s="39">
        <v>0.726190476190476</v>
      </c>
      <c r="E166" s="39">
        <v>0.824324324324324</v>
      </c>
      <c r="F166" s="39">
        <v>0.917721518987341</v>
      </c>
      <c r="G166" s="39">
        <v>-1.03571428571428</v>
      </c>
      <c r="H166" s="39">
        <v>-0.0184240362811791</v>
      </c>
      <c r="I166" s="39">
        <v>0.975256947087933</v>
      </c>
    </row>
    <row r="167">
      <c r="A167" s="33">
        <v>289.0</v>
      </c>
      <c r="B167" s="33" t="s">
        <v>959</v>
      </c>
      <c r="C167" s="33" t="s">
        <v>825</v>
      </c>
      <c r="D167" s="39">
        <v>0.714285714285714</v>
      </c>
      <c r="E167" s="39">
        <v>0.967741935483871</v>
      </c>
      <c r="F167" s="39">
        <v>0.986301369863013</v>
      </c>
      <c r="G167" s="39">
        <v>-0.761904761904762</v>
      </c>
      <c r="H167" s="39">
        <v>0.0289115646258503</v>
      </c>
      <c r="I167" s="39">
        <v>1.04218362282878</v>
      </c>
    </row>
    <row r="168">
      <c r="A168" s="33">
        <v>290.0</v>
      </c>
      <c r="B168" s="33" t="s">
        <v>960</v>
      </c>
      <c r="C168" s="33" t="s">
        <v>825</v>
      </c>
      <c r="D168" s="39">
        <v>0.714285714285714</v>
      </c>
      <c r="E168" s="39">
        <v>0.967741935483871</v>
      </c>
      <c r="F168" s="39">
        <v>0.986301369863013</v>
      </c>
      <c r="G168" s="39">
        <v>-0.761904761904762</v>
      </c>
      <c r="H168" s="39">
        <v>0.0289115646258503</v>
      </c>
      <c r="I168" s="39">
        <v>1.04218362282878</v>
      </c>
    </row>
    <row r="169">
      <c r="A169" s="33">
        <v>270.0</v>
      </c>
      <c r="B169" s="33" t="s">
        <v>978</v>
      </c>
      <c r="C169" s="33" t="s">
        <v>826</v>
      </c>
      <c r="D169" s="39">
        <v>0.714285714285714</v>
      </c>
      <c r="E169" s="39">
        <v>0.9375</v>
      </c>
      <c r="F169" s="39">
        <v>0.972972972972973</v>
      </c>
      <c r="G169" s="39">
        <v>-0.809523809523809</v>
      </c>
      <c r="H169" s="39">
        <v>0.00680272108843538</v>
      </c>
      <c r="I169" s="39">
        <v>1.00961538461538</v>
      </c>
    </row>
    <row r="170">
      <c r="A170" s="33">
        <v>244.0</v>
      </c>
      <c r="B170" s="33" t="s">
        <v>994</v>
      </c>
      <c r="C170" s="33" t="s">
        <v>825</v>
      </c>
      <c r="D170" s="39">
        <v>0.714285714285714</v>
      </c>
      <c r="E170" s="39">
        <v>0.923076923076923</v>
      </c>
      <c r="F170" s="39">
        <v>0.966442953020134</v>
      </c>
      <c r="G170" s="39">
        <v>-0.833333333333333</v>
      </c>
      <c r="H170" s="39">
        <v>-0.00425170068027214</v>
      </c>
      <c r="I170" s="39">
        <v>0.994082840236686</v>
      </c>
    </row>
    <row r="171">
      <c r="A171" s="33">
        <v>245.0</v>
      </c>
      <c r="B171" s="33" t="s">
        <v>975</v>
      </c>
      <c r="C171" s="33" t="s">
        <v>837</v>
      </c>
      <c r="D171" s="39">
        <v>0.714285714285714</v>
      </c>
      <c r="E171" s="39">
        <v>0.923076923076923</v>
      </c>
      <c r="F171" s="39">
        <v>0.966442953020134</v>
      </c>
      <c r="G171" s="39">
        <v>-0.833333333333333</v>
      </c>
      <c r="H171" s="39">
        <v>0.00496031746031744</v>
      </c>
      <c r="I171" s="39">
        <v>1.006993006993</v>
      </c>
    </row>
    <row r="172">
      <c r="A172" s="33">
        <v>246.0</v>
      </c>
      <c r="B172" s="33" t="s">
        <v>995</v>
      </c>
      <c r="C172" s="33" t="s">
        <v>826</v>
      </c>
      <c r="D172" s="39">
        <v>0.714285714285714</v>
      </c>
      <c r="E172" s="39">
        <v>0.923076923076923</v>
      </c>
      <c r="F172" s="39">
        <v>0.966442953020134</v>
      </c>
      <c r="G172" s="39">
        <v>-0.833333333333333</v>
      </c>
      <c r="H172" s="39">
        <v>-0.00425170068027214</v>
      </c>
      <c r="I172" s="39">
        <v>0.994082840236686</v>
      </c>
    </row>
    <row r="173">
      <c r="A173" s="33">
        <v>247.0</v>
      </c>
      <c r="B173" s="33" t="s">
        <v>994</v>
      </c>
      <c r="C173" s="33" t="s">
        <v>848</v>
      </c>
      <c r="D173" s="39">
        <v>0.714285714285714</v>
      </c>
      <c r="E173" s="39">
        <v>0.923076923076923</v>
      </c>
      <c r="F173" s="39">
        <v>0.966442953020134</v>
      </c>
      <c r="G173" s="39">
        <v>-0.833333333333333</v>
      </c>
      <c r="H173" s="39">
        <v>0.00496031746031744</v>
      </c>
      <c r="I173" s="39">
        <v>1.006993006993</v>
      </c>
    </row>
    <row r="174">
      <c r="A174" s="33">
        <v>248.0</v>
      </c>
      <c r="B174" s="33" t="s">
        <v>996</v>
      </c>
      <c r="C174" s="33" t="s">
        <v>826</v>
      </c>
      <c r="D174" s="39">
        <v>0.714285714285714</v>
      </c>
      <c r="E174" s="39">
        <v>0.923076923076923</v>
      </c>
      <c r="F174" s="39">
        <v>0.966442953020134</v>
      </c>
      <c r="G174" s="39">
        <v>-0.833333333333333</v>
      </c>
      <c r="H174" s="39">
        <v>-0.00425170068027214</v>
      </c>
      <c r="I174" s="39">
        <v>0.994082840236686</v>
      </c>
    </row>
    <row r="175">
      <c r="A175" s="33">
        <v>249.0</v>
      </c>
      <c r="B175" s="33" t="s">
        <v>996</v>
      </c>
      <c r="C175" s="33" t="s">
        <v>825</v>
      </c>
      <c r="D175" s="39">
        <v>0.714285714285714</v>
      </c>
      <c r="E175" s="39">
        <v>0.923076923076923</v>
      </c>
      <c r="F175" s="39">
        <v>0.966442953020134</v>
      </c>
      <c r="G175" s="39">
        <v>-0.833333333333333</v>
      </c>
      <c r="H175" s="39">
        <v>-0.00425170068027214</v>
      </c>
      <c r="I175" s="39">
        <v>0.994082840236686</v>
      </c>
    </row>
    <row r="176">
      <c r="A176" s="33">
        <v>250.0</v>
      </c>
      <c r="B176" s="33" t="s">
        <v>997</v>
      </c>
      <c r="C176" s="33" t="s">
        <v>848</v>
      </c>
      <c r="D176" s="39">
        <v>0.714285714285714</v>
      </c>
      <c r="E176" s="39">
        <v>0.923076923076923</v>
      </c>
      <c r="F176" s="39">
        <v>0.966442953020134</v>
      </c>
      <c r="G176" s="39">
        <v>-0.833333333333333</v>
      </c>
      <c r="H176" s="39">
        <v>0.00496031746031744</v>
      </c>
      <c r="I176" s="39">
        <v>1.006993006993</v>
      </c>
    </row>
    <row r="177">
      <c r="A177" s="33">
        <v>251.0</v>
      </c>
      <c r="B177" s="33" t="s">
        <v>995</v>
      </c>
      <c r="C177" s="33" t="s">
        <v>848</v>
      </c>
      <c r="D177" s="39">
        <v>0.714285714285714</v>
      </c>
      <c r="E177" s="39">
        <v>0.923076923076923</v>
      </c>
      <c r="F177" s="39">
        <v>0.966442953020134</v>
      </c>
      <c r="G177" s="39">
        <v>-0.833333333333333</v>
      </c>
      <c r="H177" s="39">
        <v>0.00496031746031744</v>
      </c>
      <c r="I177" s="39">
        <v>1.006993006993</v>
      </c>
    </row>
    <row r="178">
      <c r="A178" s="33">
        <v>189.0</v>
      </c>
      <c r="B178" s="33" t="s">
        <v>843</v>
      </c>
      <c r="C178" s="33" t="s">
        <v>826</v>
      </c>
      <c r="D178" s="39">
        <v>0.714285714285714</v>
      </c>
      <c r="E178" s="39">
        <v>0.909090909090909</v>
      </c>
      <c r="F178" s="39">
        <v>0.96</v>
      </c>
      <c r="G178" s="39">
        <v>-0.857142857142857</v>
      </c>
      <c r="H178" s="39">
        <v>-0.0153061224489795</v>
      </c>
      <c r="I178" s="39">
        <v>0.979020979020979</v>
      </c>
    </row>
    <row r="179">
      <c r="A179" s="33">
        <v>190.0</v>
      </c>
      <c r="B179" s="33" t="s">
        <v>59</v>
      </c>
      <c r="C179" s="33" t="s">
        <v>825</v>
      </c>
      <c r="D179" s="39">
        <v>0.714285714285714</v>
      </c>
      <c r="E179" s="39">
        <v>0.909090909090909</v>
      </c>
      <c r="F179" s="39">
        <v>0.96</v>
      </c>
      <c r="G179" s="39">
        <v>-0.857142857142857</v>
      </c>
      <c r="H179" s="39">
        <v>-0.0153061224489795</v>
      </c>
      <c r="I179" s="39">
        <v>0.979020979020979</v>
      </c>
    </row>
    <row r="180">
      <c r="A180" s="33">
        <v>193.0</v>
      </c>
      <c r="B180" s="33" t="s">
        <v>59</v>
      </c>
      <c r="C180" s="33" t="s">
        <v>837</v>
      </c>
      <c r="D180" s="39">
        <v>0.714285714285714</v>
      </c>
      <c r="E180" s="39">
        <v>0.909090909090909</v>
      </c>
      <c r="F180" s="39">
        <v>0.96</v>
      </c>
      <c r="G180" s="39">
        <v>-0.857142857142857</v>
      </c>
      <c r="H180" s="39">
        <v>-0.00595238095238093</v>
      </c>
      <c r="I180" s="39">
        <v>0.991735537190082</v>
      </c>
    </row>
    <row r="181">
      <c r="A181" s="36">
        <v>194.0</v>
      </c>
      <c r="B181" s="36" t="s">
        <v>843</v>
      </c>
      <c r="C181" s="36" t="s">
        <v>837</v>
      </c>
      <c r="D181" s="45">
        <v>0.714285714285714</v>
      </c>
      <c r="E181" s="45">
        <v>0.909090909090909</v>
      </c>
      <c r="F181" s="45">
        <v>0.96</v>
      </c>
      <c r="G181" s="45">
        <v>-0.857142857142857</v>
      </c>
      <c r="H181" s="45">
        <v>-0.00595238095238093</v>
      </c>
      <c r="I181" s="45">
        <v>0.991735537190082</v>
      </c>
    </row>
    <row r="182">
      <c r="A182" s="33">
        <v>195.0</v>
      </c>
      <c r="B182" s="33" t="s">
        <v>843</v>
      </c>
      <c r="C182" s="33" t="s">
        <v>848</v>
      </c>
      <c r="D182" s="39">
        <v>0.714285714285714</v>
      </c>
      <c r="E182" s="39">
        <v>0.909090909090909</v>
      </c>
      <c r="F182" s="39">
        <v>0.96</v>
      </c>
      <c r="G182" s="39">
        <v>-0.857142857142857</v>
      </c>
      <c r="H182" s="39">
        <v>-0.00595238095238093</v>
      </c>
      <c r="I182" s="39">
        <v>0.991735537190082</v>
      </c>
    </row>
    <row r="183">
      <c r="A183" s="33">
        <v>196.0</v>
      </c>
      <c r="B183" s="33" t="s">
        <v>1008</v>
      </c>
      <c r="C183" s="33" t="s">
        <v>826</v>
      </c>
      <c r="D183" s="39">
        <v>0.714285714285714</v>
      </c>
      <c r="E183" s="39">
        <v>0.909090909090909</v>
      </c>
      <c r="F183" s="39">
        <v>0.96</v>
      </c>
      <c r="G183" s="39">
        <v>-0.857142857142857</v>
      </c>
      <c r="H183" s="39">
        <v>-0.0153061224489795</v>
      </c>
      <c r="I183" s="39">
        <v>0.979020979020979</v>
      </c>
    </row>
    <row r="184">
      <c r="A184" s="33">
        <v>197.0</v>
      </c>
      <c r="B184" s="33" t="s">
        <v>1008</v>
      </c>
      <c r="C184" s="33" t="s">
        <v>848</v>
      </c>
      <c r="D184" s="39">
        <v>0.714285714285714</v>
      </c>
      <c r="E184" s="39">
        <v>0.909090909090909</v>
      </c>
      <c r="F184" s="39">
        <v>0.96</v>
      </c>
      <c r="G184" s="39">
        <v>-0.857142857142857</v>
      </c>
      <c r="H184" s="39">
        <v>-0.00595238095238093</v>
      </c>
      <c r="I184" s="39">
        <v>0.991735537190082</v>
      </c>
    </row>
    <row r="185">
      <c r="A185" s="33">
        <v>198.0</v>
      </c>
      <c r="B185" s="33" t="s">
        <v>993</v>
      </c>
      <c r="C185" s="33" t="s">
        <v>825</v>
      </c>
      <c r="D185" s="39">
        <v>0.714285714285714</v>
      </c>
      <c r="E185" s="39">
        <v>0.909090909090909</v>
      </c>
      <c r="F185" s="39">
        <v>0.96</v>
      </c>
      <c r="G185" s="39">
        <v>-0.857142857142857</v>
      </c>
      <c r="H185" s="39">
        <v>-0.0153061224489795</v>
      </c>
      <c r="I185" s="39">
        <v>0.979020979020979</v>
      </c>
    </row>
    <row r="186">
      <c r="A186" s="33">
        <v>199.0</v>
      </c>
      <c r="B186" s="33" t="s">
        <v>993</v>
      </c>
      <c r="C186" s="33" t="s">
        <v>837</v>
      </c>
      <c r="D186" s="39">
        <v>0.714285714285714</v>
      </c>
      <c r="E186" s="39">
        <v>0.909090909090909</v>
      </c>
      <c r="F186" s="39">
        <v>0.96</v>
      </c>
      <c r="G186" s="39">
        <v>-0.857142857142857</v>
      </c>
      <c r="H186" s="39">
        <v>-0.00595238095238093</v>
      </c>
      <c r="I186" s="39">
        <v>0.991735537190082</v>
      </c>
    </row>
    <row r="187">
      <c r="A187" s="33">
        <v>200.0</v>
      </c>
      <c r="B187" s="33" t="s">
        <v>1009</v>
      </c>
      <c r="C187" s="33" t="s">
        <v>848</v>
      </c>
      <c r="D187" s="39">
        <v>0.714285714285714</v>
      </c>
      <c r="E187" s="39">
        <v>0.909090909090909</v>
      </c>
      <c r="F187" s="39">
        <v>0.96</v>
      </c>
      <c r="G187" s="39">
        <v>-0.857142857142857</v>
      </c>
      <c r="H187" s="39">
        <v>-0.00595238095238093</v>
      </c>
      <c r="I187" s="39">
        <v>0.991735537190082</v>
      </c>
    </row>
    <row r="188">
      <c r="A188" s="33">
        <v>201.0</v>
      </c>
      <c r="B188" s="33" t="s">
        <v>1010</v>
      </c>
      <c r="C188" s="33" t="s">
        <v>837</v>
      </c>
      <c r="D188" s="39">
        <v>0.714285714285714</v>
      </c>
      <c r="E188" s="39">
        <v>0.909090909090909</v>
      </c>
      <c r="F188" s="39">
        <v>0.96</v>
      </c>
      <c r="G188" s="39">
        <v>-0.857142857142857</v>
      </c>
      <c r="H188" s="39">
        <v>-0.00595238095238093</v>
      </c>
      <c r="I188" s="39">
        <v>0.991735537190082</v>
      </c>
    </row>
    <row r="189">
      <c r="A189" s="33">
        <v>202.0</v>
      </c>
      <c r="B189" s="33" t="s">
        <v>1011</v>
      </c>
      <c r="C189" s="33" t="s">
        <v>825</v>
      </c>
      <c r="D189" s="39">
        <v>0.714285714285714</v>
      </c>
      <c r="E189" s="39">
        <v>0.909090909090909</v>
      </c>
      <c r="F189" s="39">
        <v>0.96</v>
      </c>
      <c r="G189" s="39">
        <v>-0.857142857142857</v>
      </c>
      <c r="H189" s="39">
        <v>-0.0153061224489795</v>
      </c>
      <c r="I189" s="39">
        <v>0.979020979020979</v>
      </c>
    </row>
    <row r="190">
      <c r="A190" s="33">
        <v>159.0</v>
      </c>
      <c r="B190" s="33" t="s">
        <v>1007</v>
      </c>
      <c r="C190" s="33" t="s">
        <v>837</v>
      </c>
      <c r="D190" s="39">
        <v>0.714285714285714</v>
      </c>
      <c r="E190" s="39">
        <v>0.895522388059701</v>
      </c>
      <c r="F190" s="39">
        <v>0.95364238410596</v>
      </c>
      <c r="G190" s="39">
        <v>-0.880952380952381</v>
      </c>
      <c r="H190" s="39">
        <v>-0.0168650793650794</v>
      </c>
      <c r="I190" s="39">
        <v>0.976933514246947</v>
      </c>
    </row>
    <row r="191">
      <c r="A191" s="33">
        <v>160.0</v>
      </c>
      <c r="B191" s="33" t="s">
        <v>1007</v>
      </c>
      <c r="C191" s="33" t="s">
        <v>848</v>
      </c>
      <c r="D191" s="39">
        <v>0.714285714285714</v>
      </c>
      <c r="E191" s="39">
        <v>0.895522388059701</v>
      </c>
      <c r="F191" s="39">
        <v>0.95364238410596</v>
      </c>
      <c r="G191" s="39">
        <v>-0.880952380952381</v>
      </c>
      <c r="H191" s="39">
        <v>-0.0168650793650794</v>
      </c>
      <c r="I191" s="39">
        <v>0.976933514246947</v>
      </c>
    </row>
    <row r="192">
      <c r="A192" s="33">
        <v>161.0</v>
      </c>
      <c r="B192" s="33" t="s">
        <v>991</v>
      </c>
      <c r="C192" s="33" t="s">
        <v>848</v>
      </c>
      <c r="D192" s="39">
        <v>0.714285714285714</v>
      </c>
      <c r="E192" s="39">
        <v>0.895522388059701</v>
      </c>
      <c r="F192" s="39">
        <v>0.95364238410596</v>
      </c>
      <c r="G192" s="39">
        <v>-0.880952380952381</v>
      </c>
      <c r="H192" s="39">
        <v>-0.0168650793650794</v>
      </c>
      <c r="I192" s="39">
        <v>0.976933514246947</v>
      </c>
    </row>
    <row r="193">
      <c r="A193" s="33">
        <v>162.0</v>
      </c>
      <c r="B193" s="33" t="s">
        <v>992</v>
      </c>
      <c r="C193" s="33" t="s">
        <v>837</v>
      </c>
      <c r="D193" s="39">
        <v>0.714285714285714</v>
      </c>
      <c r="E193" s="39">
        <v>0.895522388059701</v>
      </c>
      <c r="F193" s="39">
        <v>0.95364238410596</v>
      </c>
      <c r="G193" s="39">
        <v>-0.880952380952381</v>
      </c>
      <c r="H193" s="39">
        <v>-0.0168650793650794</v>
      </c>
      <c r="I193" s="39">
        <v>0.976933514246947</v>
      </c>
    </row>
    <row r="194">
      <c r="A194" s="36">
        <v>133.0</v>
      </c>
      <c r="B194" s="36" t="s">
        <v>64</v>
      </c>
      <c r="C194" s="36" t="s">
        <v>840</v>
      </c>
      <c r="D194" s="45">
        <v>0.714285714285714</v>
      </c>
      <c r="E194" s="45">
        <v>0.869565217391304</v>
      </c>
      <c r="F194" s="45">
        <v>0.941176470588235</v>
      </c>
      <c r="G194" s="45">
        <v>-0.928571428571428</v>
      </c>
      <c r="H194" s="45">
        <v>0.0199829931972789</v>
      </c>
      <c r="I194" s="45">
        <v>1.0287813839559</v>
      </c>
    </row>
    <row r="195">
      <c r="A195" s="33">
        <v>134.0</v>
      </c>
      <c r="B195" s="33" t="s">
        <v>830</v>
      </c>
      <c r="C195" s="33" t="s">
        <v>988</v>
      </c>
      <c r="D195" s="39">
        <v>0.714285714285714</v>
      </c>
      <c r="E195" s="39">
        <v>0.869565217391304</v>
      </c>
      <c r="F195" s="39">
        <v>0.941176470588235</v>
      </c>
      <c r="G195" s="39">
        <v>-0.928571428571428</v>
      </c>
      <c r="H195" s="39">
        <v>0.0199829931972789</v>
      </c>
      <c r="I195" s="39">
        <v>1.0287813839559</v>
      </c>
    </row>
    <row r="196">
      <c r="A196" s="33">
        <v>135.0</v>
      </c>
      <c r="B196" s="33" t="s">
        <v>830</v>
      </c>
      <c r="C196" s="33" t="s">
        <v>989</v>
      </c>
      <c r="D196" s="39">
        <v>0.714285714285714</v>
      </c>
      <c r="E196" s="39">
        <v>0.869565217391304</v>
      </c>
      <c r="F196" s="39">
        <v>0.941176470588235</v>
      </c>
      <c r="G196" s="39">
        <v>-0.928571428571428</v>
      </c>
      <c r="H196" s="39">
        <v>0.0199829931972789</v>
      </c>
      <c r="I196" s="39">
        <v>1.0287813839559</v>
      </c>
    </row>
    <row r="197">
      <c r="A197" s="33">
        <v>112.0</v>
      </c>
      <c r="B197" s="33" t="s">
        <v>971</v>
      </c>
      <c r="C197" s="33" t="s">
        <v>836</v>
      </c>
      <c r="D197" s="39">
        <v>0.714285714285714</v>
      </c>
      <c r="E197" s="39">
        <v>0.857142857142857</v>
      </c>
      <c r="F197" s="39">
        <v>0.935064935064935</v>
      </c>
      <c r="G197" s="39">
        <v>-0.952380952380952</v>
      </c>
      <c r="H197" s="39">
        <v>-0.0198412698412698</v>
      </c>
      <c r="I197" s="39">
        <v>0.972972972972973</v>
      </c>
    </row>
    <row r="198">
      <c r="A198" s="33">
        <v>113.0</v>
      </c>
      <c r="B198" s="33" t="s">
        <v>971</v>
      </c>
      <c r="C198" s="33" t="s">
        <v>840</v>
      </c>
      <c r="D198" s="39">
        <v>0.714285714285714</v>
      </c>
      <c r="E198" s="39">
        <v>0.857142857142857</v>
      </c>
      <c r="F198" s="39">
        <v>0.935064935064935</v>
      </c>
      <c r="G198" s="39">
        <v>-0.952380952380952</v>
      </c>
      <c r="H198" s="39">
        <v>0.00992063492063488</v>
      </c>
      <c r="I198" s="39">
        <v>1.01408450704225</v>
      </c>
    </row>
    <row r="199">
      <c r="A199" s="33">
        <v>114.0</v>
      </c>
      <c r="B199" s="33" t="s">
        <v>971</v>
      </c>
      <c r="C199" s="33" t="s">
        <v>1002</v>
      </c>
      <c r="D199" s="39">
        <v>0.714285714285714</v>
      </c>
      <c r="E199" s="39">
        <v>0.857142857142857</v>
      </c>
      <c r="F199" s="39">
        <v>0.935064935064935</v>
      </c>
      <c r="G199" s="39">
        <v>-0.952380952380952</v>
      </c>
      <c r="H199" s="39">
        <v>0.0</v>
      </c>
      <c r="I199" s="39">
        <v>1.0</v>
      </c>
    </row>
    <row r="200">
      <c r="A200" s="36">
        <v>74.0</v>
      </c>
      <c r="B200" s="36" t="s">
        <v>840</v>
      </c>
      <c r="C200" s="36" t="s">
        <v>64</v>
      </c>
      <c r="D200" s="45">
        <v>0.714285714285714</v>
      </c>
      <c r="E200" s="45">
        <v>0.845070422535211</v>
      </c>
      <c r="F200" s="45">
        <v>0.929032258064516</v>
      </c>
      <c r="G200" s="45">
        <v>-0.976190476190476</v>
      </c>
      <c r="H200" s="45">
        <v>0.0199829931972789</v>
      </c>
      <c r="I200" s="45">
        <v>1.0287813839559</v>
      </c>
    </row>
    <row r="201">
      <c r="A201" s="33">
        <v>75.0</v>
      </c>
      <c r="B201" s="33" t="s">
        <v>841</v>
      </c>
      <c r="C201" s="33" t="s">
        <v>1002</v>
      </c>
      <c r="D201" s="39">
        <v>0.714285714285714</v>
      </c>
      <c r="E201" s="39">
        <v>0.845070422535211</v>
      </c>
      <c r="F201" s="39">
        <v>0.929032258064516</v>
      </c>
      <c r="G201" s="39">
        <v>-0.976190476190476</v>
      </c>
      <c r="H201" s="39">
        <v>-0.0102040816326529</v>
      </c>
      <c r="I201" s="39">
        <v>0.985915492957746</v>
      </c>
    </row>
    <row r="202">
      <c r="A202" s="33">
        <v>76.0</v>
      </c>
      <c r="B202" s="33" t="s">
        <v>840</v>
      </c>
      <c r="C202" s="33" t="s">
        <v>1003</v>
      </c>
      <c r="D202" s="39">
        <v>0.714285714285714</v>
      </c>
      <c r="E202" s="39">
        <v>0.845070422535211</v>
      </c>
      <c r="F202" s="39">
        <v>0.929032258064516</v>
      </c>
      <c r="G202" s="39">
        <v>-0.976190476190476</v>
      </c>
      <c r="H202" s="39">
        <v>-0.0102040816326529</v>
      </c>
      <c r="I202" s="39">
        <v>0.985915492957746</v>
      </c>
    </row>
    <row r="203">
      <c r="A203" s="33">
        <v>77.0</v>
      </c>
      <c r="B203" s="33" t="s">
        <v>841</v>
      </c>
      <c r="C203" s="33" t="s">
        <v>1004</v>
      </c>
      <c r="D203" s="39">
        <v>0.714285714285714</v>
      </c>
      <c r="E203" s="39">
        <v>0.845070422535211</v>
      </c>
      <c r="F203" s="39">
        <v>0.929032258064516</v>
      </c>
      <c r="G203" s="39">
        <v>-0.976190476190476</v>
      </c>
      <c r="H203" s="39">
        <v>-0.0102040816326529</v>
      </c>
      <c r="I203" s="39">
        <v>0.985915492957746</v>
      </c>
    </row>
    <row r="204">
      <c r="A204" s="33">
        <v>78.0</v>
      </c>
      <c r="B204" s="33" t="s">
        <v>988</v>
      </c>
      <c r="C204" s="33" t="s">
        <v>830</v>
      </c>
      <c r="D204" s="39">
        <v>0.714285714285714</v>
      </c>
      <c r="E204" s="39">
        <v>0.845070422535211</v>
      </c>
      <c r="F204" s="39">
        <v>0.929032258064516</v>
      </c>
      <c r="G204" s="39">
        <v>-0.976190476190476</v>
      </c>
      <c r="H204" s="39">
        <v>0.0199829931972789</v>
      </c>
      <c r="I204" s="39">
        <v>1.0287813839559</v>
      </c>
    </row>
    <row r="205">
      <c r="A205" s="33">
        <v>79.0</v>
      </c>
      <c r="B205" s="33" t="s">
        <v>989</v>
      </c>
      <c r="C205" s="33" t="s">
        <v>841</v>
      </c>
      <c r="D205" s="39">
        <v>0.714285714285714</v>
      </c>
      <c r="E205" s="39">
        <v>0.845070422535211</v>
      </c>
      <c r="F205" s="39">
        <v>0.929032258064516</v>
      </c>
      <c r="G205" s="39">
        <v>-0.976190476190476</v>
      </c>
      <c r="H205" s="39">
        <v>-1.41723356009038E-4</v>
      </c>
      <c r="I205" s="39">
        <v>0.999801626661376</v>
      </c>
    </row>
    <row r="206">
      <c r="A206" s="33">
        <v>80.0</v>
      </c>
      <c r="B206" s="33" t="s">
        <v>841</v>
      </c>
      <c r="C206" s="33" t="s">
        <v>989</v>
      </c>
      <c r="D206" s="39">
        <v>0.714285714285714</v>
      </c>
      <c r="E206" s="39">
        <v>0.845070422535211</v>
      </c>
      <c r="F206" s="39">
        <v>0.929032258064516</v>
      </c>
      <c r="G206" s="39">
        <v>-0.976190476190476</v>
      </c>
      <c r="H206" s="39">
        <v>-1.41723356009038E-4</v>
      </c>
      <c r="I206" s="39">
        <v>0.999801626661376</v>
      </c>
    </row>
    <row r="207">
      <c r="A207" s="33">
        <v>81.0</v>
      </c>
      <c r="B207" s="33" t="s">
        <v>989</v>
      </c>
      <c r="C207" s="33" t="s">
        <v>840</v>
      </c>
      <c r="D207" s="39">
        <v>0.714285714285714</v>
      </c>
      <c r="E207" s="39">
        <v>0.845070422535211</v>
      </c>
      <c r="F207" s="39">
        <v>0.929032258064516</v>
      </c>
      <c r="G207" s="39">
        <v>-0.976190476190476</v>
      </c>
      <c r="H207" s="39">
        <v>-1.41723356009038E-4</v>
      </c>
      <c r="I207" s="39">
        <v>0.999801626661376</v>
      </c>
    </row>
    <row r="208">
      <c r="A208" s="33">
        <v>82.0</v>
      </c>
      <c r="B208" s="33" t="s">
        <v>840</v>
      </c>
      <c r="C208" s="33" t="s">
        <v>989</v>
      </c>
      <c r="D208" s="39">
        <v>0.714285714285714</v>
      </c>
      <c r="E208" s="39">
        <v>0.845070422535211</v>
      </c>
      <c r="F208" s="39">
        <v>0.929032258064516</v>
      </c>
      <c r="G208" s="39">
        <v>-0.976190476190476</v>
      </c>
      <c r="H208" s="39">
        <v>-1.41723356009038E-4</v>
      </c>
      <c r="I208" s="39">
        <v>0.999801626661376</v>
      </c>
    </row>
    <row r="209">
      <c r="A209" s="33">
        <v>83.0</v>
      </c>
      <c r="B209" s="33" t="s">
        <v>989</v>
      </c>
      <c r="C209" s="33" t="s">
        <v>830</v>
      </c>
      <c r="D209" s="39">
        <v>0.714285714285714</v>
      </c>
      <c r="E209" s="39">
        <v>0.845070422535211</v>
      </c>
      <c r="F209" s="39">
        <v>0.929032258064516</v>
      </c>
      <c r="G209" s="39">
        <v>-0.976190476190476</v>
      </c>
      <c r="H209" s="39">
        <v>0.0199829931972789</v>
      </c>
      <c r="I209" s="39">
        <v>1.0287813839559</v>
      </c>
    </row>
    <row r="210">
      <c r="A210" s="33">
        <v>84.0</v>
      </c>
      <c r="B210" s="33" t="s">
        <v>840</v>
      </c>
      <c r="C210" s="33" t="s">
        <v>971</v>
      </c>
      <c r="D210" s="39">
        <v>0.714285714285714</v>
      </c>
      <c r="E210" s="39">
        <v>0.845070422535211</v>
      </c>
      <c r="F210" s="39">
        <v>0.929032258064516</v>
      </c>
      <c r="G210" s="39">
        <v>-0.976190476190476</v>
      </c>
      <c r="H210" s="39">
        <v>0.00992063492063488</v>
      </c>
      <c r="I210" s="39">
        <v>1.01408450704225</v>
      </c>
    </row>
    <row r="211">
      <c r="A211" s="33">
        <v>85.0</v>
      </c>
      <c r="B211" s="33" t="s">
        <v>988</v>
      </c>
      <c r="C211" s="33" t="s">
        <v>1004</v>
      </c>
      <c r="D211" s="39">
        <v>0.714285714285714</v>
      </c>
      <c r="E211" s="39">
        <v>0.845070422535211</v>
      </c>
      <c r="F211" s="39">
        <v>0.929032258064516</v>
      </c>
      <c r="G211" s="39">
        <v>-0.976190476190476</v>
      </c>
      <c r="H211" s="39">
        <v>-0.0102040816326529</v>
      </c>
      <c r="I211" s="39">
        <v>0.985915492957746</v>
      </c>
    </row>
    <row r="212">
      <c r="A212" s="33">
        <v>86.0</v>
      </c>
      <c r="B212" s="33" t="s">
        <v>989</v>
      </c>
      <c r="C212" s="33" t="s">
        <v>1003</v>
      </c>
      <c r="D212" s="39">
        <v>0.714285714285714</v>
      </c>
      <c r="E212" s="39">
        <v>0.845070422535211</v>
      </c>
      <c r="F212" s="39">
        <v>0.929032258064516</v>
      </c>
      <c r="G212" s="39">
        <v>-0.976190476190476</v>
      </c>
      <c r="H212" s="39">
        <v>-0.0102040816326529</v>
      </c>
      <c r="I212" s="39">
        <v>0.985915492957746</v>
      </c>
    </row>
    <row r="213">
      <c r="A213" s="33">
        <v>56.0</v>
      </c>
      <c r="B213" s="33" t="s">
        <v>1002</v>
      </c>
      <c r="C213" s="33" t="s">
        <v>841</v>
      </c>
      <c r="D213" s="39">
        <v>0.714285714285714</v>
      </c>
      <c r="E213" s="39">
        <v>0.833333333333333</v>
      </c>
      <c r="F213" s="39">
        <v>0.923076923076923</v>
      </c>
      <c r="G213" s="39">
        <v>-0.999999999999999</v>
      </c>
      <c r="H213" s="39">
        <v>-0.0102040816326529</v>
      </c>
      <c r="I213" s="39">
        <v>0.985915492957746</v>
      </c>
    </row>
    <row r="214">
      <c r="A214" s="33">
        <v>57.0</v>
      </c>
      <c r="B214" s="33" t="s">
        <v>1003</v>
      </c>
      <c r="C214" s="33" t="s">
        <v>840</v>
      </c>
      <c r="D214" s="39">
        <v>0.714285714285714</v>
      </c>
      <c r="E214" s="39">
        <v>0.833333333333333</v>
      </c>
      <c r="F214" s="39">
        <v>0.923076923076923</v>
      </c>
      <c r="G214" s="39">
        <v>-0.999999999999999</v>
      </c>
      <c r="H214" s="39">
        <v>-0.0102040816326529</v>
      </c>
      <c r="I214" s="39">
        <v>0.985915492957746</v>
      </c>
    </row>
    <row r="215">
      <c r="A215" s="33">
        <v>59.0</v>
      </c>
      <c r="B215" s="33" t="s">
        <v>1004</v>
      </c>
      <c r="C215" s="33" t="s">
        <v>841</v>
      </c>
      <c r="D215" s="39">
        <v>0.714285714285714</v>
      </c>
      <c r="E215" s="39">
        <v>0.833333333333333</v>
      </c>
      <c r="F215" s="39">
        <v>0.923076923076923</v>
      </c>
      <c r="G215" s="39">
        <v>-0.999999999999999</v>
      </c>
      <c r="H215" s="39">
        <v>-0.0102040816326529</v>
      </c>
      <c r="I215" s="39">
        <v>0.985915492957746</v>
      </c>
    </row>
    <row r="216">
      <c r="A216" s="33">
        <v>60.0</v>
      </c>
      <c r="B216" s="33" t="s">
        <v>1002</v>
      </c>
      <c r="C216" s="33" t="s">
        <v>971</v>
      </c>
      <c r="D216" s="39">
        <v>0.714285714285714</v>
      </c>
      <c r="E216" s="39">
        <v>0.833333333333333</v>
      </c>
      <c r="F216" s="39">
        <v>0.923076923076923</v>
      </c>
      <c r="G216" s="39">
        <v>-0.999999999999999</v>
      </c>
      <c r="H216" s="39">
        <v>0.0</v>
      </c>
      <c r="I216" s="39">
        <v>1.0</v>
      </c>
    </row>
    <row r="217">
      <c r="A217" s="33">
        <v>61.0</v>
      </c>
      <c r="B217" s="33" t="s">
        <v>1003</v>
      </c>
      <c r="C217" s="33" t="s">
        <v>989</v>
      </c>
      <c r="D217" s="39">
        <v>0.714285714285714</v>
      </c>
      <c r="E217" s="39">
        <v>0.833333333333333</v>
      </c>
      <c r="F217" s="39">
        <v>0.923076923076923</v>
      </c>
      <c r="G217" s="39">
        <v>-0.999999999999999</v>
      </c>
      <c r="H217" s="39">
        <v>-0.0102040816326529</v>
      </c>
      <c r="I217" s="39">
        <v>0.985915492957746</v>
      </c>
    </row>
    <row r="218">
      <c r="A218" s="33">
        <v>62.0</v>
      </c>
      <c r="B218" s="33" t="s">
        <v>1004</v>
      </c>
      <c r="C218" s="33" t="s">
        <v>988</v>
      </c>
      <c r="D218" s="39">
        <v>0.714285714285714</v>
      </c>
      <c r="E218" s="39">
        <v>0.833333333333333</v>
      </c>
      <c r="F218" s="39">
        <v>0.923076923076923</v>
      </c>
      <c r="G218" s="39">
        <v>-0.999999999999999</v>
      </c>
      <c r="H218" s="39">
        <v>-0.0102040816326529</v>
      </c>
      <c r="I218" s="39">
        <v>0.985915492957746</v>
      </c>
    </row>
    <row r="219">
      <c r="A219" s="33">
        <v>14.0</v>
      </c>
      <c r="B219" s="33" t="s">
        <v>836</v>
      </c>
      <c r="C219" s="33" t="s">
        <v>971</v>
      </c>
      <c r="D219" s="39">
        <v>0.714285714285714</v>
      </c>
      <c r="E219" s="39">
        <v>0.81081081081081</v>
      </c>
      <c r="F219" s="39">
        <v>0.911392405063291</v>
      </c>
      <c r="G219" s="39">
        <v>-1.04761904761904</v>
      </c>
      <c r="H219" s="39">
        <v>-0.0198412698412698</v>
      </c>
      <c r="I219" s="39">
        <v>0.972972972972973</v>
      </c>
    </row>
    <row r="220">
      <c r="A220" s="33">
        <v>287.0</v>
      </c>
      <c r="B220" s="33" t="s">
        <v>829</v>
      </c>
      <c r="C220" s="33" t="s">
        <v>825</v>
      </c>
      <c r="D220" s="39">
        <v>0.702380952380952</v>
      </c>
      <c r="E220" s="39">
        <v>0.967213114754098</v>
      </c>
      <c r="F220" s="39">
        <v>0.986206896551724</v>
      </c>
      <c r="G220" s="39">
        <v>-0.75</v>
      </c>
      <c r="H220" s="39">
        <v>0.0280612244897958</v>
      </c>
      <c r="I220" s="39">
        <v>1.04161412358133</v>
      </c>
    </row>
    <row r="221">
      <c r="A221" s="33">
        <v>288.0</v>
      </c>
      <c r="B221" s="33" t="s">
        <v>962</v>
      </c>
      <c r="C221" s="33" t="s">
        <v>826</v>
      </c>
      <c r="D221" s="39">
        <v>0.702380952380952</v>
      </c>
      <c r="E221" s="39">
        <v>0.967213114754098</v>
      </c>
      <c r="F221" s="39">
        <v>0.986206896551724</v>
      </c>
      <c r="G221" s="39">
        <v>-0.75</v>
      </c>
      <c r="H221" s="39">
        <v>0.0280612244897958</v>
      </c>
      <c r="I221" s="39">
        <v>1.04161412358133</v>
      </c>
    </row>
    <row r="222">
      <c r="A222" s="33">
        <v>280.0</v>
      </c>
      <c r="B222" s="33" t="s">
        <v>967</v>
      </c>
      <c r="C222" s="33" t="s">
        <v>826</v>
      </c>
      <c r="D222" s="39">
        <v>0.702380952380952</v>
      </c>
      <c r="E222" s="39">
        <v>0.951612903225806</v>
      </c>
      <c r="F222" s="39">
        <v>0.97945205479452</v>
      </c>
      <c r="G222" s="39">
        <v>-0.773809523809524</v>
      </c>
      <c r="H222" s="39">
        <v>0.0170068027210883</v>
      </c>
      <c r="I222" s="39">
        <v>1.02481389578163</v>
      </c>
    </row>
    <row r="223">
      <c r="A223" s="33">
        <v>281.0</v>
      </c>
      <c r="B223" s="33" t="s">
        <v>968</v>
      </c>
      <c r="C223" s="33" t="s">
        <v>826</v>
      </c>
      <c r="D223" s="39">
        <v>0.702380952380952</v>
      </c>
      <c r="E223" s="39">
        <v>0.951612903225806</v>
      </c>
      <c r="F223" s="39">
        <v>0.97945205479452</v>
      </c>
      <c r="G223" s="39">
        <v>-0.773809523809524</v>
      </c>
      <c r="H223" s="39">
        <v>0.0170068027210883</v>
      </c>
      <c r="I223" s="39">
        <v>1.02481389578163</v>
      </c>
    </row>
    <row r="224">
      <c r="A224" s="33">
        <v>282.0</v>
      </c>
      <c r="B224" s="33" t="s">
        <v>970</v>
      </c>
      <c r="C224" s="33" t="s">
        <v>826</v>
      </c>
      <c r="D224" s="39">
        <v>0.702380952380952</v>
      </c>
      <c r="E224" s="39">
        <v>0.951612903225806</v>
      </c>
      <c r="F224" s="39">
        <v>0.97945205479452</v>
      </c>
      <c r="G224" s="39">
        <v>-0.773809523809524</v>
      </c>
      <c r="H224" s="39">
        <v>0.0170068027210883</v>
      </c>
      <c r="I224" s="39">
        <v>1.02481389578163</v>
      </c>
    </row>
    <row r="225">
      <c r="A225" s="33">
        <v>266.0</v>
      </c>
      <c r="B225" s="33" t="s">
        <v>979</v>
      </c>
      <c r="C225" s="33" t="s">
        <v>826</v>
      </c>
      <c r="D225" s="39">
        <v>0.702380952380952</v>
      </c>
      <c r="E225" s="39">
        <v>0.936507936507936</v>
      </c>
      <c r="F225" s="39">
        <v>0.972789115646258</v>
      </c>
      <c r="G225" s="39">
        <v>-0.797619047619047</v>
      </c>
      <c r="H225" s="39">
        <v>0.00595238095238093</v>
      </c>
      <c r="I225" s="39">
        <v>1.008547008547</v>
      </c>
    </row>
    <row r="226">
      <c r="A226" s="33">
        <v>267.0</v>
      </c>
      <c r="B226" s="33" t="s">
        <v>980</v>
      </c>
      <c r="C226" s="33" t="s">
        <v>848</v>
      </c>
      <c r="D226" s="39">
        <v>0.702380952380952</v>
      </c>
      <c r="E226" s="39">
        <v>0.936507936507936</v>
      </c>
      <c r="F226" s="39">
        <v>0.972789115646258</v>
      </c>
      <c r="G226" s="39">
        <v>-0.797619047619047</v>
      </c>
      <c r="H226" s="39">
        <v>0.0148809523809523</v>
      </c>
      <c r="I226" s="39">
        <v>1.02164502164502</v>
      </c>
    </row>
    <row r="227">
      <c r="A227" s="33">
        <v>268.0</v>
      </c>
      <c r="B227" s="33" t="s">
        <v>986</v>
      </c>
      <c r="C227" s="33" t="s">
        <v>848</v>
      </c>
      <c r="D227" s="39">
        <v>0.702380952380952</v>
      </c>
      <c r="E227" s="39">
        <v>0.936507936507936</v>
      </c>
      <c r="F227" s="39">
        <v>0.972789115646258</v>
      </c>
      <c r="G227" s="39">
        <v>-0.797619047619047</v>
      </c>
      <c r="H227" s="39">
        <v>0.0148809523809523</v>
      </c>
      <c r="I227" s="39">
        <v>1.02164502164502</v>
      </c>
    </row>
    <row r="228">
      <c r="A228" s="33">
        <v>269.0</v>
      </c>
      <c r="B228" s="33" t="s">
        <v>987</v>
      </c>
      <c r="C228" s="33" t="s">
        <v>848</v>
      </c>
      <c r="D228" s="39">
        <v>0.702380952380952</v>
      </c>
      <c r="E228" s="39">
        <v>0.936507936507936</v>
      </c>
      <c r="F228" s="39">
        <v>0.972789115646258</v>
      </c>
      <c r="G228" s="39">
        <v>-0.797619047619047</v>
      </c>
      <c r="H228" s="39">
        <v>0.0148809523809523</v>
      </c>
      <c r="I228" s="39">
        <v>1.02164502164502</v>
      </c>
    </row>
    <row r="229">
      <c r="A229" s="33">
        <v>233.0</v>
      </c>
      <c r="B229" s="33" t="s">
        <v>998</v>
      </c>
      <c r="C229" s="33" t="s">
        <v>825</v>
      </c>
      <c r="D229" s="39">
        <v>0.702380952380952</v>
      </c>
      <c r="E229" s="39">
        <v>0.921875</v>
      </c>
      <c r="F229" s="39">
        <v>0.966216216216216</v>
      </c>
      <c r="G229" s="39">
        <v>-0.821428571428571</v>
      </c>
      <c r="H229" s="39">
        <v>-0.00510204081632659</v>
      </c>
      <c r="I229" s="39">
        <v>0.992788461538461</v>
      </c>
    </row>
    <row r="230">
      <c r="A230" s="33">
        <v>234.0</v>
      </c>
      <c r="B230" s="33" t="s">
        <v>999</v>
      </c>
      <c r="C230" s="33" t="s">
        <v>826</v>
      </c>
      <c r="D230" s="39">
        <v>0.702380952380952</v>
      </c>
      <c r="E230" s="39">
        <v>0.921875</v>
      </c>
      <c r="F230" s="39">
        <v>0.966216216216216</v>
      </c>
      <c r="G230" s="39">
        <v>-0.821428571428571</v>
      </c>
      <c r="H230" s="39">
        <v>-0.00510204081632659</v>
      </c>
      <c r="I230" s="39">
        <v>0.992788461538461</v>
      </c>
    </row>
    <row r="231">
      <c r="A231" s="33">
        <v>235.0</v>
      </c>
      <c r="B231" s="33" t="s">
        <v>998</v>
      </c>
      <c r="C231" s="33" t="s">
        <v>837</v>
      </c>
      <c r="D231" s="39">
        <v>0.702380952380952</v>
      </c>
      <c r="E231" s="39">
        <v>0.921875</v>
      </c>
      <c r="F231" s="39">
        <v>0.966216216216216</v>
      </c>
      <c r="G231" s="39">
        <v>-0.821428571428571</v>
      </c>
      <c r="H231" s="39">
        <v>0.00396825396825395</v>
      </c>
      <c r="I231" s="39">
        <v>1.00568181818181</v>
      </c>
    </row>
    <row r="232">
      <c r="A232" s="33">
        <v>236.0</v>
      </c>
      <c r="B232" s="33" t="s">
        <v>999</v>
      </c>
      <c r="C232" s="33" t="s">
        <v>825</v>
      </c>
      <c r="D232" s="39">
        <v>0.702380952380952</v>
      </c>
      <c r="E232" s="39">
        <v>0.921875</v>
      </c>
      <c r="F232" s="39">
        <v>0.966216216216216</v>
      </c>
      <c r="G232" s="39">
        <v>-0.821428571428571</v>
      </c>
      <c r="H232" s="39">
        <v>-0.00510204081632659</v>
      </c>
      <c r="I232" s="39">
        <v>0.992788461538461</v>
      </c>
    </row>
    <row r="233">
      <c r="A233" s="33">
        <v>237.0</v>
      </c>
      <c r="B233" s="33" t="s">
        <v>1000</v>
      </c>
      <c r="C233" s="33" t="s">
        <v>825</v>
      </c>
      <c r="D233" s="39">
        <v>0.702380952380952</v>
      </c>
      <c r="E233" s="39">
        <v>0.921875</v>
      </c>
      <c r="F233" s="39">
        <v>0.966216216216216</v>
      </c>
      <c r="G233" s="39">
        <v>-0.821428571428571</v>
      </c>
      <c r="H233" s="39">
        <v>-0.00510204081632659</v>
      </c>
      <c r="I233" s="39">
        <v>0.992788461538461</v>
      </c>
    </row>
    <row r="234">
      <c r="A234" s="33">
        <v>179.0</v>
      </c>
      <c r="B234" s="33" t="s">
        <v>975</v>
      </c>
      <c r="C234" s="33" t="s">
        <v>825</v>
      </c>
      <c r="D234" s="39">
        <v>0.702380952380952</v>
      </c>
      <c r="E234" s="39">
        <v>0.907692307692307</v>
      </c>
      <c r="F234" s="39">
        <v>0.959731543624161</v>
      </c>
      <c r="G234" s="39">
        <v>-0.845238095238095</v>
      </c>
      <c r="H234" s="39">
        <v>-0.0161564625850341</v>
      </c>
      <c r="I234" s="39">
        <v>0.977514792899408</v>
      </c>
    </row>
    <row r="235">
      <c r="A235" s="33">
        <v>180.0</v>
      </c>
      <c r="B235" s="33" t="s">
        <v>997</v>
      </c>
      <c r="C235" s="33" t="s">
        <v>826</v>
      </c>
      <c r="D235" s="39">
        <v>0.702380952380952</v>
      </c>
      <c r="E235" s="39">
        <v>0.907692307692307</v>
      </c>
      <c r="F235" s="39">
        <v>0.959731543624161</v>
      </c>
      <c r="G235" s="39">
        <v>-0.845238095238095</v>
      </c>
      <c r="H235" s="39">
        <v>-0.0161564625850341</v>
      </c>
      <c r="I235" s="39">
        <v>0.977514792899408</v>
      </c>
    </row>
    <row r="236">
      <c r="A236" s="33">
        <v>181.0</v>
      </c>
      <c r="B236" s="33" t="s">
        <v>994</v>
      </c>
      <c r="C236" s="33" t="s">
        <v>837</v>
      </c>
      <c r="D236" s="39">
        <v>0.702380952380952</v>
      </c>
      <c r="E236" s="39">
        <v>0.907692307692307</v>
      </c>
      <c r="F236" s="39">
        <v>0.959731543624161</v>
      </c>
      <c r="G236" s="39">
        <v>-0.845238095238095</v>
      </c>
      <c r="H236" s="39">
        <v>-0.00694444444444453</v>
      </c>
      <c r="I236" s="39">
        <v>0.99020979020979</v>
      </c>
    </row>
    <row r="237">
      <c r="A237" s="33">
        <v>182.0</v>
      </c>
      <c r="B237" s="33" t="s">
        <v>957</v>
      </c>
      <c r="C237" s="33" t="s">
        <v>825</v>
      </c>
      <c r="D237" s="39">
        <v>0.702380952380952</v>
      </c>
      <c r="E237" s="39">
        <v>0.907692307692307</v>
      </c>
      <c r="F237" s="39">
        <v>0.959731543624161</v>
      </c>
      <c r="G237" s="39">
        <v>-0.845238095238095</v>
      </c>
      <c r="H237" s="39">
        <v>-0.0161564625850341</v>
      </c>
      <c r="I237" s="39">
        <v>0.977514792899408</v>
      </c>
    </row>
    <row r="238">
      <c r="A238" s="33">
        <v>183.0</v>
      </c>
      <c r="B238" s="33" t="s">
        <v>997</v>
      </c>
      <c r="C238" s="33" t="s">
        <v>837</v>
      </c>
      <c r="D238" s="39">
        <v>0.702380952380952</v>
      </c>
      <c r="E238" s="39">
        <v>0.907692307692307</v>
      </c>
      <c r="F238" s="39">
        <v>0.959731543624161</v>
      </c>
      <c r="G238" s="39">
        <v>-0.845238095238095</v>
      </c>
      <c r="H238" s="39">
        <v>-0.00694444444444453</v>
      </c>
      <c r="I238" s="39">
        <v>0.99020979020979</v>
      </c>
    </row>
    <row r="239">
      <c r="A239" s="33">
        <v>184.0</v>
      </c>
      <c r="B239" s="33" t="s">
        <v>995</v>
      </c>
      <c r="C239" s="33" t="s">
        <v>825</v>
      </c>
      <c r="D239" s="39">
        <v>0.702380952380952</v>
      </c>
      <c r="E239" s="39">
        <v>0.907692307692307</v>
      </c>
      <c r="F239" s="39">
        <v>0.959731543624161</v>
      </c>
      <c r="G239" s="39">
        <v>-0.845238095238095</v>
      </c>
      <c r="H239" s="39">
        <v>-0.0161564625850341</v>
      </c>
      <c r="I239" s="39">
        <v>0.977514792899408</v>
      </c>
    </row>
    <row r="240">
      <c r="A240" s="33">
        <v>185.0</v>
      </c>
      <c r="B240" s="33" t="s">
        <v>976</v>
      </c>
      <c r="C240" s="33" t="s">
        <v>825</v>
      </c>
      <c r="D240" s="39">
        <v>0.702380952380952</v>
      </c>
      <c r="E240" s="39">
        <v>0.907692307692307</v>
      </c>
      <c r="F240" s="39">
        <v>0.959731543624161</v>
      </c>
      <c r="G240" s="39">
        <v>-0.845238095238095</v>
      </c>
      <c r="H240" s="39">
        <v>-0.0161564625850341</v>
      </c>
      <c r="I240" s="39">
        <v>0.977514792899408</v>
      </c>
    </row>
    <row r="241">
      <c r="A241" s="33">
        <v>186.0</v>
      </c>
      <c r="B241" s="33" t="s">
        <v>1012</v>
      </c>
      <c r="C241" s="33" t="s">
        <v>825</v>
      </c>
      <c r="D241" s="39">
        <v>0.702380952380952</v>
      </c>
      <c r="E241" s="39">
        <v>0.907692307692307</v>
      </c>
      <c r="F241" s="39">
        <v>0.959731543624161</v>
      </c>
      <c r="G241" s="39">
        <v>-0.845238095238095</v>
      </c>
      <c r="H241" s="39">
        <v>-0.0161564625850341</v>
      </c>
      <c r="I241" s="39">
        <v>0.977514792899408</v>
      </c>
    </row>
    <row r="242">
      <c r="A242" s="33">
        <v>187.0</v>
      </c>
      <c r="B242" s="33" t="s">
        <v>957</v>
      </c>
      <c r="C242" s="33" t="s">
        <v>1004</v>
      </c>
      <c r="D242" s="39">
        <v>0.702380952380952</v>
      </c>
      <c r="E242" s="39">
        <v>0.907692307692307</v>
      </c>
      <c r="F242" s="39">
        <v>0.959731543624161</v>
      </c>
      <c r="G242" s="39">
        <v>-0.845238095238095</v>
      </c>
      <c r="H242" s="39">
        <v>0.0391156462585033</v>
      </c>
      <c r="I242" s="39">
        <v>1.05897435897435</v>
      </c>
    </row>
    <row r="243">
      <c r="A243" s="33">
        <v>188.0</v>
      </c>
      <c r="B243" s="33" t="s">
        <v>1012</v>
      </c>
      <c r="C243" s="33" t="s">
        <v>837</v>
      </c>
      <c r="D243" s="39">
        <v>0.702380952380952</v>
      </c>
      <c r="E243" s="39">
        <v>0.907692307692307</v>
      </c>
      <c r="F243" s="39">
        <v>0.959731543624161</v>
      </c>
      <c r="G243" s="39">
        <v>-0.845238095238095</v>
      </c>
      <c r="H243" s="39">
        <v>-0.00694444444444453</v>
      </c>
      <c r="I243" s="39">
        <v>0.99020979020979</v>
      </c>
    </row>
    <row r="244">
      <c r="A244" s="36">
        <v>152.0</v>
      </c>
      <c r="B244" s="36" t="s">
        <v>843</v>
      </c>
      <c r="C244" s="36" t="s">
        <v>839</v>
      </c>
      <c r="D244" s="45">
        <v>0.702380952380952</v>
      </c>
      <c r="E244" s="45">
        <v>0.893939393939393</v>
      </c>
      <c r="F244" s="45">
        <v>0.953333333333333</v>
      </c>
      <c r="G244" s="45">
        <v>-0.869047619047619</v>
      </c>
      <c r="H244" s="45">
        <v>0.0289115646258503</v>
      </c>
      <c r="I244" s="45">
        <v>1.04292929292929</v>
      </c>
    </row>
    <row r="245">
      <c r="A245" s="33">
        <v>153.0</v>
      </c>
      <c r="B245" s="33" t="s">
        <v>964</v>
      </c>
      <c r="C245" s="33" t="s">
        <v>837</v>
      </c>
      <c r="D245" s="39">
        <v>0.702380952380952</v>
      </c>
      <c r="E245" s="39">
        <v>0.893939393939393</v>
      </c>
      <c r="F245" s="39">
        <v>0.953333333333333</v>
      </c>
      <c r="G245" s="39">
        <v>-0.869047619047619</v>
      </c>
      <c r="H245" s="39">
        <v>-0.0178571428571429</v>
      </c>
      <c r="I245" s="39">
        <v>0.975206611570247</v>
      </c>
    </row>
    <row r="246">
      <c r="A246" s="33">
        <v>154.0</v>
      </c>
      <c r="B246" s="33" t="s">
        <v>1008</v>
      </c>
      <c r="C246" s="33" t="s">
        <v>837</v>
      </c>
      <c r="D246" s="39">
        <v>0.702380952380952</v>
      </c>
      <c r="E246" s="39">
        <v>0.893939393939393</v>
      </c>
      <c r="F246" s="39">
        <v>0.953333333333333</v>
      </c>
      <c r="G246" s="39">
        <v>-0.869047619047619</v>
      </c>
      <c r="H246" s="39">
        <v>-0.0178571428571429</v>
      </c>
      <c r="I246" s="39">
        <v>0.975206611570247</v>
      </c>
    </row>
    <row r="247">
      <c r="A247" s="33">
        <v>155.0</v>
      </c>
      <c r="B247" s="33" t="s">
        <v>1008</v>
      </c>
      <c r="C247" s="33" t="s">
        <v>836</v>
      </c>
      <c r="D247" s="39">
        <v>0.702380952380952</v>
      </c>
      <c r="E247" s="39">
        <v>0.893939393939393</v>
      </c>
      <c r="F247" s="39">
        <v>0.953333333333333</v>
      </c>
      <c r="G247" s="39">
        <v>-0.869047619047619</v>
      </c>
      <c r="H247" s="39">
        <v>0.010204081632653</v>
      </c>
      <c r="I247" s="39">
        <v>1.01474201474201</v>
      </c>
    </row>
    <row r="248">
      <c r="A248" s="33">
        <v>156.0</v>
      </c>
      <c r="B248" s="33" t="s">
        <v>1010</v>
      </c>
      <c r="C248" s="33" t="s">
        <v>839</v>
      </c>
      <c r="D248" s="39">
        <v>0.702380952380952</v>
      </c>
      <c r="E248" s="39">
        <v>0.893939393939393</v>
      </c>
      <c r="F248" s="39">
        <v>0.953333333333333</v>
      </c>
      <c r="G248" s="39">
        <v>-0.869047619047619</v>
      </c>
      <c r="H248" s="39">
        <v>0.0289115646258503</v>
      </c>
      <c r="I248" s="39">
        <v>1.04292929292929</v>
      </c>
    </row>
    <row r="249">
      <c r="A249" s="33">
        <v>157.0</v>
      </c>
      <c r="B249" s="33" t="s">
        <v>964</v>
      </c>
      <c r="C249" s="33" t="s">
        <v>1004</v>
      </c>
      <c r="D249" s="39">
        <v>0.702380952380952</v>
      </c>
      <c r="E249" s="39">
        <v>0.893939393939393</v>
      </c>
      <c r="F249" s="39">
        <v>0.953333333333333</v>
      </c>
      <c r="G249" s="39">
        <v>-0.869047619047619</v>
      </c>
      <c r="H249" s="39">
        <v>0.0289115646258503</v>
      </c>
      <c r="I249" s="39">
        <v>1.04292929292929</v>
      </c>
    </row>
    <row r="250">
      <c r="A250" s="33">
        <v>158.0</v>
      </c>
      <c r="B250" s="33" t="s">
        <v>1011</v>
      </c>
      <c r="C250" s="33" t="s">
        <v>839</v>
      </c>
      <c r="D250" s="39">
        <v>0.702380952380952</v>
      </c>
      <c r="E250" s="39">
        <v>0.893939393939393</v>
      </c>
      <c r="F250" s="39">
        <v>0.953333333333333</v>
      </c>
      <c r="G250" s="39">
        <v>-0.869047619047619</v>
      </c>
      <c r="H250" s="39">
        <v>0.0289115646258503</v>
      </c>
      <c r="I250" s="39">
        <v>1.04292929292929</v>
      </c>
    </row>
    <row r="251">
      <c r="A251" s="33">
        <v>126.0</v>
      </c>
      <c r="B251" s="33" t="s">
        <v>842</v>
      </c>
      <c r="C251" s="33" t="s">
        <v>836</v>
      </c>
      <c r="D251" s="39">
        <v>0.702380952380952</v>
      </c>
      <c r="E251" s="39">
        <v>0.867647058823529</v>
      </c>
      <c r="F251" s="39">
        <v>0.94078947368421</v>
      </c>
      <c r="G251" s="39">
        <v>-0.916666666666666</v>
      </c>
      <c r="H251" s="39">
        <v>-0.0107709750566893</v>
      </c>
      <c r="I251" s="39">
        <v>0.984896661367249</v>
      </c>
    </row>
    <row r="252">
      <c r="A252" s="33">
        <v>127.0</v>
      </c>
      <c r="B252" s="33" t="s">
        <v>842</v>
      </c>
      <c r="C252" s="33" t="s">
        <v>1002</v>
      </c>
      <c r="D252" s="39">
        <v>0.702380952380952</v>
      </c>
      <c r="E252" s="39">
        <v>0.867647058823529</v>
      </c>
      <c r="F252" s="39">
        <v>0.94078947368421</v>
      </c>
      <c r="G252" s="39">
        <v>-0.916666666666666</v>
      </c>
      <c r="H252" s="39">
        <v>0.00850340136054417</v>
      </c>
      <c r="I252" s="39">
        <v>1.01225490196078</v>
      </c>
    </row>
    <row r="253">
      <c r="A253" s="33">
        <v>128.0</v>
      </c>
      <c r="B253" s="33" t="s">
        <v>842</v>
      </c>
      <c r="C253" s="33" t="s">
        <v>1003</v>
      </c>
      <c r="D253" s="39">
        <v>0.702380952380952</v>
      </c>
      <c r="E253" s="39">
        <v>0.867647058823529</v>
      </c>
      <c r="F253" s="39">
        <v>0.94078947368421</v>
      </c>
      <c r="G253" s="39">
        <v>-0.916666666666666</v>
      </c>
      <c r="H253" s="39">
        <v>0.00850340136054417</v>
      </c>
      <c r="I253" s="39">
        <v>1.01225490196078</v>
      </c>
    </row>
    <row r="254">
      <c r="A254" s="33">
        <v>129.0</v>
      </c>
      <c r="B254" s="33" t="s">
        <v>1005</v>
      </c>
      <c r="C254" s="33" t="s">
        <v>839</v>
      </c>
      <c r="D254" s="39">
        <v>0.702380952380952</v>
      </c>
      <c r="E254" s="39">
        <v>0.867647058823529</v>
      </c>
      <c r="F254" s="39">
        <v>0.94078947368421</v>
      </c>
      <c r="G254" s="39">
        <v>-0.916666666666666</v>
      </c>
      <c r="H254" s="39">
        <v>0.00850340136054417</v>
      </c>
      <c r="I254" s="39">
        <v>1.01225490196078</v>
      </c>
    </row>
    <row r="255">
      <c r="A255" s="33">
        <v>130.0</v>
      </c>
      <c r="B255" s="33" t="s">
        <v>1006</v>
      </c>
      <c r="C255" s="33" t="s">
        <v>841</v>
      </c>
      <c r="D255" s="39">
        <v>0.702380952380952</v>
      </c>
      <c r="E255" s="39">
        <v>0.867647058823529</v>
      </c>
      <c r="F255" s="39">
        <v>0.94078947368421</v>
      </c>
      <c r="G255" s="39">
        <v>-0.916666666666666</v>
      </c>
      <c r="H255" s="39">
        <v>0.0181405895691609</v>
      </c>
      <c r="I255" s="39">
        <v>1.026512013256</v>
      </c>
    </row>
    <row r="256">
      <c r="A256" s="33">
        <v>131.0</v>
      </c>
      <c r="B256" s="33" t="s">
        <v>963</v>
      </c>
      <c r="C256" s="33" t="s">
        <v>1002</v>
      </c>
      <c r="D256" s="39">
        <v>0.702380952380952</v>
      </c>
      <c r="E256" s="39">
        <v>0.867647058823529</v>
      </c>
      <c r="F256" s="39">
        <v>0.94078947368421</v>
      </c>
      <c r="G256" s="39">
        <v>-0.916666666666666</v>
      </c>
      <c r="H256" s="39">
        <v>0.00850340136054417</v>
      </c>
      <c r="I256" s="39">
        <v>1.01225490196078</v>
      </c>
    </row>
    <row r="257">
      <c r="A257" s="33">
        <v>132.0</v>
      </c>
      <c r="B257" s="33" t="s">
        <v>963</v>
      </c>
      <c r="C257" s="33" t="s">
        <v>1003</v>
      </c>
      <c r="D257" s="39">
        <v>0.702380952380952</v>
      </c>
      <c r="E257" s="39">
        <v>0.867647058823529</v>
      </c>
      <c r="F257" s="39">
        <v>0.94078947368421</v>
      </c>
      <c r="G257" s="39">
        <v>-0.916666666666666</v>
      </c>
      <c r="H257" s="39">
        <v>0.00850340136054417</v>
      </c>
      <c r="I257" s="39">
        <v>1.01225490196078</v>
      </c>
    </row>
    <row r="258">
      <c r="A258" s="33">
        <v>99.0</v>
      </c>
      <c r="B258" s="33" t="s">
        <v>830</v>
      </c>
      <c r="C258" s="33" t="s">
        <v>836</v>
      </c>
      <c r="D258" s="39">
        <v>0.702380952380952</v>
      </c>
      <c r="E258" s="39">
        <v>0.855072463768116</v>
      </c>
      <c r="F258" s="39">
        <v>0.934640522875817</v>
      </c>
      <c r="G258" s="39">
        <v>-0.94047619047619</v>
      </c>
      <c r="H258" s="39">
        <v>-0.0212585034013605</v>
      </c>
      <c r="I258" s="39">
        <v>0.970622796709753</v>
      </c>
    </row>
    <row r="259">
      <c r="A259" s="33">
        <v>100.0</v>
      </c>
      <c r="B259" s="33" t="s">
        <v>830</v>
      </c>
      <c r="C259" s="33" t="s">
        <v>839</v>
      </c>
      <c r="D259" s="39">
        <v>0.702380952380952</v>
      </c>
      <c r="E259" s="39">
        <v>0.855072463768116</v>
      </c>
      <c r="F259" s="39">
        <v>0.934640522875817</v>
      </c>
      <c r="G259" s="39">
        <v>-0.94047619047619</v>
      </c>
      <c r="H259" s="39">
        <v>-0.00170068027210879</v>
      </c>
      <c r="I259" s="39">
        <v>0.997584541062801</v>
      </c>
    </row>
    <row r="260">
      <c r="A260" s="36">
        <v>101.0</v>
      </c>
      <c r="B260" s="36" t="s">
        <v>64</v>
      </c>
      <c r="C260" s="36" t="s">
        <v>841</v>
      </c>
      <c r="D260" s="45">
        <v>0.702380952380952</v>
      </c>
      <c r="E260" s="45">
        <v>0.855072463768116</v>
      </c>
      <c r="F260" s="45">
        <v>0.934640522875817</v>
      </c>
      <c r="G260" s="45">
        <v>-0.94047619047619</v>
      </c>
      <c r="H260" s="45">
        <v>0.00807823129251694</v>
      </c>
      <c r="I260" s="45">
        <v>1.01163502755664</v>
      </c>
    </row>
    <row r="261">
      <c r="A261" s="33">
        <v>102.0</v>
      </c>
      <c r="B261" s="33" t="s">
        <v>830</v>
      </c>
      <c r="C261" s="33" t="s">
        <v>840</v>
      </c>
      <c r="D261" s="39">
        <v>0.702380952380952</v>
      </c>
      <c r="E261" s="39">
        <v>0.855072463768116</v>
      </c>
      <c r="F261" s="39">
        <v>0.934640522875817</v>
      </c>
      <c r="G261" s="39">
        <v>-0.94047619047619</v>
      </c>
      <c r="H261" s="39">
        <v>0.00807823129251694</v>
      </c>
      <c r="I261" s="39">
        <v>1.01163502755664</v>
      </c>
    </row>
    <row r="262">
      <c r="A262" s="33">
        <v>103.0</v>
      </c>
      <c r="B262" s="33" t="s">
        <v>972</v>
      </c>
      <c r="C262" s="33" t="s">
        <v>836</v>
      </c>
      <c r="D262" s="39">
        <v>0.702380952380952</v>
      </c>
      <c r="E262" s="39">
        <v>0.855072463768116</v>
      </c>
      <c r="F262" s="39">
        <v>0.934640522875817</v>
      </c>
      <c r="G262" s="39">
        <v>-0.94047619047619</v>
      </c>
      <c r="H262" s="39">
        <v>-0.0212585034013605</v>
      </c>
      <c r="I262" s="39">
        <v>0.970622796709753</v>
      </c>
    </row>
    <row r="263">
      <c r="A263" s="33">
        <v>104.0</v>
      </c>
      <c r="B263" s="33" t="s">
        <v>64</v>
      </c>
      <c r="C263" s="33" t="s">
        <v>989</v>
      </c>
      <c r="D263" s="39">
        <v>0.702380952380952</v>
      </c>
      <c r="E263" s="39">
        <v>0.855072463768116</v>
      </c>
      <c r="F263" s="39">
        <v>0.934640522875817</v>
      </c>
      <c r="G263" s="39">
        <v>-0.94047619047619</v>
      </c>
      <c r="H263" s="39">
        <v>0.00807823129251694</v>
      </c>
      <c r="I263" s="39">
        <v>1.01163502755664</v>
      </c>
    </row>
    <row r="264">
      <c r="A264" s="33">
        <v>105.0</v>
      </c>
      <c r="B264" s="33" t="s">
        <v>972</v>
      </c>
      <c r="C264" s="33" t="s">
        <v>989</v>
      </c>
      <c r="D264" s="39">
        <v>0.702380952380952</v>
      </c>
      <c r="E264" s="39">
        <v>0.855072463768116</v>
      </c>
      <c r="F264" s="39">
        <v>0.934640522875817</v>
      </c>
      <c r="G264" s="39">
        <v>-0.94047619047619</v>
      </c>
      <c r="H264" s="39">
        <v>0.00807823129251694</v>
      </c>
      <c r="I264" s="39">
        <v>1.01163502755664</v>
      </c>
    </row>
    <row r="265">
      <c r="A265" s="33">
        <v>106.0</v>
      </c>
      <c r="B265" s="33" t="s">
        <v>972</v>
      </c>
      <c r="C265" s="33" t="s">
        <v>971</v>
      </c>
      <c r="D265" s="39">
        <v>0.702380952380952</v>
      </c>
      <c r="E265" s="39">
        <v>0.855072463768116</v>
      </c>
      <c r="F265" s="39">
        <v>0.934640522875817</v>
      </c>
      <c r="G265" s="39">
        <v>-0.94047619047619</v>
      </c>
      <c r="H265" s="39">
        <v>0.0178571428571427</v>
      </c>
      <c r="I265" s="39">
        <v>1.02608695652173</v>
      </c>
    </row>
    <row r="266">
      <c r="A266" s="33">
        <v>68.0</v>
      </c>
      <c r="B266" s="33" t="s">
        <v>971</v>
      </c>
      <c r="C266" s="33" t="s">
        <v>972</v>
      </c>
      <c r="D266" s="39">
        <v>0.702380952380952</v>
      </c>
      <c r="E266" s="39">
        <v>0.842857142857142</v>
      </c>
      <c r="F266" s="39">
        <v>0.928571428571428</v>
      </c>
      <c r="G266" s="39">
        <v>-0.964285714285714</v>
      </c>
      <c r="H266" s="39">
        <v>0.0178571428571427</v>
      </c>
      <c r="I266" s="39">
        <v>1.02608695652173</v>
      </c>
    </row>
    <row r="267">
      <c r="A267" s="36">
        <v>37.0</v>
      </c>
      <c r="B267" s="36" t="s">
        <v>840</v>
      </c>
      <c r="C267" s="36" t="s">
        <v>839</v>
      </c>
      <c r="D267" s="45">
        <v>0.702380952380952</v>
      </c>
      <c r="E267" s="45">
        <v>0.830985915492957</v>
      </c>
      <c r="F267" s="45">
        <v>0.92258064516129</v>
      </c>
      <c r="G267" s="45">
        <v>-0.988095238095238</v>
      </c>
      <c r="H267" s="45">
        <v>-0.0221088435374149</v>
      </c>
      <c r="I267" s="45">
        <v>0.969483568075117</v>
      </c>
    </row>
    <row r="268">
      <c r="A268" s="36">
        <v>38.0</v>
      </c>
      <c r="B268" s="36" t="s">
        <v>841</v>
      </c>
      <c r="C268" s="36" t="s">
        <v>64</v>
      </c>
      <c r="D268" s="45">
        <v>0.702380952380952</v>
      </c>
      <c r="E268" s="45">
        <v>0.830985915492957</v>
      </c>
      <c r="F268" s="45">
        <v>0.92258064516129</v>
      </c>
      <c r="G268" s="45">
        <v>-0.988095238095238</v>
      </c>
      <c r="H268" s="45">
        <v>0.00807823129251694</v>
      </c>
      <c r="I268" s="45">
        <v>1.01163502755664</v>
      </c>
    </row>
    <row r="269">
      <c r="A269" s="33">
        <v>39.0</v>
      </c>
      <c r="B269" s="33" t="s">
        <v>840</v>
      </c>
      <c r="C269" s="33" t="s">
        <v>830</v>
      </c>
      <c r="D269" s="39">
        <v>0.702380952380952</v>
      </c>
      <c r="E269" s="39">
        <v>0.830985915492957</v>
      </c>
      <c r="F269" s="39">
        <v>0.92258064516129</v>
      </c>
      <c r="G269" s="39">
        <v>-0.988095238095238</v>
      </c>
      <c r="H269" s="39">
        <v>0.00807823129251694</v>
      </c>
      <c r="I269" s="39">
        <v>1.01163502755664</v>
      </c>
    </row>
    <row r="270">
      <c r="A270" s="33">
        <v>40.0</v>
      </c>
      <c r="B270" s="33" t="s">
        <v>840</v>
      </c>
      <c r="C270" s="33" t="s">
        <v>1002</v>
      </c>
      <c r="D270" s="39">
        <v>0.702380952380952</v>
      </c>
      <c r="E270" s="39">
        <v>0.830985915492957</v>
      </c>
      <c r="F270" s="39">
        <v>0.92258064516129</v>
      </c>
      <c r="G270" s="39">
        <v>-0.988095238095238</v>
      </c>
      <c r="H270" s="39">
        <v>-0.0221088435374149</v>
      </c>
      <c r="I270" s="39">
        <v>0.969483568075117</v>
      </c>
    </row>
    <row r="271">
      <c r="A271" s="33">
        <v>41.0</v>
      </c>
      <c r="B271" s="33" t="s">
        <v>841</v>
      </c>
      <c r="C271" s="33" t="s">
        <v>1003</v>
      </c>
      <c r="D271" s="39">
        <v>0.702380952380952</v>
      </c>
      <c r="E271" s="39">
        <v>0.830985915492957</v>
      </c>
      <c r="F271" s="39">
        <v>0.92258064516129</v>
      </c>
      <c r="G271" s="39">
        <v>-0.988095238095238</v>
      </c>
      <c r="H271" s="39">
        <v>-0.0221088435374149</v>
      </c>
      <c r="I271" s="39">
        <v>0.969483568075117</v>
      </c>
    </row>
    <row r="272">
      <c r="A272" s="33">
        <v>42.0</v>
      </c>
      <c r="B272" s="33" t="s">
        <v>988</v>
      </c>
      <c r="C272" s="33" t="s">
        <v>839</v>
      </c>
      <c r="D272" s="39">
        <v>0.702380952380952</v>
      </c>
      <c r="E272" s="39">
        <v>0.830985915492957</v>
      </c>
      <c r="F272" s="39">
        <v>0.92258064516129</v>
      </c>
      <c r="G272" s="39">
        <v>-0.988095238095238</v>
      </c>
      <c r="H272" s="39">
        <v>-0.0221088435374149</v>
      </c>
      <c r="I272" s="39">
        <v>0.969483568075117</v>
      </c>
    </row>
    <row r="273">
      <c r="A273" s="33">
        <v>43.0</v>
      </c>
      <c r="B273" s="33" t="s">
        <v>988</v>
      </c>
      <c r="C273" s="33" t="s">
        <v>841</v>
      </c>
      <c r="D273" s="39">
        <v>0.702380952380952</v>
      </c>
      <c r="E273" s="39">
        <v>0.830985915492957</v>
      </c>
      <c r="F273" s="39">
        <v>0.92258064516129</v>
      </c>
      <c r="G273" s="39">
        <v>-0.988095238095238</v>
      </c>
      <c r="H273" s="39">
        <v>-0.012046485260771</v>
      </c>
      <c r="I273" s="39">
        <v>0.98313826621702</v>
      </c>
    </row>
    <row r="274">
      <c r="A274" s="33">
        <v>44.0</v>
      </c>
      <c r="B274" s="33" t="s">
        <v>841</v>
      </c>
      <c r="C274" s="33" t="s">
        <v>988</v>
      </c>
      <c r="D274" s="39">
        <v>0.702380952380952</v>
      </c>
      <c r="E274" s="39">
        <v>0.830985915492957</v>
      </c>
      <c r="F274" s="39">
        <v>0.92258064516129</v>
      </c>
      <c r="G274" s="39">
        <v>-0.988095238095238</v>
      </c>
      <c r="H274" s="39">
        <v>-0.012046485260771</v>
      </c>
      <c r="I274" s="39">
        <v>0.98313826621702</v>
      </c>
    </row>
    <row r="275">
      <c r="A275" s="33">
        <v>45.0</v>
      </c>
      <c r="B275" s="33" t="s">
        <v>988</v>
      </c>
      <c r="C275" s="33" t="s">
        <v>840</v>
      </c>
      <c r="D275" s="39">
        <v>0.702380952380952</v>
      </c>
      <c r="E275" s="39">
        <v>0.830985915492957</v>
      </c>
      <c r="F275" s="39">
        <v>0.92258064516129</v>
      </c>
      <c r="G275" s="39">
        <v>-0.988095238095238</v>
      </c>
      <c r="H275" s="39">
        <v>-0.012046485260771</v>
      </c>
      <c r="I275" s="39">
        <v>0.98313826621702</v>
      </c>
    </row>
    <row r="276">
      <c r="A276" s="33">
        <v>46.0</v>
      </c>
      <c r="B276" s="33" t="s">
        <v>840</v>
      </c>
      <c r="C276" s="33" t="s">
        <v>988</v>
      </c>
      <c r="D276" s="39">
        <v>0.702380952380952</v>
      </c>
      <c r="E276" s="39">
        <v>0.830985915492957</v>
      </c>
      <c r="F276" s="39">
        <v>0.92258064516129</v>
      </c>
      <c r="G276" s="39">
        <v>-0.988095238095238</v>
      </c>
      <c r="H276" s="39">
        <v>-0.012046485260771</v>
      </c>
      <c r="I276" s="39">
        <v>0.98313826621702</v>
      </c>
    </row>
    <row r="277">
      <c r="A277" s="33">
        <v>47.0</v>
      </c>
      <c r="B277" s="33" t="s">
        <v>989</v>
      </c>
      <c r="C277" s="33" t="s">
        <v>64</v>
      </c>
      <c r="D277" s="39">
        <v>0.702380952380952</v>
      </c>
      <c r="E277" s="39">
        <v>0.830985915492957</v>
      </c>
      <c r="F277" s="39">
        <v>0.92258064516129</v>
      </c>
      <c r="G277" s="39">
        <v>-0.988095238095238</v>
      </c>
      <c r="H277" s="39">
        <v>0.00807823129251694</v>
      </c>
      <c r="I277" s="39">
        <v>1.01163502755664</v>
      </c>
    </row>
    <row r="278">
      <c r="A278" s="33">
        <v>48.0</v>
      </c>
      <c r="B278" s="33" t="s">
        <v>841</v>
      </c>
      <c r="C278" s="33" t="s">
        <v>1006</v>
      </c>
      <c r="D278" s="39">
        <v>0.702380952380952</v>
      </c>
      <c r="E278" s="39">
        <v>0.830985915492957</v>
      </c>
      <c r="F278" s="39">
        <v>0.92258064516129</v>
      </c>
      <c r="G278" s="39">
        <v>-0.988095238095238</v>
      </c>
      <c r="H278" s="39">
        <v>0.0181405895691609</v>
      </c>
      <c r="I278" s="39">
        <v>1.026512013256</v>
      </c>
    </row>
    <row r="279">
      <c r="A279" s="33">
        <v>49.0</v>
      </c>
      <c r="B279" s="33" t="s">
        <v>989</v>
      </c>
      <c r="C279" s="33" t="s">
        <v>972</v>
      </c>
      <c r="D279" s="39">
        <v>0.702380952380952</v>
      </c>
      <c r="E279" s="39">
        <v>0.830985915492957</v>
      </c>
      <c r="F279" s="39">
        <v>0.92258064516129</v>
      </c>
      <c r="G279" s="39">
        <v>-0.988095238095238</v>
      </c>
      <c r="H279" s="39">
        <v>0.00807823129251694</v>
      </c>
      <c r="I279" s="39">
        <v>1.01163502755664</v>
      </c>
    </row>
    <row r="280">
      <c r="A280" s="36">
        <v>16.0</v>
      </c>
      <c r="B280" s="36" t="s">
        <v>839</v>
      </c>
      <c r="C280" s="36" t="s">
        <v>840</v>
      </c>
      <c r="D280" s="45">
        <v>0.702380952380952</v>
      </c>
      <c r="E280" s="45">
        <v>0.819444444444444</v>
      </c>
      <c r="F280" s="45">
        <v>0.916666666666666</v>
      </c>
      <c r="G280" s="45">
        <v>-1.01190476190476</v>
      </c>
      <c r="H280" s="45">
        <v>-0.0221088435374149</v>
      </c>
      <c r="I280" s="45">
        <v>0.969483568075117</v>
      </c>
    </row>
    <row r="281">
      <c r="A281" s="33">
        <v>17.0</v>
      </c>
      <c r="B281" s="33" t="s">
        <v>839</v>
      </c>
      <c r="C281" s="33" t="s">
        <v>830</v>
      </c>
      <c r="D281" s="39">
        <v>0.702380952380952</v>
      </c>
      <c r="E281" s="39">
        <v>0.819444444444444</v>
      </c>
      <c r="F281" s="39">
        <v>0.916666666666666</v>
      </c>
      <c r="G281" s="39">
        <v>-1.01190476190476</v>
      </c>
      <c r="H281" s="39">
        <v>-0.00170068027210879</v>
      </c>
      <c r="I281" s="39">
        <v>0.997584541062801</v>
      </c>
    </row>
    <row r="282">
      <c r="A282" s="36">
        <v>18.0</v>
      </c>
      <c r="B282" s="36" t="s">
        <v>839</v>
      </c>
      <c r="C282" s="36" t="s">
        <v>843</v>
      </c>
      <c r="D282" s="45">
        <v>0.702380952380952</v>
      </c>
      <c r="E282" s="45">
        <v>0.819444444444444</v>
      </c>
      <c r="F282" s="45">
        <v>0.916666666666666</v>
      </c>
      <c r="G282" s="45">
        <v>-1.01190476190476</v>
      </c>
      <c r="H282" s="45">
        <v>0.0289115646258503</v>
      </c>
      <c r="I282" s="45">
        <v>1.04292929292929</v>
      </c>
    </row>
    <row r="283">
      <c r="A283" s="33">
        <v>19.0</v>
      </c>
      <c r="B283" s="33" t="s">
        <v>1002</v>
      </c>
      <c r="C283" s="33" t="s">
        <v>840</v>
      </c>
      <c r="D283" s="39">
        <v>0.702380952380952</v>
      </c>
      <c r="E283" s="39">
        <v>0.819444444444444</v>
      </c>
      <c r="F283" s="39">
        <v>0.916666666666666</v>
      </c>
      <c r="G283" s="39">
        <v>-1.01190476190476</v>
      </c>
      <c r="H283" s="39">
        <v>-0.0221088435374149</v>
      </c>
      <c r="I283" s="39">
        <v>0.969483568075117</v>
      </c>
    </row>
    <row r="284">
      <c r="A284" s="33">
        <v>20.0</v>
      </c>
      <c r="B284" s="33" t="s">
        <v>1002</v>
      </c>
      <c r="C284" s="33" t="s">
        <v>842</v>
      </c>
      <c r="D284" s="39">
        <v>0.702380952380952</v>
      </c>
      <c r="E284" s="39">
        <v>0.819444444444444</v>
      </c>
      <c r="F284" s="39">
        <v>0.916666666666666</v>
      </c>
      <c r="G284" s="39">
        <v>-1.01190476190476</v>
      </c>
      <c r="H284" s="39">
        <v>0.00850340136054417</v>
      </c>
      <c r="I284" s="39">
        <v>1.01225490196078</v>
      </c>
    </row>
    <row r="285">
      <c r="A285" s="33">
        <v>21.0</v>
      </c>
      <c r="B285" s="33" t="s">
        <v>1003</v>
      </c>
      <c r="C285" s="33" t="s">
        <v>841</v>
      </c>
      <c r="D285" s="39">
        <v>0.702380952380952</v>
      </c>
      <c r="E285" s="39">
        <v>0.819444444444444</v>
      </c>
      <c r="F285" s="39">
        <v>0.916666666666666</v>
      </c>
      <c r="G285" s="39">
        <v>-1.01190476190476</v>
      </c>
      <c r="H285" s="39">
        <v>-0.0221088435374149</v>
      </c>
      <c r="I285" s="39">
        <v>0.969483568075117</v>
      </c>
    </row>
    <row r="286">
      <c r="A286" s="33">
        <v>22.0</v>
      </c>
      <c r="B286" s="33" t="s">
        <v>1003</v>
      </c>
      <c r="C286" s="33" t="s">
        <v>842</v>
      </c>
      <c r="D286" s="39">
        <v>0.702380952380952</v>
      </c>
      <c r="E286" s="39">
        <v>0.819444444444444</v>
      </c>
      <c r="F286" s="39">
        <v>0.916666666666666</v>
      </c>
      <c r="G286" s="39">
        <v>-1.01190476190476</v>
      </c>
      <c r="H286" s="39">
        <v>0.00850340136054417</v>
      </c>
      <c r="I286" s="39">
        <v>1.01225490196078</v>
      </c>
    </row>
    <row r="287">
      <c r="A287" s="33">
        <v>23.0</v>
      </c>
      <c r="B287" s="33" t="s">
        <v>839</v>
      </c>
      <c r="C287" s="33" t="s">
        <v>1005</v>
      </c>
      <c r="D287" s="39">
        <v>0.702380952380952</v>
      </c>
      <c r="E287" s="39">
        <v>0.819444444444444</v>
      </c>
      <c r="F287" s="39">
        <v>0.916666666666666</v>
      </c>
      <c r="G287" s="39">
        <v>-1.01190476190476</v>
      </c>
      <c r="H287" s="39">
        <v>0.00850340136054417</v>
      </c>
      <c r="I287" s="39">
        <v>1.01225490196078</v>
      </c>
    </row>
    <row r="288">
      <c r="A288" s="33">
        <v>24.0</v>
      </c>
      <c r="B288" s="33" t="s">
        <v>839</v>
      </c>
      <c r="C288" s="33" t="s">
        <v>988</v>
      </c>
      <c r="D288" s="39">
        <v>0.702380952380952</v>
      </c>
      <c r="E288" s="39">
        <v>0.819444444444444</v>
      </c>
      <c r="F288" s="39">
        <v>0.916666666666666</v>
      </c>
      <c r="G288" s="39">
        <v>-1.01190476190476</v>
      </c>
      <c r="H288" s="39">
        <v>-0.0221088435374149</v>
      </c>
      <c r="I288" s="39">
        <v>0.969483568075117</v>
      </c>
    </row>
    <row r="289">
      <c r="A289" s="33">
        <v>25.0</v>
      </c>
      <c r="B289" s="33" t="s">
        <v>1002</v>
      </c>
      <c r="C289" s="33" t="s">
        <v>963</v>
      </c>
      <c r="D289" s="39">
        <v>0.702380952380952</v>
      </c>
      <c r="E289" s="39">
        <v>0.819444444444444</v>
      </c>
      <c r="F289" s="39">
        <v>0.916666666666666</v>
      </c>
      <c r="G289" s="39">
        <v>-1.01190476190476</v>
      </c>
      <c r="H289" s="39">
        <v>0.00850340136054417</v>
      </c>
      <c r="I289" s="39">
        <v>1.01225490196078</v>
      </c>
    </row>
    <row r="290">
      <c r="A290" s="33">
        <v>26.0</v>
      </c>
      <c r="B290" s="33" t="s">
        <v>1004</v>
      </c>
      <c r="C290" s="33" t="s">
        <v>964</v>
      </c>
      <c r="D290" s="39">
        <v>0.702380952380952</v>
      </c>
      <c r="E290" s="39">
        <v>0.819444444444444</v>
      </c>
      <c r="F290" s="39">
        <v>0.916666666666666</v>
      </c>
      <c r="G290" s="39">
        <v>-1.01190476190476</v>
      </c>
      <c r="H290" s="39">
        <v>0.0289115646258503</v>
      </c>
      <c r="I290" s="39">
        <v>1.04292929292929</v>
      </c>
    </row>
    <row r="291">
      <c r="A291" s="33">
        <v>27.0</v>
      </c>
      <c r="B291" s="33" t="s">
        <v>839</v>
      </c>
      <c r="C291" s="33" t="s">
        <v>1010</v>
      </c>
      <c r="D291" s="39">
        <v>0.702380952380952</v>
      </c>
      <c r="E291" s="39">
        <v>0.819444444444444</v>
      </c>
      <c r="F291" s="39">
        <v>0.916666666666666</v>
      </c>
      <c r="G291" s="39">
        <v>-1.01190476190476</v>
      </c>
      <c r="H291" s="39">
        <v>0.0289115646258503</v>
      </c>
      <c r="I291" s="39">
        <v>1.04292929292929</v>
      </c>
    </row>
    <row r="292">
      <c r="A292" s="33">
        <v>28.0</v>
      </c>
      <c r="B292" s="33" t="s">
        <v>1003</v>
      </c>
      <c r="C292" s="33" t="s">
        <v>963</v>
      </c>
      <c r="D292" s="39">
        <v>0.702380952380952</v>
      </c>
      <c r="E292" s="39">
        <v>0.819444444444444</v>
      </c>
      <c r="F292" s="39">
        <v>0.916666666666666</v>
      </c>
      <c r="G292" s="39">
        <v>-1.01190476190476</v>
      </c>
      <c r="H292" s="39">
        <v>0.00850340136054417</v>
      </c>
      <c r="I292" s="39">
        <v>1.01225490196078</v>
      </c>
    </row>
    <row r="293">
      <c r="A293" s="33">
        <v>29.0</v>
      </c>
      <c r="B293" s="33" t="s">
        <v>1004</v>
      </c>
      <c r="C293" s="33" t="s">
        <v>957</v>
      </c>
      <c r="D293" s="39">
        <v>0.702380952380952</v>
      </c>
      <c r="E293" s="39">
        <v>0.819444444444444</v>
      </c>
      <c r="F293" s="39">
        <v>0.916666666666666</v>
      </c>
      <c r="G293" s="39">
        <v>-1.01190476190476</v>
      </c>
      <c r="H293" s="39">
        <v>0.0391156462585033</v>
      </c>
      <c r="I293" s="39">
        <v>1.05897435897435</v>
      </c>
    </row>
    <row r="294">
      <c r="A294" s="33">
        <v>30.0</v>
      </c>
      <c r="B294" s="33" t="s">
        <v>839</v>
      </c>
      <c r="C294" s="33" t="s">
        <v>1011</v>
      </c>
      <c r="D294" s="39">
        <v>0.702380952380952</v>
      </c>
      <c r="E294" s="39">
        <v>0.819444444444444</v>
      </c>
      <c r="F294" s="39">
        <v>0.916666666666666</v>
      </c>
      <c r="G294" s="39">
        <v>-1.01190476190476</v>
      </c>
      <c r="H294" s="39">
        <v>0.0289115646258503</v>
      </c>
      <c r="I294" s="39">
        <v>1.04292929292929</v>
      </c>
    </row>
  </sheetData>
  <autoFilter ref="$A$1:$I$294">
    <sortState ref="A1:I294">
      <sortCondition descending="1" ref="D1:D294"/>
      <sortCondition descending="1" ref="E1:E294"/>
    </sortState>
  </autoFilter>
  <mergeCells count="1">
    <mergeCell ref="J1:L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8" width="25.0"/>
  </cols>
  <sheetData>
    <row r="1" ht="28.5" customHeight="1">
      <c r="A1" s="2" t="s">
        <v>1</v>
      </c>
      <c r="B1" s="2" t="s">
        <v>2</v>
      </c>
      <c r="C1" s="3" t="s">
        <v>3</v>
      </c>
      <c r="D1" s="1" t="s">
        <v>4</v>
      </c>
      <c r="E1" s="1" t="s">
        <v>5</v>
      </c>
      <c r="F1" s="1" t="s">
        <v>6</v>
      </c>
      <c r="G1" s="1" t="s">
        <v>7</v>
      </c>
      <c r="H1" s="2" t="s">
        <v>8</v>
      </c>
      <c r="I1" s="1" t="s">
        <v>9</v>
      </c>
      <c r="J1" s="1" t="s">
        <v>10</v>
      </c>
      <c r="K1" s="1" t="s">
        <v>11</v>
      </c>
      <c r="L1" s="1" t="s">
        <v>1014</v>
      </c>
      <c r="M1" s="3" t="s">
        <v>26</v>
      </c>
      <c r="N1" s="4" t="s">
        <v>27</v>
      </c>
      <c r="O1" s="4" t="s">
        <v>33</v>
      </c>
      <c r="P1" s="4" t="s">
        <v>34</v>
      </c>
      <c r="Q1" s="4" t="s">
        <v>35</v>
      </c>
      <c r="R1" s="46"/>
    </row>
    <row r="2" ht="28.5" customHeight="1">
      <c r="A2" s="6" t="s">
        <v>103</v>
      </c>
      <c r="B2" s="6">
        <v>2015.0</v>
      </c>
      <c r="C2" s="6" t="s">
        <v>104</v>
      </c>
      <c r="D2" s="6" t="s">
        <v>245</v>
      </c>
      <c r="E2" s="6" t="s">
        <v>246</v>
      </c>
      <c r="F2" s="7" t="s">
        <v>247</v>
      </c>
      <c r="G2" s="6" t="s">
        <v>248</v>
      </c>
      <c r="H2" s="7" t="str">
        <f>IFERROR(__xludf.DUMMYFUNCTION("UNIQUE(Original!V2:V85)"),"Tens")</f>
        <v>Tens</v>
      </c>
      <c r="I2" s="6" t="s">
        <v>250</v>
      </c>
      <c r="J2" s="7" t="s">
        <v>55</v>
      </c>
      <c r="K2" s="6" t="s">
        <v>251</v>
      </c>
      <c r="L2" s="6" t="s">
        <v>1015</v>
      </c>
      <c r="M2" s="7" t="str">
        <f>IFERROR(__xludf.DUMMYFUNCTION("UNIQUE(Original!AA2:AA85)"),"Code Summarization")</f>
        <v>Code Summarization</v>
      </c>
      <c r="N2" s="7" t="str">
        <f>IFERROR(__xludf.DUMMYFUNCTION("UNIQUE(Original!AB2:AB85)"),"Source Code")</f>
        <v>Source Code</v>
      </c>
      <c r="O2" s="7" t="str">
        <f>IFERROR(__xludf.DUMMYFUNCTION("UNIQUE(Original!AH2:AH85)"),"Tokenization")</f>
        <v>Tokenization</v>
      </c>
      <c r="P2" s="7" t="str">
        <f>IFERROR(__xludf.DUMMYFUNCTION("UNIQUE(Original!AI2:AI85)"),"supervised")</f>
        <v>supervised</v>
      </c>
      <c r="Q2" s="7" t="str">
        <f>IFERROR(__xludf.DUMMYFUNCTION("UNIQUE(Original!AJ2:AJ85)"),"CNN")</f>
        <v>CNN</v>
      </c>
    </row>
    <row r="3" ht="28.5" customHeight="1">
      <c r="A3" s="6" t="s">
        <v>129</v>
      </c>
      <c r="B3" s="6">
        <v>2015.0</v>
      </c>
      <c r="C3" s="6" t="s">
        <v>46</v>
      </c>
      <c r="D3" s="6" t="s">
        <v>763</v>
      </c>
      <c r="E3" s="6" t="s">
        <v>764</v>
      </c>
      <c r="F3" s="6" t="s">
        <v>765</v>
      </c>
      <c r="G3" s="6" t="s">
        <v>766</v>
      </c>
      <c r="H3" s="7" t="str">
        <f>IFERROR(__xludf.DUMMYFUNCTION("""COMPUTED_VALUE"""),"Thousands")</f>
        <v>Thousands</v>
      </c>
      <c r="I3" s="6" t="s">
        <v>768</v>
      </c>
      <c r="J3" s="7" t="s">
        <v>769</v>
      </c>
      <c r="K3" s="6" t="s">
        <v>770</v>
      </c>
      <c r="L3" s="7" t="s">
        <v>1016</v>
      </c>
      <c r="M3" s="7" t="str">
        <f>IFERROR(__xludf.DUMMYFUNCTION("""COMPUTED_VALUE"""),"Image2Structure")</f>
        <v>Image2Structure</v>
      </c>
      <c r="N3" s="7" t="str">
        <f>IFERROR(__xludf.DUMMYFUNCTION("""COMPUTED_VALUE"""),"Vision")</f>
        <v>Vision</v>
      </c>
      <c r="O3" s="7" t="str">
        <f>IFERROR(__xludf.DUMMYFUNCTION("""COMPUTED_VALUE"""),"PyTube")</f>
        <v>PyTube</v>
      </c>
      <c r="P3" s="7" t="str">
        <f>IFERROR(__xludf.DUMMYFUNCTION("""COMPUTED_VALUE"""),"unsupervised")</f>
        <v>unsupervised</v>
      </c>
      <c r="Q3" s="47" t="str">
        <f>IFERROR(__xludf.DUMMYFUNCTION("""COMPUTED_VALUE"""),"RNN")</f>
        <v>RNN</v>
      </c>
    </row>
    <row r="4" ht="28.5" customHeight="1">
      <c r="A4" s="6" t="s">
        <v>256</v>
      </c>
      <c r="B4" s="6">
        <v>2015.0</v>
      </c>
      <c r="C4" s="6" t="s">
        <v>46</v>
      </c>
      <c r="D4" s="7" t="s">
        <v>656</v>
      </c>
      <c r="E4" s="6" t="s">
        <v>657</v>
      </c>
      <c r="F4" s="6" t="s">
        <v>658</v>
      </c>
      <c r="G4" s="6" t="s">
        <v>659</v>
      </c>
      <c r="H4" s="7" t="str">
        <f>IFERROR(__xludf.DUMMYFUNCTION("""COMPUTED_VALUE"""),"Hundreds")</f>
        <v>Hundreds</v>
      </c>
      <c r="I4" s="7" t="s">
        <v>661</v>
      </c>
      <c r="J4" s="6" t="s">
        <v>662</v>
      </c>
      <c r="K4" s="6" t="s">
        <v>55</v>
      </c>
      <c r="L4" s="7" t="s">
        <v>1017</v>
      </c>
      <c r="M4" s="7" t="str">
        <f>IFERROR(__xludf.DUMMYFUNCTION("""COMPUTED_VALUE"""),"non-Code Related")</f>
        <v>non-Code Related</v>
      </c>
      <c r="N4" s="7" t="str">
        <f>IFERROR(__xludf.DUMMYFUNCTION("""COMPUTED_VALUE"""),"Repo Metadata")</f>
        <v>Repo Metadata</v>
      </c>
      <c r="O4" s="7" t="str">
        <f>IFERROR(__xludf.DUMMYFUNCTION("""COMPUTED_VALUE"""),"Neural Embedding")</f>
        <v>Neural Embedding</v>
      </c>
      <c r="P4" s="7" t="str">
        <f>IFERROR(__xludf.DUMMYFUNCTION("""COMPUTED_VALUE"""),"both")</f>
        <v>both</v>
      </c>
      <c r="Q4" s="47" t="str">
        <f>IFERROR(__xludf.DUMMYFUNCTION("""COMPUTED_VALUE"""),"Autoencoder")</f>
        <v>Autoencoder</v>
      </c>
    </row>
    <row r="5" ht="28.5" customHeight="1">
      <c r="A5" s="6" t="s">
        <v>45</v>
      </c>
      <c r="B5" s="6">
        <v>2015.0</v>
      </c>
      <c r="C5" s="6" t="s">
        <v>46</v>
      </c>
      <c r="D5" s="6" t="s">
        <v>512</v>
      </c>
      <c r="E5" s="6" t="s">
        <v>513</v>
      </c>
      <c r="F5" s="6" t="s">
        <v>514</v>
      </c>
      <c r="G5" s="6" t="s">
        <v>515</v>
      </c>
      <c r="H5" s="7" t="str">
        <f>IFERROR(__xludf.DUMMYFUNCTION("""COMPUTED_VALUE"""),"Millions")</f>
        <v>Millions</v>
      </c>
      <c r="I5" s="7" t="s">
        <v>517</v>
      </c>
      <c r="J5" s="6" t="s">
        <v>518</v>
      </c>
      <c r="K5" s="6" t="s">
        <v>519</v>
      </c>
      <c r="L5" s="6" t="s">
        <v>1018</v>
      </c>
      <c r="M5" s="7" t="str">
        <f>IFERROR(__xludf.DUMMYFUNCTION("""COMPUTED_VALUE"""),"Retrieval-Trace &amp; Code Summarization")</f>
        <v>Retrieval-Trace &amp; Code Summarization</v>
      </c>
      <c r="N5" s="7" t="str">
        <f>IFERROR(__xludf.DUMMYFUNCTION("""COMPUTED_VALUE"""),"Source Code &amp; Natural")</f>
        <v>Source Code &amp; Natural</v>
      </c>
      <c r="O5" s="7" t="str">
        <f>IFERROR(__xludf.DUMMYFUNCTION("""COMPUTED_VALUE"""),"Lookup Tables")</f>
        <v>Lookup Tables</v>
      </c>
      <c r="P5" s="7" t="str">
        <f>IFERROR(__xludf.DUMMYFUNCTION("""COMPUTED_VALUE"""),"reinforcement")</f>
        <v>reinforcement</v>
      </c>
      <c r="Q5" s="47" t="str">
        <f>IFERROR(__xludf.DUMMYFUNCTION("""COMPUTED_VALUE"""),"Encoder-Decoder")</f>
        <v>Encoder-Decoder</v>
      </c>
    </row>
    <row r="6" ht="28.5" customHeight="1">
      <c r="A6" s="6" t="s">
        <v>150</v>
      </c>
      <c r="B6" s="6">
        <v>2015.0</v>
      </c>
      <c r="C6" s="6" t="s">
        <v>343</v>
      </c>
      <c r="D6" s="6" t="s">
        <v>344</v>
      </c>
      <c r="E6" s="7" t="s">
        <v>345</v>
      </c>
      <c r="F6" s="6" t="s">
        <v>55</v>
      </c>
      <c r="G6" s="6" t="s">
        <v>346</v>
      </c>
      <c r="H6" s="6" t="str">
        <f>IFERROR(__xludf.DUMMYFUNCTION("""COMPUTED_VALUE"""),"N/A")</f>
        <v>N/A</v>
      </c>
      <c r="I6" s="6" t="s">
        <v>55</v>
      </c>
      <c r="J6" s="6" t="s">
        <v>55</v>
      </c>
      <c r="K6" s="6" t="s">
        <v>347</v>
      </c>
      <c r="L6" s="6" t="s">
        <v>348</v>
      </c>
      <c r="M6" s="7" t="str">
        <f>IFERROR(__xludf.DUMMYFUNCTION("""COMPUTED_VALUE"""),"Program Repair")</f>
        <v>Program Repair</v>
      </c>
      <c r="N6" s="7" t="str">
        <f>IFERROR(__xludf.DUMMYFUNCTION("""COMPUTED_VALUE"""),"Bug Report")</f>
        <v>Bug Report</v>
      </c>
      <c r="O6" s="7" t="str">
        <f>IFERROR(__xludf.DUMMYFUNCTION("""COMPUTED_VALUE"""),"One Hot")</f>
        <v>One Hot</v>
      </c>
      <c r="P6" s="7"/>
      <c r="Q6" s="47" t="str">
        <f>IFERROR(__xludf.DUMMYFUNCTION("""COMPUTED_VALUE"""),"FNN")</f>
        <v>FNN</v>
      </c>
    </row>
    <row r="7" ht="28.5" customHeight="1">
      <c r="A7" s="6" t="s">
        <v>235</v>
      </c>
      <c r="B7" s="6">
        <v>2015.0</v>
      </c>
      <c r="C7" s="6" t="s">
        <v>104</v>
      </c>
      <c r="D7" s="6" t="s">
        <v>416</v>
      </c>
      <c r="E7" s="6" t="s">
        <v>417</v>
      </c>
      <c r="F7" s="6" t="s">
        <v>418</v>
      </c>
      <c r="G7" s="6" t="s">
        <v>419</v>
      </c>
      <c r="H7" s="7"/>
      <c r="I7" s="7" t="s">
        <v>421</v>
      </c>
      <c r="J7" s="6" t="s">
        <v>55</v>
      </c>
      <c r="K7" s="6" t="s">
        <v>422</v>
      </c>
      <c r="L7" s="6" t="s">
        <v>1019</v>
      </c>
      <c r="M7" s="7" t="str">
        <f>IFERROR(__xludf.DUMMYFUNCTION("""COMPUTED_VALUE"""),"Bug-Fixing")</f>
        <v>Bug-Fixing</v>
      </c>
      <c r="N7" s="7" t="str">
        <f>IFERROR(__xludf.DUMMYFUNCTION("""COMPUTED_VALUE"""),"I/O Examples")</f>
        <v>I/O Examples</v>
      </c>
      <c r="O7" s="7" t="str">
        <f>IFERROR(__xludf.DUMMYFUNCTION("""COMPUTED_VALUE"""),"MTEF")</f>
        <v>MTEF</v>
      </c>
      <c r="P7" s="7"/>
      <c r="Q7" s="47" t="str">
        <f>IFERROR(__xludf.DUMMYFUNCTION("""COMPUTED_VALUE"""),"RBM")</f>
        <v>RBM</v>
      </c>
    </row>
    <row r="8" ht="28.5" customHeight="1">
      <c r="A8" s="6" t="s">
        <v>69</v>
      </c>
      <c r="B8" s="6">
        <v>2015.0</v>
      </c>
      <c r="C8" s="6" t="s">
        <v>46</v>
      </c>
      <c r="D8" s="6" t="s">
        <v>773</v>
      </c>
      <c r="E8" s="7" t="s">
        <v>774</v>
      </c>
      <c r="F8" s="6" t="s">
        <v>775</v>
      </c>
      <c r="G8" s="6" t="s">
        <v>776</v>
      </c>
      <c r="H8" s="7"/>
      <c r="I8" s="7" t="s">
        <v>778</v>
      </c>
      <c r="J8" s="7" t="s">
        <v>779</v>
      </c>
      <c r="K8" s="6" t="s">
        <v>780</v>
      </c>
      <c r="L8" s="6" t="s">
        <v>1020</v>
      </c>
      <c r="M8" s="7" t="str">
        <f>IFERROR(__xludf.DUMMYFUNCTION("""COMPUTED_VALUE"""),"Source Code Generation")</f>
        <v>Source Code Generation</v>
      </c>
      <c r="N8" s="7" t="str">
        <f>IFERROR(__xludf.DUMMYFUNCTION("""COMPUTED_VALUE"""),"Vision &amp; Repo Metadata")</f>
        <v>Vision &amp; Repo Metadata</v>
      </c>
      <c r="O8" s="7" t="str">
        <f>IFERROR(__xludf.DUMMYFUNCTION("""COMPUTED_VALUE"""),"Execution Trace")</f>
        <v>Execution Trace</v>
      </c>
      <c r="P8" s="7"/>
      <c r="Q8" s="47" t="str">
        <f>IFERROR(__xludf.DUMMYFUNCTION("""COMPUTED_VALUE"""),"DRL")</f>
        <v>DRL</v>
      </c>
    </row>
    <row r="9" ht="28.5" customHeight="1">
      <c r="A9" s="6" t="s">
        <v>103</v>
      </c>
      <c r="B9" s="6">
        <v>2016.0</v>
      </c>
      <c r="C9" s="6" t="s">
        <v>46</v>
      </c>
      <c r="D9" s="6" t="s">
        <v>316</v>
      </c>
      <c r="E9" s="6" t="s">
        <v>317</v>
      </c>
      <c r="F9" s="6" t="s">
        <v>318</v>
      </c>
      <c r="G9" s="6" t="s">
        <v>319</v>
      </c>
      <c r="H9" s="7"/>
      <c r="I9" s="6" t="s">
        <v>321</v>
      </c>
      <c r="J9" s="6" t="s">
        <v>322</v>
      </c>
      <c r="K9" s="6" t="s">
        <v>323</v>
      </c>
      <c r="L9" s="6" t="s">
        <v>1021</v>
      </c>
      <c r="M9" s="7" t="str">
        <f>IFERROR(__xludf.DUMMYFUNCTION("""COMPUTED_VALUE"""),"Categorization")</f>
        <v>Categorization</v>
      </c>
      <c r="N9" s="7" t="str">
        <f>IFERROR(__xludf.DUMMYFUNCTION("""COMPUTED_VALUE"""),"Repo Metadata &amp; Natural")</f>
        <v>Repo Metadata &amp; Natural</v>
      </c>
      <c r="O9" s="7" t="str">
        <f>IFERROR(__xludf.DUMMYFUNCTION("""COMPUTED_VALUE"""),"Prefix Tree")</f>
        <v>Prefix Tree</v>
      </c>
      <c r="P9" s="7"/>
      <c r="Q9" s="47" t="str">
        <f>IFERROR(__xludf.DUMMYFUNCTION("""COMPUTED_VALUE"""),"GNN")</f>
        <v>GNN</v>
      </c>
    </row>
    <row r="10" ht="28.5" customHeight="1">
      <c r="A10" s="6" t="s">
        <v>103</v>
      </c>
      <c r="B10" s="6">
        <v>2016.0</v>
      </c>
      <c r="C10" s="6" t="s">
        <v>46</v>
      </c>
      <c r="D10" s="6" t="s">
        <v>486</v>
      </c>
      <c r="E10" s="6" t="s">
        <v>487</v>
      </c>
      <c r="F10" s="6" t="s">
        <v>488</v>
      </c>
      <c r="G10" s="6" t="s">
        <v>55</v>
      </c>
      <c r="H10" s="7"/>
      <c r="I10" s="7" t="s">
        <v>490</v>
      </c>
      <c r="J10" s="6" t="s">
        <v>491</v>
      </c>
      <c r="K10" s="6" t="s">
        <v>492</v>
      </c>
      <c r="L10" s="6" t="s">
        <v>1022</v>
      </c>
      <c r="M10" s="7" t="str">
        <f>IFERROR(__xludf.DUMMYFUNCTION("""COMPUTED_VALUE"""),"Security")</f>
        <v>Security</v>
      </c>
      <c r="N10" s="7" t="str">
        <f>IFERROR(__xludf.DUMMYFUNCTION("""COMPUTED_VALUE"""),"Source Code &amp; LDA")</f>
        <v>Source Code &amp; LDA</v>
      </c>
      <c r="O10" s="7" t="str">
        <f>IFERROR(__xludf.DUMMYFUNCTION("""COMPUTED_VALUE"""),"CSSI")</f>
        <v>CSSI</v>
      </c>
      <c r="P10" s="7"/>
      <c r="Q10" s="47" t="str">
        <f>IFERROR(__xludf.DUMMYFUNCTION("""COMPUTED_VALUE"""),"Transformer")</f>
        <v>Transformer</v>
      </c>
    </row>
    <row r="11" ht="28.5" customHeight="1">
      <c r="A11" s="6" t="s">
        <v>103</v>
      </c>
      <c r="B11" s="6">
        <v>2016.0</v>
      </c>
      <c r="C11" s="6" t="s">
        <v>46</v>
      </c>
      <c r="D11" s="6" t="s">
        <v>731</v>
      </c>
      <c r="E11" s="6" t="s">
        <v>487</v>
      </c>
      <c r="F11" s="6" t="s">
        <v>488</v>
      </c>
      <c r="G11" s="6" t="s">
        <v>55</v>
      </c>
      <c r="H11" s="7"/>
      <c r="I11" s="7" t="s">
        <v>733</v>
      </c>
      <c r="J11" s="6" t="s">
        <v>55</v>
      </c>
      <c r="K11" s="6" t="s">
        <v>734</v>
      </c>
      <c r="L11" s="6" t="s">
        <v>1023</v>
      </c>
      <c r="M11" s="7" t="str">
        <f>IFERROR(__xludf.DUMMYFUNCTION("""COMPUTED_VALUE"""),"Program Synthesis")</f>
        <v>Program Synthesis</v>
      </c>
      <c r="N11" s="7" t="str">
        <f>IFERROR(__xludf.DUMMYFUNCTION("""COMPUTED_VALUE"""),"Source Code &amp; Bug Report")</f>
        <v>Source Code &amp; Bug Report</v>
      </c>
      <c r="O11" s="7" t="str">
        <f>IFERROR(__xludf.DUMMYFUNCTION("""COMPUTED_VALUE"""),"I/O Vectors")</f>
        <v>I/O Vectors</v>
      </c>
      <c r="P11" s="7"/>
      <c r="Q11" s="47" t="str">
        <f>IFERROR(__xludf.DUMMYFUNCTION("""COMPUTED_VALUE"""),"GANs")</f>
        <v>GANs</v>
      </c>
    </row>
    <row r="12" ht="28.5" customHeight="1">
      <c r="A12" s="48" t="s">
        <v>103</v>
      </c>
      <c r="B12" s="48">
        <v>2016.0</v>
      </c>
      <c r="C12" s="48" t="s">
        <v>46</v>
      </c>
      <c r="D12" s="48" t="s">
        <v>1024</v>
      </c>
      <c r="E12" s="49" t="s">
        <v>1025</v>
      </c>
      <c r="F12" s="48" t="s">
        <v>55</v>
      </c>
      <c r="G12" s="48" t="s">
        <v>1026</v>
      </c>
      <c r="H12" s="49"/>
      <c r="I12" s="48" t="s">
        <v>1027</v>
      </c>
      <c r="J12" s="49" t="s">
        <v>1028</v>
      </c>
      <c r="K12" s="48" t="s">
        <v>1029</v>
      </c>
      <c r="L12" s="48" t="s">
        <v>1030</v>
      </c>
      <c r="M12" s="49" t="str">
        <f>IFERROR(__xludf.DUMMYFUNCTION("""COMPUTED_VALUE"""),"Testing")</f>
        <v>Testing</v>
      </c>
      <c r="N12" s="50" t="str">
        <f>IFERROR(__xludf.DUMMYFUNCTION("""COMPUTED_VALUE"""),"Symbolic Equations")</f>
        <v>Symbolic Equations</v>
      </c>
      <c r="O12" s="49" t="str">
        <f>IFERROR(__xludf.DUMMYFUNCTION("""COMPUTED_VALUE"""),"PDF Vector")</f>
        <v>PDF Vector</v>
      </c>
      <c r="P12" s="49"/>
      <c r="Q12" s="51" t="str">
        <f>IFERROR(__xludf.DUMMYFUNCTION("""COMPUTED_VALUE"""),"TDE")</f>
        <v>TDE</v>
      </c>
    </row>
    <row r="13" ht="28.5" customHeight="1">
      <c r="A13" s="6" t="s">
        <v>129</v>
      </c>
      <c r="B13" s="6">
        <v>2016.0</v>
      </c>
      <c r="C13" s="6" t="s">
        <v>46</v>
      </c>
      <c r="D13" s="6" t="s">
        <v>278</v>
      </c>
      <c r="E13" s="6" t="s">
        <v>279</v>
      </c>
      <c r="F13" s="6" t="s">
        <v>55</v>
      </c>
      <c r="G13" s="6" t="s">
        <v>55</v>
      </c>
      <c r="H13" s="7"/>
      <c r="I13" s="7" t="s">
        <v>281</v>
      </c>
      <c r="J13" s="7" t="s">
        <v>282</v>
      </c>
      <c r="K13" s="6" t="s">
        <v>283</v>
      </c>
      <c r="L13" s="6" t="s">
        <v>1031</v>
      </c>
      <c r="M13" s="7" t="str">
        <f>IFERROR(__xludf.DUMMYFUNCTION("""COMPUTED_VALUE"""),"Reliability/Defect Prediction")</f>
        <v>Reliability/Defect Prediction</v>
      </c>
      <c r="N13" s="7" t="str">
        <f>IFERROR(__xludf.DUMMYFUNCTION("""COMPUTED_VALUE"""),"Source Code &amp; Time")</f>
        <v>Source Code &amp; Time</v>
      </c>
      <c r="O13" s="7" t="str">
        <f>IFERROR(__xludf.DUMMYFUNCTION("""COMPUTED_VALUE"""),"BPE")</f>
        <v>BPE</v>
      </c>
      <c r="P13" s="7"/>
      <c r="Q13" s="47" t="str">
        <f>IFERROR(__xludf.DUMMYFUNCTION("""COMPUTED_VALUE"""),"Siamese")</f>
        <v>Siamese</v>
      </c>
    </row>
    <row r="14" ht="28.5" customHeight="1">
      <c r="A14" s="6" t="s">
        <v>45</v>
      </c>
      <c r="B14" s="6">
        <v>2016.0</v>
      </c>
      <c r="C14" s="6" t="s">
        <v>46</v>
      </c>
      <c r="D14" s="6" t="s">
        <v>47</v>
      </c>
      <c r="E14" s="7" t="s">
        <v>48</v>
      </c>
      <c r="F14" s="7" t="s">
        <v>49</v>
      </c>
      <c r="G14" s="6" t="s">
        <v>50</v>
      </c>
      <c r="H14" s="7"/>
      <c r="I14" s="7" t="s">
        <v>52</v>
      </c>
      <c r="J14" s="6" t="s">
        <v>53</v>
      </c>
      <c r="K14" s="6" t="s">
        <v>54</v>
      </c>
      <c r="L14" s="6" t="s">
        <v>1032</v>
      </c>
      <c r="M14" s="7" t="str">
        <f>IFERROR(__xludf.DUMMYFUNCTION("""COMPUTED_VALUE"""),"non-Code Related &amp; Intention Mining")</f>
        <v>non-Code Related &amp; Intention Mining</v>
      </c>
      <c r="N14" s="7" t="str">
        <f>IFERROR(__xludf.DUMMYFUNCTION("""COMPUTED_VALUE"""),"Execution Traces")</f>
        <v>Execution Traces</v>
      </c>
      <c r="O14" s="7" t="str">
        <f>IFERROR(__xludf.DUMMYFUNCTION("""COMPUTED_VALUE"""),"Directed Graph")</f>
        <v>Directed Graph</v>
      </c>
      <c r="P14" s="7"/>
      <c r="Q14" s="47" t="str">
        <f>IFERROR(__xludf.DUMMYFUNCTION("""COMPUTED_VALUE"""),"Log-Bilinear")</f>
        <v>Log-Bilinear</v>
      </c>
    </row>
    <row r="15" ht="28.5" customHeight="1">
      <c r="A15" s="6" t="s">
        <v>150</v>
      </c>
      <c r="B15" s="6">
        <v>2016.0</v>
      </c>
      <c r="C15" s="6" t="s">
        <v>46</v>
      </c>
      <c r="D15" s="6" t="s">
        <v>201</v>
      </c>
      <c r="E15" s="6" t="s">
        <v>202</v>
      </c>
      <c r="F15" s="6" t="s">
        <v>203</v>
      </c>
      <c r="G15" s="6" t="s">
        <v>204</v>
      </c>
      <c r="H15" s="7"/>
      <c r="I15" s="7" t="s">
        <v>206</v>
      </c>
      <c r="J15" s="6" t="s">
        <v>207</v>
      </c>
      <c r="K15" s="6" t="s">
        <v>208</v>
      </c>
      <c r="L15" s="6" t="s">
        <v>1033</v>
      </c>
      <c r="M15" s="7" t="str">
        <f>IFERROR(__xludf.DUMMYFUNCTION("""COMPUTED_VALUE"""),"Clone Detection")</f>
        <v>Clone Detection</v>
      </c>
      <c r="N15" s="7" t="str">
        <f>IFERROR(__xludf.DUMMYFUNCTION("""COMPUTED_VALUE"""),"PPBE")</f>
        <v>PPBE</v>
      </c>
      <c r="O15" s="7" t="str">
        <f>IFERROR(__xludf.DUMMYFUNCTION("""COMPUTED_VALUE"""),"Flow Graphs")</f>
        <v>Flow Graphs</v>
      </c>
      <c r="P15" s="7"/>
      <c r="Q15" s="7"/>
      <c r="R15" s="47"/>
    </row>
    <row r="16" ht="28.5" customHeight="1">
      <c r="A16" s="6" t="s">
        <v>171</v>
      </c>
      <c r="B16" s="6">
        <v>2016.0</v>
      </c>
      <c r="C16" s="6" t="s">
        <v>46</v>
      </c>
      <c r="D16" s="6" t="s">
        <v>466</v>
      </c>
      <c r="E16" s="6" t="s">
        <v>467</v>
      </c>
      <c r="F16" s="6" t="s">
        <v>468</v>
      </c>
      <c r="G16" s="6" t="s">
        <v>469</v>
      </c>
      <c r="H16" s="7"/>
      <c r="I16" s="7" t="s">
        <v>471</v>
      </c>
      <c r="J16" s="7" t="s">
        <v>472</v>
      </c>
      <c r="K16" s="6" t="s">
        <v>473</v>
      </c>
      <c r="L16" s="6" t="s">
        <v>17</v>
      </c>
      <c r="M16" s="7" t="str">
        <f>IFERROR(__xludf.DUMMYFUNCTION("""COMPUTED_VALUE"""),"Bug-Fixing &amp; Retrieval-Trace")</f>
        <v>Bug-Fixing &amp; Retrieval-Trace</v>
      </c>
      <c r="N16" s="7" t="str">
        <f>IFERROR(__xludf.DUMMYFUNCTION("""COMPUTED_VALUE"""),"Certificates")</f>
        <v>Certificates</v>
      </c>
      <c r="O16" s="7" t="str">
        <f>IFERROR(__xludf.DUMMYFUNCTION("""COMPUTED_VALUE"""),"ic3")</f>
        <v>ic3</v>
      </c>
      <c r="P16" s="7"/>
      <c r="Q16" s="7"/>
      <c r="R16" s="47"/>
    </row>
    <row r="17" ht="28.5" customHeight="1">
      <c r="A17" s="11" t="s">
        <v>129</v>
      </c>
      <c r="B17" s="14">
        <v>2017.0</v>
      </c>
      <c r="C17" s="6" t="s">
        <v>104</v>
      </c>
      <c r="D17" s="14" t="s">
        <v>130</v>
      </c>
      <c r="E17" s="14" t="s">
        <v>55</v>
      </c>
      <c r="F17" s="14" t="s">
        <v>131</v>
      </c>
      <c r="G17" s="14" t="s">
        <v>55</v>
      </c>
      <c r="H17" s="7"/>
      <c r="I17" s="11" t="s">
        <v>55</v>
      </c>
      <c r="J17" s="11" t="s">
        <v>133</v>
      </c>
      <c r="K17" s="14" t="s">
        <v>134</v>
      </c>
      <c r="L17" s="14" t="s">
        <v>1034</v>
      </c>
      <c r="M17" s="11" t="str">
        <f>IFERROR(__xludf.DUMMYFUNCTION("""COMPUTED_VALUE"""),"Retrieval-Trace")</f>
        <v>Retrieval-Trace</v>
      </c>
      <c r="N17" s="11" t="str">
        <f>IFERROR(__xludf.DUMMYFUNCTION("""COMPUTED_VALUE"""),"Natural")</f>
        <v>Natural</v>
      </c>
      <c r="O17" s="11" t="str">
        <f>IFERROR(__xludf.DUMMYFUNCTION("""COMPUTED_VALUE"""),"N/A")</f>
        <v>N/A</v>
      </c>
      <c r="P17" s="11"/>
      <c r="Q17" s="11"/>
      <c r="R17" s="52"/>
    </row>
    <row r="18" ht="28.5" customHeight="1">
      <c r="A18" s="14" t="s">
        <v>150</v>
      </c>
      <c r="B18" s="14">
        <v>2017.0</v>
      </c>
      <c r="C18" s="14" t="s">
        <v>85</v>
      </c>
      <c r="D18" s="14" t="s">
        <v>182</v>
      </c>
      <c r="E18" s="14" t="s">
        <v>183</v>
      </c>
      <c r="F18" s="14" t="s">
        <v>184</v>
      </c>
      <c r="G18" s="14" t="s">
        <v>55</v>
      </c>
      <c r="H18" s="7"/>
      <c r="I18" s="14" t="s">
        <v>55</v>
      </c>
      <c r="J18" s="14" t="s">
        <v>55</v>
      </c>
      <c r="K18" s="14" t="s">
        <v>186</v>
      </c>
      <c r="L18" s="14" t="s">
        <v>1035</v>
      </c>
      <c r="M18" s="11" t="str">
        <f>IFERROR(__xludf.DUMMYFUNCTION("""COMPUTED_VALUE"""),"Software Energy")</f>
        <v>Software Energy</v>
      </c>
      <c r="N18" s="11" t="str">
        <f>IFERROR(__xludf.DUMMYFUNCTION("""COMPUTED_VALUE"""),"Karel DSL &amp; I/O Examples")</f>
        <v>Karel DSL &amp; I/O Examples</v>
      </c>
      <c r="O18" s="11" t="str">
        <f>IFERROR(__xludf.DUMMYFUNCTION("""COMPUTED_VALUE"""),"Code Metrics Vectors")</f>
        <v>Code Metrics Vectors</v>
      </c>
      <c r="P18" s="11"/>
      <c r="Q18" s="11"/>
      <c r="R18" s="52"/>
    </row>
    <row r="19" ht="28.5" customHeight="1">
      <c r="A19" s="14" t="s">
        <v>103</v>
      </c>
      <c r="B19" s="14">
        <v>2017.0</v>
      </c>
      <c r="C19" s="14" t="s">
        <v>85</v>
      </c>
      <c r="D19" s="14" t="s">
        <v>191</v>
      </c>
      <c r="E19" s="14" t="s">
        <v>192</v>
      </c>
      <c r="F19" s="14" t="s">
        <v>193</v>
      </c>
      <c r="G19" s="14" t="s">
        <v>194</v>
      </c>
      <c r="H19" s="7"/>
      <c r="I19" s="14" t="s">
        <v>196</v>
      </c>
      <c r="J19" s="14" t="s">
        <v>55</v>
      </c>
      <c r="K19" s="14" t="s">
        <v>197</v>
      </c>
      <c r="L19" s="14" t="s">
        <v>1036</v>
      </c>
      <c r="M19" s="11" t="str">
        <f>IFERROR(__xludf.DUMMYFUNCTION("""COMPUTED_VALUE"""),"Code Smells")</f>
        <v>Code Smells</v>
      </c>
      <c r="N19" s="11" t="str">
        <f>IFERROR(__xludf.DUMMYFUNCTION("""COMPUTED_VALUE"""),"Source Code &amp; Repo Metadata")</f>
        <v>Source Code &amp; Repo Metadata</v>
      </c>
      <c r="O19" s="11" t="str">
        <f>IFERROR(__xludf.DUMMYFUNCTION("""COMPUTED_VALUE"""),"Issue Report Features")</f>
        <v>Issue Report Features</v>
      </c>
      <c r="P19" s="11"/>
      <c r="Q19" s="7"/>
      <c r="R19" s="47"/>
    </row>
    <row r="20" ht="28.5" customHeight="1">
      <c r="A20" s="14" t="s">
        <v>129</v>
      </c>
      <c r="B20" s="14">
        <v>2017.0</v>
      </c>
      <c r="C20" s="14" t="s">
        <v>85</v>
      </c>
      <c r="D20" s="11" t="s">
        <v>226</v>
      </c>
      <c r="E20" s="11" t="s">
        <v>227</v>
      </c>
      <c r="F20" s="14" t="s">
        <v>55</v>
      </c>
      <c r="G20" s="14" t="s">
        <v>55</v>
      </c>
      <c r="H20" s="11"/>
      <c r="I20" s="11" t="s">
        <v>229</v>
      </c>
      <c r="J20" s="14" t="s">
        <v>55</v>
      </c>
      <c r="K20" s="14" t="s">
        <v>230</v>
      </c>
      <c r="L20" s="11" t="s">
        <v>1037</v>
      </c>
      <c r="M20" s="11" t="str">
        <f>IFERROR(__xludf.DUMMYFUNCTION("""COMPUTED_VALUE"""),"Code Comprenhension")</f>
        <v>Code Comprenhension</v>
      </c>
      <c r="N20" s="11" t="str">
        <f>IFERROR(__xludf.DUMMYFUNCTION("""COMPUTED_VALUE"""),"Source Code &amp; Flow Graphs")</f>
        <v>Source Code &amp; Flow Graphs</v>
      </c>
      <c r="O20" s="11" t="str">
        <f>IFERROR(__xludf.DUMMYFUNCTION("""COMPUTED_VALUE"""),"Trees")</f>
        <v>Trees</v>
      </c>
      <c r="P20" s="11"/>
      <c r="Q20" s="11"/>
      <c r="R20" s="52"/>
    </row>
    <row r="21" ht="28.5" customHeight="1">
      <c r="A21" s="14" t="s">
        <v>129</v>
      </c>
      <c r="B21" s="14">
        <v>2017.0</v>
      </c>
      <c r="C21" s="14" t="s">
        <v>85</v>
      </c>
      <c r="D21" s="11" t="s">
        <v>138</v>
      </c>
      <c r="E21" s="14" t="s">
        <v>55</v>
      </c>
      <c r="F21" s="11" t="s">
        <v>139</v>
      </c>
      <c r="G21" s="14" t="s">
        <v>55</v>
      </c>
      <c r="H21" s="53"/>
      <c r="I21" s="11" t="s">
        <v>141</v>
      </c>
      <c r="J21" s="14" t="s">
        <v>142</v>
      </c>
      <c r="K21" s="14" t="s">
        <v>143</v>
      </c>
      <c r="L21" s="14" t="s">
        <v>1038</v>
      </c>
      <c r="M21" s="11" t="str">
        <f>IFERROR(__xludf.DUMMYFUNCTION("""COMPUTED_VALUE"""),"Feature Location")</f>
        <v>Feature Location</v>
      </c>
      <c r="N21" s="11" t="str">
        <f>IFERROR(__xludf.DUMMYFUNCTION("""COMPUTED_VALUE"""),"Karel DSL")</f>
        <v>Karel DSL</v>
      </c>
      <c r="O21" s="11" t="str">
        <f>IFERROR(__xludf.DUMMYFUNCTION("""COMPUTED_VALUE"""),"IDA Pro")</f>
        <v>IDA Pro</v>
      </c>
      <c r="P21" s="11"/>
      <c r="Q21" s="11"/>
      <c r="R21" s="52"/>
    </row>
    <row r="22" ht="28.5" customHeight="1">
      <c r="A22" s="14" t="s">
        <v>235</v>
      </c>
      <c r="B22" s="14">
        <v>2017.0</v>
      </c>
      <c r="C22" s="14" t="s">
        <v>85</v>
      </c>
      <c r="D22" s="14" t="s">
        <v>236</v>
      </c>
      <c r="E22" s="14" t="s">
        <v>237</v>
      </c>
      <c r="F22" s="14" t="s">
        <v>238</v>
      </c>
      <c r="G22" s="14" t="s">
        <v>239</v>
      </c>
      <c r="H22" s="53"/>
      <c r="I22" s="14" t="s">
        <v>55</v>
      </c>
      <c r="J22" s="14" t="s">
        <v>241</v>
      </c>
      <c r="K22" s="14" t="s">
        <v>242</v>
      </c>
      <c r="L22" s="11" t="s">
        <v>1039</v>
      </c>
      <c r="M22" s="11" t="str">
        <f>IFERROR(__xludf.DUMMYFUNCTION("""COMPUTED_VALUE"""),"Forum Analysis")</f>
        <v>Forum Analysis</v>
      </c>
      <c r="N22" s="11" t="str">
        <f>IFERROR(__xludf.DUMMYFUNCTION("""COMPUTED_VALUE"""),"Time")</f>
        <v>Time</v>
      </c>
      <c r="O22" s="11"/>
      <c r="P22" s="11"/>
      <c r="Q22" s="11"/>
      <c r="R22" s="52"/>
    </row>
    <row r="23" ht="28.5" customHeight="1">
      <c r="A23" s="14" t="s">
        <v>1040</v>
      </c>
      <c r="B23" s="14">
        <v>2017.0</v>
      </c>
      <c r="C23" s="14" t="s">
        <v>85</v>
      </c>
      <c r="D23" s="14" t="s">
        <v>294</v>
      </c>
      <c r="E23" s="14" t="s">
        <v>295</v>
      </c>
      <c r="F23" s="14" t="s">
        <v>55</v>
      </c>
      <c r="G23" s="14" t="s">
        <v>55</v>
      </c>
      <c r="H23" s="11"/>
      <c r="I23" s="11" t="s">
        <v>297</v>
      </c>
      <c r="J23" s="14" t="s">
        <v>55</v>
      </c>
      <c r="K23" s="14" t="s">
        <v>298</v>
      </c>
      <c r="L23" s="14" t="s">
        <v>1041</v>
      </c>
      <c r="M23" s="11" t="str">
        <f>IFERROR(__xludf.DUMMYFUNCTION("""COMPUTED_VALUE"""),"Synthesis")</f>
        <v>Synthesis</v>
      </c>
      <c r="N23" s="11"/>
      <c r="O23" s="11"/>
      <c r="P23" s="11"/>
      <c r="Q23" s="11"/>
      <c r="R23" s="52"/>
    </row>
    <row r="24" ht="28.5" customHeight="1">
      <c r="A24" s="6" t="s">
        <v>45</v>
      </c>
      <c r="B24" s="14">
        <v>2017.0</v>
      </c>
      <c r="C24" s="6" t="s">
        <v>46</v>
      </c>
      <c r="D24" s="14" t="s">
        <v>368</v>
      </c>
      <c r="E24" s="14" t="s">
        <v>55</v>
      </c>
      <c r="F24" s="14" t="s">
        <v>369</v>
      </c>
      <c r="G24" s="14" t="s">
        <v>370</v>
      </c>
      <c r="H24" s="11"/>
      <c r="I24" s="11" t="s">
        <v>372</v>
      </c>
      <c r="J24" s="14" t="s">
        <v>55</v>
      </c>
      <c r="K24" s="14" t="s">
        <v>373</v>
      </c>
      <c r="L24" s="14" t="s">
        <v>1042</v>
      </c>
      <c r="M24" s="11" t="str">
        <f>IFERROR(__xludf.DUMMYFUNCTION("""COMPUTED_VALUE"""),"Program Translation")</f>
        <v>Program Translation</v>
      </c>
      <c r="N24" s="11"/>
      <c r="O24" s="11"/>
      <c r="P24" s="11"/>
      <c r="Q24" s="11"/>
      <c r="R24" s="52"/>
    </row>
    <row r="25" ht="28.5" customHeight="1">
      <c r="A25" s="6" t="s">
        <v>45</v>
      </c>
      <c r="B25" s="14">
        <v>2017.0</v>
      </c>
      <c r="C25" s="6" t="s">
        <v>46</v>
      </c>
      <c r="D25" s="14" t="s">
        <v>443</v>
      </c>
      <c r="E25" s="11" t="s">
        <v>444</v>
      </c>
      <c r="F25" s="14" t="s">
        <v>445</v>
      </c>
      <c r="G25" s="14" t="s">
        <v>446</v>
      </c>
      <c r="H25" s="11"/>
      <c r="I25" s="11" t="s">
        <v>448</v>
      </c>
      <c r="J25" s="14" t="s">
        <v>55</v>
      </c>
      <c r="K25" s="14" t="s">
        <v>449</v>
      </c>
      <c r="L25" s="11" t="s">
        <v>1043</v>
      </c>
      <c r="M25" s="11" t="str">
        <f>IFERROR(__xludf.DUMMYFUNCTION("""COMPUTED_VALUE"""),"Security &amp; Clone Detection")</f>
        <v>Security &amp; Clone Detection</v>
      </c>
      <c r="N25" s="11"/>
      <c r="O25" s="11"/>
      <c r="P25" s="11"/>
      <c r="Q25" s="7"/>
      <c r="R25" s="47"/>
    </row>
    <row r="26" ht="28.5" customHeight="1">
      <c r="A26" s="14" t="s">
        <v>103</v>
      </c>
      <c r="B26" s="14">
        <v>2017.0</v>
      </c>
      <c r="C26" s="6" t="s">
        <v>46</v>
      </c>
      <c r="D26" s="14" t="s">
        <v>474</v>
      </c>
      <c r="E26" s="14" t="s">
        <v>475</v>
      </c>
      <c r="F26" s="11" t="s">
        <v>476</v>
      </c>
      <c r="G26" s="14" t="s">
        <v>477</v>
      </c>
      <c r="H26" s="11"/>
      <c r="I26" s="14" t="s">
        <v>55</v>
      </c>
      <c r="J26" s="14" t="s">
        <v>479</v>
      </c>
      <c r="K26" s="14" t="s">
        <v>480</v>
      </c>
      <c r="L26" s="14" t="s">
        <v>1044</v>
      </c>
      <c r="M26" s="11"/>
      <c r="N26" s="11"/>
      <c r="O26" s="11"/>
      <c r="P26" s="11"/>
      <c r="Q26" s="11"/>
      <c r="R26" s="52"/>
    </row>
    <row r="27" ht="28.5" customHeight="1">
      <c r="A27" s="6" t="s">
        <v>45</v>
      </c>
      <c r="B27" s="14">
        <v>2017.0</v>
      </c>
      <c r="C27" s="6" t="s">
        <v>46</v>
      </c>
      <c r="D27" s="14" t="s">
        <v>520</v>
      </c>
      <c r="E27" s="14" t="s">
        <v>521</v>
      </c>
      <c r="F27" s="14" t="s">
        <v>522</v>
      </c>
      <c r="G27" s="14" t="s">
        <v>523</v>
      </c>
      <c r="H27" s="11"/>
      <c r="I27" s="11" t="s">
        <v>525</v>
      </c>
      <c r="J27" s="14" t="s">
        <v>55</v>
      </c>
      <c r="K27" s="14" t="s">
        <v>526</v>
      </c>
      <c r="L27" s="14" t="s">
        <v>1045</v>
      </c>
      <c r="M27" s="11"/>
      <c r="N27" s="11"/>
      <c r="O27" s="11"/>
      <c r="P27" s="11"/>
      <c r="Q27" s="7"/>
      <c r="R27" s="47"/>
    </row>
    <row r="28" ht="28.5" customHeight="1">
      <c r="A28" s="14" t="s">
        <v>1040</v>
      </c>
      <c r="B28" s="14">
        <v>2017.0</v>
      </c>
      <c r="C28" s="14" t="s">
        <v>85</v>
      </c>
      <c r="D28" s="14" t="s">
        <v>537</v>
      </c>
      <c r="E28" s="14" t="s">
        <v>538</v>
      </c>
      <c r="F28" s="14" t="s">
        <v>539</v>
      </c>
      <c r="G28" s="14" t="s">
        <v>540</v>
      </c>
      <c r="H28" s="11"/>
      <c r="I28" s="11" t="s">
        <v>542</v>
      </c>
      <c r="J28" s="14" t="s">
        <v>543</v>
      </c>
      <c r="K28" s="14" t="s">
        <v>544</v>
      </c>
      <c r="L28" s="14" t="s">
        <v>1046</v>
      </c>
      <c r="M28" s="11"/>
      <c r="N28" s="11"/>
      <c r="O28" s="11"/>
      <c r="P28" s="11"/>
      <c r="Q28" s="11"/>
      <c r="R28" s="52"/>
    </row>
    <row r="29" ht="28.5" customHeight="1">
      <c r="A29" s="6" t="s">
        <v>256</v>
      </c>
      <c r="B29" s="14">
        <v>2017.0</v>
      </c>
      <c r="C29" s="14" t="s">
        <v>85</v>
      </c>
      <c r="D29" s="14" t="s">
        <v>579</v>
      </c>
      <c r="E29" s="14" t="s">
        <v>580</v>
      </c>
      <c r="F29" s="14" t="s">
        <v>55</v>
      </c>
      <c r="G29" s="14" t="s">
        <v>581</v>
      </c>
      <c r="H29" s="11"/>
      <c r="I29" s="14" t="s">
        <v>583</v>
      </c>
      <c r="J29" s="14" t="s">
        <v>55</v>
      </c>
      <c r="K29" s="14" t="s">
        <v>584</v>
      </c>
      <c r="L29" s="14" t="s">
        <v>1047</v>
      </c>
      <c r="M29" s="11"/>
      <c r="N29" s="11"/>
      <c r="O29" s="11"/>
      <c r="P29" s="11"/>
      <c r="Q29" s="11"/>
      <c r="R29" s="52"/>
    </row>
    <row r="30" ht="28.5" customHeight="1">
      <c r="A30" s="11" t="s">
        <v>171</v>
      </c>
      <c r="B30" s="11">
        <v>2017.0</v>
      </c>
      <c r="C30" s="6" t="s">
        <v>46</v>
      </c>
      <c r="D30" s="11" t="s">
        <v>642</v>
      </c>
      <c r="E30" s="11" t="s">
        <v>643</v>
      </c>
      <c r="F30" s="11" t="s">
        <v>55</v>
      </c>
      <c r="G30" s="11" t="s">
        <v>644</v>
      </c>
      <c r="H30" s="11"/>
      <c r="I30" s="11" t="s">
        <v>646</v>
      </c>
      <c r="J30" s="11" t="s">
        <v>647</v>
      </c>
      <c r="K30" s="11" t="s">
        <v>648</v>
      </c>
      <c r="L30" s="11" t="s">
        <v>1047</v>
      </c>
      <c r="M30" s="11"/>
      <c r="N30" s="11"/>
      <c r="O30" s="11"/>
      <c r="P30" s="11"/>
      <c r="Q30" s="7"/>
      <c r="R30" s="47"/>
    </row>
    <row r="31" ht="28.5" customHeight="1">
      <c r="A31" s="6" t="s">
        <v>256</v>
      </c>
      <c r="B31" s="6">
        <v>2017.0</v>
      </c>
      <c r="C31" s="6" t="s">
        <v>46</v>
      </c>
      <c r="D31" s="6" t="s">
        <v>359</v>
      </c>
      <c r="E31" s="6" t="s">
        <v>360</v>
      </c>
      <c r="F31" s="6" t="s">
        <v>361</v>
      </c>
      <c r="G31" s="6" t="s">
        <v>362</v>
      </c>
      <c r="H31" s="7"/>
      <c r="I31" s="7" t="s">
        <v>364</v>
      </c>
      <c r="J31" s="7" t="s">
        <v>365</v>
      </c>
      <c r="K31" s="6" t="s">
        <v>366</v>
      </c>
      <c r="L31" s="7" t="s">
        <v>1048</v>
      </c>
      <c r="M31" s="7"/>
      <c r="N31" s="7"/>
      <c r="O31" s="7"/>
      <c r="P31" s="7"/>
      <c r="Q31" s="7"/>
      <c r="R31" s="47"/>
    </row>
    <row r="32" ht="28.5" customHeight="1">
      <c r="A32" s="6" t="s">
        <v>45</v>
      </c>
      <c r="B32" s="6">
        <v>2017.0</v>
      </c>
      <c r="C32" s="6" t="s">
        <v>46</v>
      </c>
      <c r="D32" s="6" t="s">
        <v>743</v>
      </c>
      <c r="E32" s="6" t="s">
        <v>744</v>
      </c>
      <c r="F32" s="6" t="s">
        <v>745</v>
      </c>
      <c r="G32" s="6" t="s">
        <v>746</v>
      </c>
      <c r="H32" s="7"/>
      <c r="I32" s="6" t="s">
        <v>748</v>
      </c>
      <c r="J32" s="7" t="s">
        <v>749</v>
      </c>
      <c r="K32" s="6" t="s">
        <v>750</v>
      </c>
      <c r="L32" s="6" t="s">
        <v>1049</v>
      </c>
      <c r="M32" s="7"/>
      <c r="N32" s="7"/>
      <c r="O32" s="7"/>
      <c r="P32" s="7"/>
      <c r="Q32" s="7"/>
      <c r="R32" s="47"/>
    </row>
    <row r="33" ht="28.5" customHeight="1">
      <c r="A33" s="6" t="s">
        <v>150</v>
      </c>
      <c r="B33" s="6">
        <v>2017.0</v>
      </c>
      <c r="C33" s="6" t="s">
        <v>46</v>
      </c>
      <c r="D33" s="6" t="s">
        <v>751</v>
      </c>
      <c r="E33" s="6" t="s">
        <v>55</v>
      </c>
      <c r="F33" s="6" t="s">
        <v>752</v>
      </c>
      <c r="G33" s="6" t="s">
        <v>55</v>
      </c>
      <c r="H33" s="7"/>
      <c r="I33" s="7" t="s">
        <v>754</v>
      </c>
      <c r="J33" s="6" t="s">
        <v>96</v>
      </c>
      <c r="K33" s="6" t="s">
        <v>755</v>
      </c>
      <c r="L33" s="6" t="s">
        <v>1050</v>
      </c>
      <c r="M33" s="54"/>
      <c r="N33" s="7"/>
      <c r="O33" s="7"/>
      <c r="P33" s="7"/>
      <c r="Q33" s="7"/>
      <c r="R33" s="47"/>
    </row>
    <row r="34" ht="28.5" customHeight="1">
      <c r="A34" s="6" t="s">
        <v>235</v>
      </c>
      <c r="B34" s="6">
        <v>2017.0</v>
      </c>
      <c r="C34" s="6" t="s">
        <v>46</v>
      </c>
      <c r="D34" s="6" t="s">
        <v>397</v>
      </c>
      <c r="E34" s="6" t="s">
        <v>783</v>
      </c>
      <c r="F34" s="6" t="s">
        <v>784</v>
      </c>
      <c r="G34" s="6" t="s">
        <v>55</v>
      </c>
      <c r="H34" s="7"/>
      <c r="I34" s="6" t="s">
        <v>786</v>
      </c>
      <c r="J34" s="7" t="s">
        <v>787</v>
      </c>
      <c r="K34" s="6" t="s">
        <v>788</v>
      </c>
      <c r="L34" s="6" t="s">
        <v>1051</v>
      </c>
      <c r="M34" s="7"/>
      <c r="N34" s="7"/>
      <c r="O34" s="7"/>
      <c r="P34" s="7"/>
      <c r="Q34" s="7"/>
      <c r="R34" s="47"/>
    </row>
    <row r="35" ht="28.5" customHeight="1">
      <c r="A35" s="11" t="s">
        <v>235</v>
      </c>
      <c r="B35" s="11">
        <v>2017.0</v>
      </c>
      <c r="C35" s="6" t="s">
        <v>46</v>
      </c>
      <c r="D35" s="11" t="s">
        <v>717</v>
      </c>
      <c r="E35" s="11" t="s">
        <v>718</v>
      </c>
      <c r="F35" s="11" t="s">
        <v>55</v>
      </c>
      <c r="G35" s="11" t="s">
        <v>719</v>
      </c>
      <c r="H35" s="11"/>
      <c r="I35" s="11" t="s">
        <v>55</v>
      </c>
      <c r="J35" s="11" t="s">
        <v>721</v>
      </c>
      <c r="K35" s="11" t="s">
        <v>722</v>
      </c>
      <c r="L35" s="11" t="s">
        <v>1052</v>
      </c>
      <c r="M35" s="11"/>
      <c r="N35" s="11"/>
      <c r="O35" s="11"/>
      <c r="P35" s="11"/>
      <c r="Q35" s="11"/>
      <c r="R35" s="52"/>
    </row>
    <row r="36" ht="28.5" customHeight="1">
      <c r="A36" s="13" t="s">
        <v>84</v>
      </c>
      <c r="B36" s="11">
        <v>2017.0</v>
      </c>
      <c r="C36" s="14" t="s">
        <v>85</v>
      </c>
      <c r="D36" s="11" t="s">
        <v>724</v>
      </c>
      <c r="E36" s="11" t="s">
        <v>725</v>
      </c>
      <c r="F36" s="11" t="s">
        <v>726</v>
      </c>
      <c r="G36" s="11" t="s">
        <v>55</v>
      </c>
      <c r="H36" s="11"/>
      <c r="I36" s="11" t="s">
        <v>55</v>
      </c>
      <c r="J36" s="11" t="s">
        <v>55</v>
      </c>
      <c r="K36" s="11" t="s">
        <v>728</v>
      </c>
      <c r="L36" s="11" t="s">
        <v>1053</v>
      </c>
      <c r="M36" s="11"/>
      <c r="N36" s="11"/>
      <c r="O36" s="11"/>
      <c r="P36" s="11"/>
      <c r="Q36" s="11"/>
      <c r="R36" s="52"/>
    </row>
    <row r="37" ht="28.5" customHeight="1">
      <c r="A37" s="11" t="s">
        <v>736</v>
      </c>
      <c r="B37" s="11">
        <v>2017.0</v>
      </c>
      <c r="C37" s="14" t="s">
        <v>85</v>
      </c>
      <c r="D37" s="11" t="s">
        <v>737</v>
      </c>
      <c r="E37" s="11" t="s">
        <v>738</v>
      </c>
      <c r="F37" s="11" t="s">
        <v>55</v>
      </c>
      <c r="G37" s="11" t="s">
        <v>739</v>
      </c>
      <c r="H37" s="11"/>
      <c r="I37" s="11" t="s">
        <v>55</v>
      </c>
      <c r="J37" s="11" t="s">
        <v>55</v>
      </c>
      <c r="K37" s="11" t="s">
        <v>741</v>
      </c>
      <c r="L37" s="11" t="s">
        <v>1054</v>
      </c>
      <c r="M37" s="11"/>
      <c r="N37" s="11"/>
      <c r="O37" s="11"/>
      <c r="P37" s="11"/>
      <c r="Q37" s="11"/>
      <c r="R37" s="52"/>
    </row>
    <row r="38" ht="28.5" customHeight="1">
      <c r="A38" s="9" t="s">
        <v>150</v>
      </c>
      <c r="B38" s="9">
        <v>2017.0</v>
      </c>
      <c r="C38" s="6" t="s">
        <v>104</v>
      </c>
      <c r="D38" s="10" t="s">
        <v>151</v>
      </c>
      <c r="E38" s="9" t="s">
        <v>152</v>
      </c>
      <c r="F38" s="9" t="s">
        <v>153</v>
      </c>
      <c r="G38" s="9" t="s">
        <v>154</v>
      </c>
      <c r="H38" s="9"/>
      <c r="I38" s="9" t="s">
        <v>55</v>
      </c>
      <c r="J38" s="9" t="s">
        <v>55</v>
      </c>
      <c r="K38" s="9" t="s">
        <v>155</v>
      </c>
      <c r="L38" s="9" t="s">
        <v>1055</v>
      </c>
      <c r="M38" s="11"/>
      <c r="N38" s="11"/>
      <c r="O38" s="11"/>
      <c r="P38" s="11"/>
      <c r="Q38" s="11"/>
      <c r="R38" s="52"/>
    </row>
    <row r="39" ht="28.5" customHeight="1">
      <c r="A39" s="6" t="s">
        <v>103</v>
      </c>
      <c r="B39" s="6">
        <v>2018.0</v>
      </c>
      <c r="C39" s="6" t="s">
        <v>104</v>
      </c>
      <c r="D39" s="6" t="s">
        <v>105</v>
      </c>
      <c r="E39" s="6" t="s">
        <v>106</v>
      </c>
      <c r="F39" s="6" t="s">
        <v>107</v>
      </c>
      <c r="G39" s="6" t="s">
        <v>108</v>
      </c>
      <c r="H39" s="7"/>
      <c r="I39" s="7" t="s">
        <v>110</v>
      </c>
      <c r="J39" s="6" t="s">
        <v>111</v>
      </c>
      <c r="K39" s="6" t="s">
        <v>112</v>
      </c>
      <c r="L39" s="6" t="s">
        <v>1056</v>
      </c>
      <c r="M39" s="7"/>
      <c r="N39" s="7"/>
      <c r="O39" s="7"/>
      <c r="P39" s="7"/>
      <c r="Q39" s="7"/>
      <c r="R39" s="47"/>
    </row>
    <row r="40" ht="28.5" customHeight="1">
      <c r="A40" s="6" t="s">
        <v>103</v>
      </c>
      <c r="B40" s="6">
        <v>2018.0</v>
      </c>
      <c r="C40" s="6" t="s">
        <v>104</v>
      </c>
      <c r="D40" s="6" t="s">
        <v>119</v>
      </c>
      <c r="E40" s="6" t="s">
        <v>120</v>
      </c>
      <c r="F40" s="6" t="s">
        <v>121</v>
      </c>
      <c r="G40" s="6" t="s">
        <v>122</v>
      </c>
      <c r="H40" s="7"/>
      <c r="I40" s="6" t="s">
        <v>124</v>
      </c>
      <c r="J40" s="6" t="s">
        <v>125</v>
      </c>
      <c r="K40" s="6" t="s">
        <v>126</v>
      </c>
      <c r="L40" s="6" t="s">
        <v>1057</v>
      </c>
      <c r="M40" s="11"/>
      <c r="N40" s="7"/>
      <c r="O40" s="7"/>
      <c r="P40" s="7"/>
      <c r="Q40" s="7"/>
      <c r="R40" s="47"/>
    </row>
    <row r="41" ht="28.5" customHeight="1">
      <c r="A41" s="14" t="s">
        <v>103</v>
      </c>
      <c r="B41" s="14">
        <v>2018.0</v>
      </c>
      <c r="C41" s="6" t="s">
        <v>46</v>
      </c>
      <c r="D41" s="14" t="s">
        <v>306</v>
      </c>
      <c r="E41" s="14" t="s">
        <v>307</v>
      </c>
      <c r="F41" s="14" t="s">
        <v>308</v>
      </c>
      <c r="G41" s="14" t="s">
        <v>309</v>
      </c>
      <c r="H41" s="11"/>
      <c r="I41" s="14" t="s">
        <v>311</v>
      </c>
      <c r="J41" s="14" t="s">
        <v>312</v>
      </c>
      <c r="K41" s="14" t="s">
        <v>313</v>
      </c>
      <c r="L41" s="14" t="s">
        <v>1058</v>
      </c>
      <c r="M41" s="11"/>
      <c r="N41" s="11"/>
      <c r="O41" s="11"/>
      <c r="P41" s="11"/>
      <c r="Q41" s="11"/>
      <c r="R41" s="52"/>
    </row>
    <row r="42" ht="28.5" customHeight="1">
      <c r="A42" s="11" t="s">
        <v>171</v>
      </c>
      <c r="B42" s="14">
        <v>2018.0</v>
      </c>
      <c r="C42" s="14" t="s">
        <v>85</v>
      </c>
      <c r="D42" s="11" t="s">
        <v>625</v>
      </c>
      <c r="E42" s="14" t="s">
        <v>626</v>
      </c>
      <c r="F42" s="11" t="s">
        <v>627</v>
      </c>
      <c r="G42" s="14" t="s">
        <v>628</v>
      </c>
      <c r="H42" s="11"/>
      <c r="I42" s="14" t="s">
        <v>630</v>
      </c>
      <c r="J42" s="11" t="s">
        <v>631</v>
      </c>
      <c r="K42" s="14" t="s">
        <v>632</v>
      </c>
      <c r="L42" s="14" t="s">
        <v>1059</v>
      </c>
      <c r="M42" s="11"/>
      <c r="N42" s="11"/>
      <c r="O42" s="11"/>
      <c r="P42" s="11"/>
      <c r="Q42" s="11"/>
      <c r="R42" s="52"/>
    </row>
    <row r="43" ht="28.5" customHeight="1">
      <c r="A43" s="11" t="s">
        <v>171</v>
      </c>
      <c r="B43" s="14">
        <v>2018.0</v>
      </c>
      <c r="C43" s="6" t="s">
        <v>46</v>
      </c>
      <c r="D43" s="14" t="s">
        <v>635</v>
      </c>
      <c r="E43" s="11" t="s">
        <v>636</v>
      </c>
      <c r="F43" s="14" t="s">
        <v>637</v>
      </c>
      <c r="G43" s="14" t="s">
        <v>55</v>
      </c>
      <c r="H43" s="11"/>
      <c r="I43" s="11" t="s">
        <v>639</v>
      </c>
      <c r="J43" s="14" t="s">
        <v>640</v>
      </c>
      <c r="K43" s="14" t="s">
        <v>641</v>
      </c>
      <c r="L43" s="14" t="s">
        <v>1047</v>
      </c>
      <c r="M43" s="11"/>
      <c r="N43" s="11"/>
      <c r="O43" s="11"/>
      <c r="P43" s="11"/>
      <c r="Q43" s="11"/>
      <c r="R43" s="52"/>
    </row>
    <row r="44" ht="28.5" customHeight="1">
      <c r="A44" s="14" t="s">
        <v>103</v>
      </c>
      <c r="B44" s="14">
        <v>2018.0</v>
      </c>
      <c r="C44" s="6" t="s">
        <v>46</v>
      </c>
      <c r="D44" s="14" t="s">
        <v>450</v>
      </c>
      <c r="E44" s="14" t="s">
        <v>451</v>
      </c>
      <c r="F44" s="14" t="s">
        <v>452</v>
      </c>
      <c r="G44" s="14" t="s">
        <v>453</v>
      </c>
      <c r="H44" s="11"/>
      <c r="I44" s="14" t="s">
        <v>455</v>
      </c>
      <c r="J44" s="14" t="s">
        <v>456</v>
      </c>
      <c r="K44" s="14" t="s">
        <v>457</v>
      </c>
      <c r="L44" s="14" t="s">
        <v>1060</v>
      </c>
      <c r="M44" s="11"/>
      <c r="N44" s="11"/>
      <c r="O44" s="11"/>
      <c r="P44" s="11"/>
      <c r="Q44" s="7"/>
      <c r="R44" s="47"/>
    </row>
    <row r="45" ht="28.5" customHeight="1">
      <c r="A45" s="6" t="s">
        <v>45</v>
      </c>
      <c r="B45" s="14">
        <v>2018.0</v>
      </c>
      <c r="C45" s="6" t="s">
        <v>46</v>
      </c>
      <c r="D45" s="14" t="s">
        <v>650</v>
      </c>
      <c r="E45" s="14" t="s">
        <v>651</v>
      </c>
      <c r="F45" s="14" t="s">
        <v>652</v>
      </c>
      <c r="G45" s="14" t="s">
        <v>653</v>
      </c>
      <c r="H45" s="11"/>
      <c r="I45" s="14" t="s">
        <v>655</v>
      </c>
      <c r="J45" s="14" t="s">
        <v>55</v>
      </c>
      <c r="K45" s="14" t="s">
        <v>55</v>
      </c>
      <c r="L45" s="14" t="s">
        <v>1061</v>
      </c>
      <c r="M45" s="11"/>
      <c r="N45" s="11"/>
      <c r="O45" s="11"/>
      <c r="P45" s="11"/>
      <c r="Q45" s="7"/>
      <c r="R45" s="47"/>
    </row>
    <row r="46" ht="28.5" customHeight="1">
      <c r="A46" s="6" t="s">
        <v>256</v>
      </c>
      <c r="B46" s="14">
        <v>2018.0</v>
      </c>
      <c r="C46" s="14" t="s">
        <v>85</v>
      </c>
      <c r="D46" s="14" t="s">
        <v>663</v>
      </c>
      <c r="E46" s="11" t="s">
        <v>664</v>
      </c>
      <c r="F46" s="11" t="s">
        <v>665</v>
      </c>
      <c r="G46" s="14" t="s">
        <v>666</v>
      </c>
      <c r="H46" s="11"/>
      <c r="I46" s="11" t="s">
        <v>668</v>
      </c>
      <c r="J46" s="14" t="s">
        <v>55</v>
      </c>
      <c r="K46" s="14" t="s">
        <v>55</v>
      </c>
      <c r="L46" s="11" t="s">
        <v>1062</v>
      </c>
      <c r="M46" s="11"/>
      <c r="N46" s="11"/>
      <c r="O46" s="11"/>
      <c r="P46" s="11"/>
      <c r="Q46" s="7"/>
      <c r="R46" s="47"/>
    </row>
    <row r="47" ht="28.5" customHeight="1">
      <c r="A47" s="6" t="s">
        <v>129</v>
      </c>
      <c r="B47" s="14">
        <v>2018.0</v>
      </c>
      <c r="C47" s="14" t="s">
        <v>85</v>
      </c>
      <c r="D47" s="14" t="s">
        <v>670</v>
      </c>
      <c r="E47" s="14" t="s">
        <v>671</v>
      </c>
      <c r="F47" s="14" t="s">
        <v>672</v>
      </c>
      <c r="G47" s="14" t="s">
        <v>55</v>
      </c>
      <c r="H47" s="11"/>
      <c r="I47" s="14" t="s">
        <v>674</v>
      </c>
      <c r="J47" s="14" t="s">
        <v>55</v>
      </c>
      <c r="K47" s="14" t="s">
        <v>675</v>
      </c>
      <c r="L47" s="14" t="s">
        <v>1063</v>
      </c>
      <c r="M47" s="11"/>
      <c r="N47" s="11"/>
      <c r="O47" s="11"/>
      <c r="P47" s="11"/>
      <c r="Q47" s="11"/>
      <c r="R47" s="52"/>
    </row>
    <row r="48" ht="28.5" customHeight="1">
      <c r="A48" s="48" t="s">
        <v>103</v>
      </c>
      <c r="B48" s="48">
        <v>2018.0</v>
      </c>
      <c r="C48" s="48" t="s">
        <v>85</v>
      </c>
      <c r="D48" s="48" t="s">
        <v>1064</v>
      </c>
      <c r="E48" s="48" t="s">
        <v>1065</v>
      </c>
      <c r="F48" s="48" t="s">
        <v>726</v>
      </c>
      <c r="G48" s="48" t="s">
        <v>1066</v>
      </c>
      <c r="H48" s="49"/>
      <c r="I48" s="48" t="s">
        <v>1067</v>
      </c>
      <c r="J48" s="48" t="s">
        <v>55</v>
      </c>
      <c r="K48" s="49" t="s">
        <v>1068</v>
      </c>
      <c r="L48" s="49" t="s">
        <v>1069</v>
      </c>
      <c r="M48" s="49"/>
      <c r="N48" s="49"/>
      <c r="O48" s="49"/>
      <c r="P48" s="49"/>
      <c r="Q48" s="49"/>
      <c r="R48" s="51"/>
    </row>
    <row r="49" ht="28.5" customHeight="1">
      <c r="A49" s="14" t="s">
        <v>150</v>
      </c>
      <c r="B49" s="14">
        <v>2018.0</v>
      </c>
      <c r="C49" s="14" t="s">
        <v>85</v>
      </c>
      <c r="D49" s="14" t="s">
        <v>500</v>
      </c>
      <c r="E49" s="14" t="s">
        <v>685</v>
      </c>
      <c r="F49" s="14" t="s">
        <v>686</v>
      </c>
      <c r="G49" s="14" t="s">
        <v>687</v>
      </c>
      <c r="H49" s="11"/>
      <c r="I49" s="14" t="s">
        <v>689</v>
      </c>
      <c r="J49" s="14" t="s">
        <v>690</v>
      </c>
      <c r="K49" s="14" t="s">
        <v>691</v>
      </c>
      <c r="L49" s="14" t="s">
        <v>1070</v>
      </c>
      <c r="M49" s="11"/>
      <c r="N49" s="11"/>
      <c r="O49" s="11"/>
      <c r="P49" s="11"/>
      <c r="Q49" s="11"/>
      <c r="R49" s="52"/>
    </row>
    <row r="50" ht="28.5" customHeight="1">
      <c r="A50" s="6" t="s">
        <v>129</v>
      </c>
      <c r="B50" s="14">
        <v>2018.0</v>
      </c>
      <c r="C50" s="6" t="s">
        <v>104</v>
      </c>
      <c r="D50" s="11" t="s">
        <v>692</v>
      </c>
      <c r="E50" s="14" t="s">
        <v>55</v>
      </c>
      <c r="F50" s="14" t="s">
        <v>55</v>
      </c>
      <c r="G50" s="14" t="s">
        <v>55</v>
      </c>
      <c r="H50" s="14"/>
      <c r="I50" s="14" t="s">
        <v>693</v>
      </c>
      <c r="J50" s="14" t="s">
        <v>694</v>
      </c>
      <c r="K50" s="14" t="s">
        <v>695</v>
      </c>
      <c r="L50" s="11" t="s">
        <v>1052</v>
      </c>
      <c r="M50" s="7"/>
      <c r="N50" s="11"/>
      <c r="O50" s="11"/>
      <c r="P50" s="11"/>
      <c r="Q50" s="7"/>
      <c r="R50" s="47"/>
    </row>
    <row r="51" ht="28.5" customHeight="1">
      <c r="A51" s="6" t="s">
        <v>256</v>
      </c>
      <c r="B51" s="6">
        <v>2018.0</v>
      </c>
      <c r="C51" s="6" t="s">
        <v>46</v>
      </c>
      <c r="D51" s="7" t="s">
        <v>561</v>
      </c>
      <c r="E51" s="6" t="s">
        <v>55</v>
      </c>
      <c r="F51" s="7" t="s">
        <v>562</v>
      </c>
      <c r="G51" s="6" t="s">
        <v>563</v>
      </c>
      <c r="H51" s="7"/>
      <c r="I51" s="7" t="s">
        <v>565</v>
      </c>
      <c r="J51" s="7" t="s">
        <v>566</v>
      </c>
      <c r="K51" s="6" t="s">
        <v>567</v>
      </c>
      <c r="L51" s="6" t="s">
        <v>1071</v>
      </c>
      <c r="M51" s="7"/>
      <c r="N51" s="7"/>
      <c r="O51" s="7"/>
      <c r="P51" s="7"/>
      <c r="Q51" s="7"/>
      <c r="R51" s="47"/>
    </row>
    <row r="52" ht="28.5" customHeight="1">
      <c r="A52" s="6" t="s">
        <v>256</v>
      </c>
      <c r="B52" s="6">
        <v>2018.0</v>
      </c>
      <c r="C52" s="6" t="s">
        <v>46</v>
      </c>
      <c r="D52" s="7" t="s">
        <v>679</v>
      </c>
      <c r="E52" s="6" t="s">
        <v>55</v>
      </c>
      <c r="F52" s="6" t="s">
        <v>680</v>
      </c>
      <c r="G52" s="6" t="s">
        <v>55</v>
      </c>
      <c r="H52" s="7"/>
      <c r="I52" s="7" t="s">
        <v>682</v>
      </c>
      <c r="J52" s="7" t="s">
        <v>683</v>
      </c>
      <c r="K52" s="7" t="s">
        <v>684</v>
      </c>
      <c r="L52" s="6" t="s">
        <v>1049</v>
      </c>
      <c r="M52" s="7"/>
      <c r="N52" s="7"/>
      <c r="O52" s="7"/>
      <c r="P52" s="7"/>
      <c r="Q52" s="7"/>
      <c r="R52" s="47"/>
    </row>
    <row r="53" ht="28.5" customHeight="1">
      <c r="A53" s="6" t="s">
        <v>256</v>
      </c>
      <c r="B53" s="6">
        <v>2018.0</v>
      </c>
      <c r="C53" s="6" t="s">
        <v>46</v>
      </c>
      <c r="D53" s="7" t="s">
        <v>789</v>
      </c>
      <c r="E53" s="7" t="s">
        <v>790</v>
      </c>
      <c r="F53" s="6" t="s">
        <v>791</v>
      </c>
      <c r="G53" s="6" t="s">
        <v>55</v>
      </c>
      <c r="H53" s="7"/>
      <c r="I53" s="7" t="s">
        <v>793</v>
      </c>
      <c r="J53" s="7" t="s">
        <v>794</v>
      </c>
      <c r="K53" s="6" t="s">
        <v>795</v>
      </c>
      <c r="L53" s="6" t="s">
        <v>17</v>
      </c>
      <c r="M53" s="7"/>
      <c r="N53" s="7"/>
      <c r="O53" s="7"/>
      <c r="P53" s="7"/>
      <c r="Q53" s="7"/>
      <c r="R53" s="47"/>
    </row>
    <row r="54" ht="28.5" customHeight="1">
      <c r="A54" s="6" t="s">
        <v>129</v>
      </c>
      <c r="B54" s="11">
        <v>2018.0</v>
      </c>
      <c r="C54" s="6" t="s">
        <v>104</v>
      </c>
      <c r="D54" s="11" t="s">
        <v>698</v>
      </c>
      <c r="E54" s="11" t="s">
        <v>699</v>
      </c>
      <c r="F54" s="11" t="s">
        <v>55</v>
      </c>
      <c r="G54" s="11" t="s">
        <v>700</v>
      </c>
      <c r="H54" s="11"/>
      <c r="I54" s="11" t="s">
        <v>702</v>
      </c>
      <c r="J54" s="11" t="s">
        <v>55</v>
      </c>
      <c r="K54" s="11" t="s">
        <v>703</v>
      </c>
      <c r="L54" s="11" t="s">
        <v>1072</v>
      </c>
      <c r="M54" s="11"/>
      <c r="N54" s="11"/>
      <c r="O54" s="11"/>
      <c r="P54" s="11"/>
      <c r="Q54" s="11"/>
      <c r="R54" s="52"/>
    </row>
    <row r="55" ht="28.5" customHeight="1">
      <c r="A55" s="6" t="s">
        <v>129</v>
      </c>
      <c r="B55" s="11">
        <v>2018.0</v>
      </c>
      <c r="C55" s="14" t="s">
        <v>85</v>
      </c>
      <c r="D55" s="11" t="s">
        <v>705</v>
      </c>
      <c r="E55" s="11" t="s">
        <v>706</v>
      </c>
      <c r="F55" s="11" t="s">
        <v>707</v>
      </c>
      <c r="G55" s="11" t="s">
        <v>708</v>
      </c>
      <c r="H55" s="11"/>
      <c r="I55" s="11" t="s">
        <v>710</v>
      </c>
      <c r="J55" s="11" t="s">
        <v>711</v>
      </c>
      <c r="K55" s="11" t="s">
        <v>712</v>
      </c>
      <c r="L55" s="11" t="s">
        <v>1073</v>
      </c>
      <c r="M55" s="11"/>
      <c r="N55" s="11"/>
      <c r="O55" s="11"/>
      <c r="P55" s="11"/>
      <c r="Q55" s="11"/>
      <c r="R55" s="52"/>
    </row>
    <row r="56" ht="28.5" customHeight="1">
      <c r="A56" s="13" t="s">
        <v>129</v>
      </c>
      <c r="B56" s="13">
        <v>2018.0</v>
      </c>
      <c r="C56" s="6" t="s">
        <v>46</v>
      </c>
      <c r="D56" s="13" t="s">
        <v>334</v>
      </c>
      <c r="E56" s="13" t="s">
        <v>335</v>
      </c>
      <c r="F56" s="13" t="s">
        <v>336</v>
      </c>
      <c r="G56" s="13" t="s">
        <v>337</v>
      </c>
      <c r="H56" s="13"/>
      <c r="I56" s="13" t="s">
        <v>339</v>
      </c>
      <c r="J56" s="13" t="s">
        <v>340</v>
      </c>
      <c r="K56" s="13" t="s">
        <v>341</v>
      </c>
      <c r="L56" s="13" t="s">
        <v>1074</v>
      </c>
      <c r="M56" s="11"/>
      <c r="N56" s="11"/>
      <c r="O56" s="11"/>
      <c r="P56" s="11"/>
      <c r="Q56" s="11"/>
      <c r="R56" s="52"/>
    </row>
    <row r="57" ht="28.5" customHeight="1">
      <c r="A57" s="13" t="s">
        <v>129</v>
      </c>
      <c r="B57" s="13">
        <v>2018.0</v>
      </c>
      <c r="C57" s="6" t="s">
        <v>104</v>
      </c>
      <c r="D57" s="15" t="s">
        <v>389</v>
      </c>
      <c r="E57" s="13" t="s">
        <v>390</v>
      </c>
      <c r="F57" s="13" t="s">
        <v>391</v>
      </c>
      <c r="G57" s="13" t="s">
        <v>392</v>
      </c>
      <c r="H57" s="13"/>
      <c r="I57" s="15" t="s">
        <v>55</v>
      </c>
      <c r="J57" s="13" t="s">
        <v>394</v>
      </c>
      <c r="K57" s="13" t="s">
        <v>395</v>
      </c>
      <c r="L57" s="13" t="s">
        <v>1075</v>
      </c>
      <c r="M57" s="11"/>
      <c r="N57" s="11"/>
      <c r="O57" s="11"/>
      <c r="P57" s="11"/>
      <c r="Q57" s="11"/>
      <c r="R57" s="52"/>
    </row>
    <row r="58" ht="28.5" customHeight="1">
      <c r="A58" s="13" t="s">
        <v>256</v>
      </c>
      <c r="B58" s="13">
        <v>2018.0</v>
      </c>
      <c r="C58" s="6" t="s">
        <v>46</v>
      </c>
      <c r="D58" s="13" t="s">
        <v>257</v>
      </c>
      <c r="E58" s="15" t="s">
        <v>258</v>
      </c>
      <c r="F58" s="15" t="s">
        <v>259</v>
      </c>
      <c r="G58" s="15" t="s">
        <v>260</v>
      </c>
      <c r="H58" s="15"/>
      <c r="I58" s="15" t="s">
        <v>262</v>
      </c>
      <c r="J58" s="15" t="s">
        <v>263</v>
      </c>
      <c r="K58" s="15" t="s">
        <v>264</v>
      </c>
      <c r="L58" s="15" t="s">
        <v>1076</v>
      </c>
      <c r="M58" s="11"/>
      <c r="N58" s="11"/>
      <c r="O58" s="11"/>
      <c r="P58" s="11"/>
      <c r="Q58" s="11"/>
      <c r="R58" s="52"/>
    </row>
    <row r="59" ht="28.5" customHeight="1">
      <c r="A59" s="13" t="s">
        <v>150</v>
      </c>
      <c r="B59" s="13">
        <v>2018.0</v>
      </c>
      <c r="C59" s="6" t="s">
        <v>46</v>
      </c>
      <c r="D59" s="13" t="s">
        <v>284</v>
      </c>
      <c r="E59" s="13" t="s">
        <v>285</v>
      </c>
      <c r="F59" s="13" t="s">
        <v>286</v>
      </c>
      <c r="G59" s="13" t="s">
        <v>287</v>
      </c>
      <c r="H59" s="13"/>
      <c r="I59" s="13" t="s">
        <v>289</v>
      </c>
      <c r="J59" s="15" t="s">
        <v>55</v>
      </c>
      <c r="K59" s="13" t="s">
        <v>290</v>
      </c>
      <c r="L59" s="13" t="s">
        <v>1077</v>
      </c>
      <c r="M59" s="7"/>
      <c r="N59" s="11"/>
      <c r="O59" s="11"/>
      <c r="P59" s="11"/>
      <c r="Q59" s="11"/>
      <c r="R59" s="52"/>
    </row>
    <row r="60" ht="28.5" customHeight="1">
      <c r="A60" s="13" t="s">
        <v>150</v>
      </c>
      <c r="B60" s="13">
        <v>2018.0</v>
      </c>
      <c r="C60" s="13" t="s">
        <v>343</v>
      </c>
      <c r="D60" s="13" t="s">
        <v>397</v>
      </c>
      <c r="E60" s="13" t="s">
        <v>55</v>
      </c>
      <c r="F60" s="13" t="s">
        <v>398</v>
      </c>
      <c r="G60" s="13" t="s">
        <v>399</v>
      </c>
      <c r="H60" s="13"/>
      <c r="I60" s="13" t="s">
        <v>401</v>
      </c>
      <c r="J60" s="15" t="s">
        <v>402</v>
      </c>
      <c r="K60" s="13" t="s">
        <v>403</v>
      </c>
      <c r="L60" s="13" t="s">
        <v>1078</v>
      </c>
      <c r="M60" s="11"/>
      <c r="N60" s="11"/>
      <c r="O60" s="11"/>
      <c r="P60" s="11"/>
      <c r="Q60" s="11"/>
      <c r="R60" s="52"/>
    </row>
    <row r="61" ht="28.5" customHeight="1">
      <c r="A61" s="13" t="s">
        <v>150</v>
      </c>
      <c r="B61" s="13">
        <v>2018.0</v>
      </c>
      <c r="C61" s="6" t="s">
        <v>46</v>
      </c>
      <c r="D61" s="13" t="s">
        <v>424</v>
      </c>
      <c r="E61" s="13" t="s">
        <v>425</v>
      </c>
      <c r="F61" s="13" t="s">
        <v>426</v>
      </c>
      <c r="G61" s="13" t="s">
        <v>427</v>
      </c>
      <c r="H61" s="13"/>
      <c r="I61" s="13" t="s">
        <v>429</v>
      </c>
      <c r="J61" s="15" t="s">
        <v>430</v>
      </c>
      <c r="K61" s="13" t="s">
        <v>431</v>
      </c>
      <c r="L61" s="13" t="s">
        <v>1079</v>
      </c>
      <c r="M61" s="11"/>
      <c r="N61" s="11"/>
      <c r="O61" s="11"/>
      <c r="P61" s="11"/>
      <c r="Q61" s="7"/>
      <c r="R61" s="47"/>
    </row>
    <row r="62" ht="28.5" customHeight="1">
      <c r="A62" s="13" t="s">
        <v>235</v>
      </c>
      <c r="B62" s="13">
        <v>2018.0</v>
      </c>
      <c r="C62" s="6" t="s">
        <v>46</v>
      </c>
      <c r="D62" s="13" t="s">
        <v>376</v>
      </c>
      <c r="E62" s="13" t="s">
        <v>377</v>
      </c>
      <c r="F62" s="13" t="s">
        <v>378</v>
      </c>
      <c r="G62" s="13" t="s">
        <v>379</v>
      </c>
      <c r="H62" s="13"/>
      <c r="I62" s="15" t="s">
        <v>381</v>
      </c>
      <c r="J62" s="13" t="s">
        <v>382</v>
      </c>
      <c r="K62" s="13" t="s">
        <v>383</v>
      </c>
      <c r="L62" s="15" t="s">
        <v>1080</v>
      </c>
      <c r="M62" s="11"/>
      <c r="N62" s="11"/>
      <c r="O62" s="11"/>
      <c r="P62" s="11"/>
      <c r="Q62" s="11"/>
      <c r="R62" s="52"/>
    </row>
    <row r="63" ht="28.5" customHeight="1">
      <c r="A63" s="13" t="s">
        <v>267</v>
      </c>
      <c r="B63" s="13">
        <v>2018.0</v>
      </c>
      <c r="C63" s="6" t="s">
        <v>46</v>
      </c>
      <c r="D63" s="13" t="s">
        <v>268</v>
      </c>
      <c r="E63" s="13" t="s">
        <v>269</v>
      </c>
      <c r="F63" s="13" t="s">
        <v>270</v>
      </c>
      <c r="G63" s="13" t="s">
        <v>271</v>
      </c>
      <c r="H63" s="13"/>
      <c r="I63" s="13" t="s">
        <v>273</v>
      </c>
      <c r="J63" s="15" t="s">
        <v>274</v>
      </c>
      <c r="K63" s="13" t="s">
        <v>275</v>
      </c>
      <c r="L63" s="15" t="s">
        <v>1081</v>
      </c>
      <c r="M63" s="11"/>
      <c r="N63" s="11"/>
      <c r="O63" s="11"/>
      <c r="P63" s="11"/>
      <c r="Q63" s="11"/>
      <c r="R63" s="52"/>
    </row>
    <row r="64" ht="28.5" customHeight="1">
      <c r="A64" s="13" t="s">
        <v>267</v>
      </c>
      <c r="B64" s="13">
        <v>2018.0</v>
      </c>
      <c r="C64" s="6" t="s">
        <v>46</v>
      </c>
      <c r="D64" s="15" t="s">
        <v>350</v>
      </c>
      <c r="E64" s="13" t="s">
        <v>351</v>
      </c>
      <c r="F64" s="13" t="s">
        <v>352</v>
      </c>
      <c r="G64" s="13" t="s">
        <v>353</v>
      </c>
      <c r="H64" s="13"/>
      <c r="I64" s="13" t="s">
        <v>55</v>
      </c>
      <c r="J64" s="15" t="s">
        <v>355</v>
      </c>
      <c r="K64" s="13" t="s">
        <v>356</v>
      </c>
      <c r="L64" s="13" t="s">
        <v>1082</v>
      </c>
      <c r="M64" s="11"/>
      <c r="N64" s="11"/>
      <c r="O64" s="11"/>
      <c r="P64" s="11"/>
      <c r="Q64" s="11"/>
      <c r="R64" s="52"/>
    </row>
    <row r="65" ht="28.5" customHeight="1">
      <c r="A65" s="13" t="s">
        <v>150</v>
      </c>
      <c r="B65" s="11">
        <v>2018.0</v>
      </c>
      <c r="C65" s="14" t="s">
        <v>85</v>
      </c>
      <c r="D65" s="11" t="s">
        <v>757</v>
      </c>
      <c r="E65" s="11" t="s">
        <v>758</v>
      </c>
      <c r="F65" s="11" t="s">
        <v>55</v>
      </c>
      <c r="G65" s="11" t="s">
        <v>759</v>
      </c>
      <c r="H65" s="11"/>
      <c r="I65" s="11" t="s">
        <v>55</v>
      </c>
      <c r="J65" s="11" t="s">
        <v>761</v>
      </c>
      <c r="K65" s="11" t="s">
        <v>762</v>
      </c>
      <c r="L65" s="11" t="s">
        <v>1083</v>
      </c>
      <c r="M65" s="7"/>
      <c r="N65" s="11"/>
      <c r="O65" s="11"/>
      <c r="P65" s="11"/>
      <c r="Q65" s="11"/>
      <c r="R65" s="52"/>
    </row>
    <row r="66" ht="28.5" customHeight="1">
      <c r="A66" s="11" t="s">
        <v>171</v>
      </c>
      <c r="B66" s="11">
        <v>2018.0</v>
      </c>
      <c r="C66" s="14" t="s">
        <v>85</v>
      </c>
      <c r="D66" s="11" t="s">
        <v>796</v>
      </c>
      <c r="E66" s="11" t="s">
        <v>797</v>
      </c>
      <c r="F66" s="11" t="s">
        <v>798</v>
      </c>
      <c r="G66" s="11" t="s">
        <v>55</v>
      </c>
      <c r="H66" s="11"/>
      <c r="I66" s="11" t="s">
        <v>55</v>
      </c>
      <c r="J66" s="11" t="s">
        <v>800</v>
      </c>
      <c r="K66" s="11" t="s">
        <v>801</v>
      </c>
      <c r="L66" s="11" t="s">
        <v>1084</v>
      </c>
      <c r="M66" s="11"/>
      <c r="N66" s="11"/>
      <c r="O66" s="11"/>
      <c r="P66" s="11"/>
      <c r="Q66" s="7"/>
      <c r="R66" s="47"/>
    </row>
    <row r="67" ht="28.5" customHeight="1">
      <c r="A67" s="14" t="s">
        <v>103</v>
      </c>
      <c r="B67" s="11">
        <v>2018.0</v>
      </c>
      <c r="C67" s="6" t="s">
        <v>104</v>
      </c>
      <c r="D67" s="11" t="s">
        <v>804</v>
      </c>
      <c r="E67" s="11" t="s">
        <v>55</v>
      </c>
      <c r="F67" s="11" t="s">
        <v>805</v>
      </c>
      <c r="G67" s="11" t="s">
        <v>548</v>
      </c>
      <c r="H67" s="11"/>
      <c r="I67" s="11" t="s">
        <v>807</v>
      </c>
      <c r="J67" s="11" t="s">
        <v>55</v>
      </c>
      <c r="K67" s="11" t="s">
        <v>808</v>
      </c>
      <c r="L67" s="11" t="s">
        <v>1085</v>
      </c>
      <c r="M67" s="11"/>
      <c r="N67" s="11"/>
      <c r="O67" s="11"/>
      <c r="P67" s="11"/>
      <c r="Q67" s="11"/>
      <c r="R67" s="52"/>
    </row>
    <row r="68" ht="28.5" customHeight="1">
      <c r="A68" s="14" t="s">
        <v>103</v>
      </c>
      <c r="B68" s="11">
        <v>2018.0</v>
      </c>
      <c r="C68" s="14" t="s">
        <v>85</v>
      </c>
      <c r="D68" s="11" t="s">
        <v>813</v>
      </c>
      <c r="E68" s="11" t="s">
        <v>814</v>
      </c>
      <c r="F68" s="11" t="s">
        <v>55</v>
      </c>
      <c r="G68" s="11" t="s">
        <v>815</v>
      </c>
      <c r="H68" s="11"/>
      <c r="I68" s="11" t="s">
        <v>817</v>
      </c>
      <c r="J68" s="11" t="s">
        <v>818</v>
      </c>
      <c r="K68" s="11" t="s">
        <v>819</v>
      </c>
      <c r="L68" s="11" t="s">
        <v>1086</v>
      </c>
      <c r="M68" s="11"/>
      <c r="N68" s="11"/>
      <c r="O68" s="11"/>
      <c r="P68" s="11"/>
      <c r="Q68" s="11"/>
      <c r="R68" s="52"/>
    </row>
    <row r="69" ht="28.5" customHeight="1">
      <c r="A69" s="6" t="s">
        <v>256</v>
      </c>
      <c r="B69" s="11">
        <v>2018.0</v>
      </c>
      <c r="C69" s="14" t="s">
        <v>85</v>
      </c>
      <c r="D69" s="11" t="s">
        <v>407</v>
      </c>
      <c r="E69" s="11" t="s">
        <v>408</v>
      </c>
      <c r="F69" s="11" t="s">
        <v>409</v>
      </c>
      <c r="G69" s="11" t="s">
        <v>410</v>
      </c>
      <c r="H69" s="11"/>
      <c r="I69" s="11" t="s">
        <v>412</v>
      </c>
      <c r="J69" s="11" t="s">
        <v>55</v>
      </c>
      <c r="K69" s="11" t="s">
        <v>413</v>
      </c>
      <c r="L69" s="11" t="s">
        <v>1087</v>
      </c>
      <c r="M69" s="11"/>
      <c r="N69" s="11"/>
      <c r="O69" s="11"/>
      <c r="P69" s="11"/>
      <c r="Q69" s="11"/>
      <c r="R69" s="52"/>
    </row>
    <row r="70" ht="28.5" customHeight="1">
      <c r="A70" s="6" t="s">
        <v>256</v>
      </c>
      <c r="B70" s="11">
        <v>2018.0</v>
      </c>
      <c r="C70" s="14" t="s">
        <v>85</v>
      </c>
      <c r="D70" s="11" t="s">
        <v>555</v>
      </c>
      <c r="E70" s="11" t="s">
        <v>55</v>
      </c>
      <c r="F70" s="11" t="s">
        <v>556</v>
      </c>
      <c r="G70" s="11" t="s">
        <v>557</v>
      </c>
      <c r="H70" s="11"/>
      <c r="I70" s="11" t="s">
        <v>55</v>
      </c>
      <c r="J70" s="11" t="s">
        <v>55</v>
      </c>
      <c r="K70" s="11" t="s">
        <v>559</v>
      </c>
      <c r="L70" s="11" t="s">
        <v>1088</v>
      </c>
      <c r="M70" s="11"/>
      <c r="N70" s="11"/>
      <c r="O70" s="11"/>
      <c r="P70" s="11"/>
      <c r="Q70" s="11"/>
      <c r="R70" s="52"/>
    </row>
    <row r="71" ht="28.5" customHeight="1">
      <c r="A71" s="11" t="s">
        <v>171</v>
      </c>
      <c r="B71" s="11">
        <v>2018.0</v>
      </c>
      <c r="C71" s="14" t="s">
        <v>85</v>
      </c>
      <c r="D71" s="11" t="s">
        <v>172</v>
      </c>
      <c r="E71" s="11" t="s">
        <v>173</v>
      </c>
      <c r="F71" s="11" t="s">
        <v>174</v>
      </c>
      <c r="G71" s="11" t="s">
        <v>175</v>
      </c>
      <c r="H71" s="11"/>
      <c r="I71" s="11" t="s">
        <v>177</v>
      </c>
      <c r="J71" s="11" t="s">
        <v>55</v>
      </c>
      <c r="K71" s="11" t="s">
        <v>178</v>
      </c>
      <c r="L71" s="11" t="s">
        <v>1089</v>
      </c>
      <c r="M71" s="11"/>
      <c r="N71" s="11"/>
      <c r="O71" s="11"/>
      <c r="P71" s="11"/>
      <c r="Q71" s="11"/>
      <c r="R71" s="52"/>
    </row>
    <row r="72" ht="28.5" customHeight="1">
      <c r="A72" s="11" t="s">
        <v>171</v>
      </c>
      <c r="B72" s="11">
        <v>2018.0</v>
      </c>
      <c r="C72" s="6" t="s">
        <v>46</v>
      </c>
      <c r="D72" s="11" t="s">
        <v>459</v>
      </c>
      <c r="E72" s="11" t="s">
        <v>55</v>
      </c>
      <c r="F72" s="11" t="s">
        <v>460</v>
      </c>
      <c r="G72" s="11" t="s">
        <v>55</v>
      </c>
      <c r="H72" s="11"/>
      <c r="I72" s="11" t="s">
        <v>462</v>
      </c>
      <c r="J72" s="11" t="s">
        <v>55</v>
      </c>
      <c r="K72" s="11" t="s">
        <v>463</v>
      </c>
      <c r="L72" s="11" t="s">
        <v>1090</v>
      </c>
      <c r="M72" s="11"/>
      <c r="N72" s="11"/>
      <c r="O72" s="11"/>
      <c r="P72" s="11"/>
      <c r="Q72" s="11"/>
      <c r="R72" s="52"/>
    </row>
    <row r="73" ht="28.5" customHeight="1">
      <c r="A73" s="11" t="s">
        <v>171</v>
      </c>
      <c r="B73" s="11">
        <v>2018.0</v>
      </c>
      <c r="C73" s="14" t="s">
        <v>85</v>
      </c>
      <c r="D73" s="11" t="s">
        <v>494</v>
      </c>
      <c r="E73" s="11" t="s">
        <v>495</v>
      </c>
      <c r="F73" s="11" t="s">
        <v>55</v>
      </c>
      <c r="G73" s="11" t="s">
        <v>55</v>
      </c>
      <c r="H73" s="11"/>
      <c r="I73" s="11" t="s">
        <v>497</v>
      </c>
      <c r="J73" s="11" t="s">
        <v>55</v>
      </c>
      <c r="K73" s="11" t="s">
        <v>55</v>
      </c>
      <c r="L73" s="11" t="s">
        <v>1091</v>
      </c>
      <c r="M73" s="11"/>
      <c r="N73" s="11"/>
      <c r="O73" s="11"/>
      <c r="P73" s="11"/>
      <c r="Q73" s="11"/>
      <c r="R73" s="52"/>
    </row>
    <row r="74" ht="28.5" customHeight="1">
      <c r="A74" s="11" t="s">
        <v>171</v>
      </c>
      <c r="B74" s="11">
        <v>2018.0</v>
      </c>
      <c r="C74" s="14" t="s">
        <v>85</v>
      </c>
      <c r="D74" s="11" t="s">
        <v>500</v>
      </c>
      <c r="E74" s="11" t="s">
        <v>55</v>
      </c>
      <c r="F74" s="11" t="s">
        <v>501</v>
      </c>
      <c r="G74" s="11" t="s">
        <v>502</v>
      </c>
      <c r="H74" s="11"/>
      <c r="I74" s="11" t="s">
        <v>504</v>
      </c>
      <c r="J74" s="11" t="s">
        <v>505</v>
      </c>
      <c r="K74" s="11" t="s">
        <v>506</v>
      </c>
      <c r="L74" s="11" t="s">
        <v>1092</v>
      </c>
      <c r="M74" s="11"/>
      <c r="N74" s="11"/>
      <c r="O74" s="11"/>
      <c r="P74" s="11"/>
      <c r="Q74" s="11"/>
      <c r="R74" s="52"/>
    </row>
    <row r="75" ht="28.5" customHeight="1">
      <c r="A75" s="11" t="s">
        <v>171</v>
      </c>
      <c r="B75" s="11">
        <v>2018.0</v>
      </c>
      <c r="C75" s="14" t="s">
        <v>85</v>
      </c>
      <c r="D75" s="11" t="s">
        <v>527</v>
      </c>
      <c r="E75" s="11" t="s">
        <v>528</v>
      </c>
      <c r="F75" s="11" t="s">
        <v>55</v>
      </c>
      <c r="G75" s="11" t="s">
        <v>529</v>
      </c>
      <c r="H75" s="11"/>
      <c r="I75" s="11" t="s">
        <v>531</v>
      </c>
      <c r="J75" s="11" t="s">
        <v>55</v>
      </c>
      <c r="K75" s="11" t="s">
        <v>55</v>
      </c>
      <c r="L75" s="11" t="s">
        <v>1093</v>
      </c>
      <c r="M75" s="11"/>
      <c r="N75" s="11"/>
      <c r="O75" s="11"/>
      <c r="P75" s="11"/>
      <c r="Q75" s="11"/>
      <c r="R75" s="52"/>
    </row>
    <row r="76" ht="28.5" customHeight="1">
      <c r="A76" s="11" t="s">
        <v>171</v>
      </c>
      <c r="B76" s="11">
        <v>2018.0</v>
      </c>
      <c r="C76" s="14" t="s">
        <v>85</v>
      </c>
      <c r="D76" s="11" t="s">
        <v>546</v>
      </c>
      <c r="E76" s="11" t="s">
        <v>547</v>
      </c>
      <c r="F76" s="11" t="s">
        <v>55</v>
      </c>
      <c r="G76" s="11" t="s">
        <v>548</v>
      </c>
      <c r="H76" s="11"/>
      <c r="I76" s="11" t="s">
        <v>550</v>
      </c>
      <c r="J76" s="11" t="s">
        <v>551</v>
      </c>
      <c r="K76" s="11" t="s">
        <v>552</v>
      </c>
      <c r="L76" s="11" t="s">
        <v>1094</v>
      </c>
      <c r="M76" s="11"/>
      <c r="N76" s="11"/>
      <c r="O76" s="11"/>
      <c r="P76" s="11"/>
      <c r="Q76" s="11"/>
      <c r="R76" s="52"/>
    </row>
    <row r="77" ht="28.5" customHeight="1">
      <c r="A77" s="11" t="s">
        <v>171</v>
      </c>
      <c r="B77" s="11">
        <v>2018.0</v>
      </c>
      <c r="C77" s="14" t="s">
        <v>85</v>
      </c>
      <c r="D77" s="11" t="s">
        <v>597</v>
      </c>
      <c r="E77" s="11" t="s">
        <v>55</v>
      </c>
      <c r="F77" s="11" t="s">
        <v>598</v>
      </c>
      <c r="G77" s="11" t="s">
        <v>55</v>
      </c>
      <c r="H77" s="11"/>
      <c r="I77" s="11" t="s">
        <v>600</v>
      </c>
      <c r="J77" s="11" t="s">
        <v>601</v>
      </c>
      <c r="K77" s="11" t="s">
        <v>602</v>
      </c>
      <c r="L77" s="11" t="s">
        <v>1055</v>
      </c>
      <c r="M77" s="11"/>
      <c r="N77" s="11"/>
      <c r="O77" s="11"/>
      <c r="P77" s="11"/>
      <c r="Q77" s="7"/>
      <c r="R77" s="47"/>
    </row>
    <row r="78" ht="28.5" customHeight="1">
      <c r="A78" s="13" t="s">
        <v>84</v>
      </c>
      <c r="B78" s="13">
        <v>2018.0</v>
      </c>
      <c r="C78" s="14" t="s">
        <v>85</v>
      </c>
      <c r="D78" s="13" t="s">
        <v>86</v>
      </c>
      <c r="E78" s="13" t="s">
        <v>87</v>
      </c>
      <c r="F78" s="13" t="s">
        <v>88</v>
      </c>
      <c r="G78" s="13" t="s">
        <v>89</v>
      </c>
      <c r="H78" s="13"/>
      <c r="I78" s="15" t="s">
        <v>91</v>
      </c>
      <c r="J78" s="15" t="s">
        <v>92</v>
      </c>
      <c r="K78" s="13" t="s">
        <v>93</v>
      </c>
      <c r="L78" s="13" t="s">
        <v>1095</v>
      </c>
      <c r="M78" s="11"/>
      <c r="N78" s="11"/>
      <c r="O78" s="11"/>
      <c r="P78" s="11"/>
      <c r="Q78" s="11"/>
      <c r="R78" s="52"/>
    </row>
    <row r="79" ht="28.5" customHeight="1">
      <c r="A79" s="13" t="s">
        <v>84</v>
      </c>
      <c r="B79" s="13">
        <v>2018.0</v>
      </c>
      <c r="C79" s="14" t="s">
        <v>85</v>
      </c>
      <c r="D79" s="13" t="s">
        <v>160</v>
      </c>
      <c r="E79" s="13" t="s">
        <v>161</v>
      </c>
      <c r="F79" s="13" t="s">
        <v>162</v>
      </c>
      <c r="G79" s="13" t="s">
        <v>163</v>
      </c>
      <c r="H79" s="13"/>
      <c r="I79" s="13" t="s">
        <v>165</v>
      </c>
      <c r="J79" s="15" t="s">
        <v>166</v>
      </c>
      <c r="K79" s="13" t="s">
        <v>167</v>
      </c>
      <c r="L79" s="13" t="s">
        <v>1096</v>
      </c>
      <c r="M79" s="11"/>
      <c r="N79" s="11"/>
      <c r="O79" s="11"/>
      <c r="P79" s="11"/>
      <c r="Q79" s="11"/>
      <c r="R79" s="52"/>
    </row>
    <row r="80" ht="28.5" customHeight="1">
      <c r="A80" s="13" t="s">
        <v>84</v>
      </c>
      <c r="B80" s="13">
        <v>2018.0</v>
      </c>
      <c r="C80" s="14" t="s">
        <v>85</v>
      </c>
      <c r="D80" s="13" t="s">
        <v>215</v>
      </c>
      <c r="E80" s="13" t="s">
        <v>216</v>
      </c>
      <c r="F80" s="13" t="s">
        <v>217</v>
      </c>
      <c r="G80" s="13" t="s">
        <v>218</v>
      </c>
      <c r="H80" s="13"/>
      <c r="I80" s="13" t="s">
        <v>220</v>
      </c>
      <c r="J80" s="13" t="s">
        <v>221</v>
      </c>
      <c r="K80" s="13" t="s">
        <v>222</v>
      </c>
      <c r="L80" s="13" t="s">
        <v>1097</v>
      </c>
      <c r="M80" s="11"/>
      <c r="N80" s="11"/>
      <c r="O80" s="11"/>
      <c r="P80" s="11"/>
      <c r="Q80" s="11"/>
      <c r="R80" s="52"/>
    </row>
    <row r="81" ht="28.5" customHeight="1">
      <c r="A81" s="25" t="s">
        <v>84</v>
      </c>
      <c r="B81" s="25">
        <v>2018.0</v>
      </c>
      <c r="C81" s="14" t="s">
        <v>85</v>
      </c>
      <c r="D81" s="13" t="s">
        <v>433</v>
      </c>
      <c r="E81" s="13" t="s">
        <v>434</v>
      </c>
      <c r="F81" s="13" t="s">
        <v>435</v>
      </c>
      <c r="G81" s="13" t="s">
        <v>436</v>
      </c>
      <c r="H81" s="13"/>
      <c r="I81" s="13" t="s">
        <v>438</v>
      </c>
      <c r="J81" s="13" t="s">
        <v>439</v>
      </c>
      <c r="K81" s="13" t="s">
        <v>440</v>
      </c>
      <c r="L81" s="13" t="s">
        <v>1098</v>
      </c>
      <c r="M81" s="11"/>
      <c r="N81" s="11"/>
      <c r="O81" s="11"/>
      <c r="P81" s="11"/>
      <c r="Q81" s="11"/>
      <c r="R81" s="52"/>
    </row>
    <row r="82" ht="28.5" customHeight="1">
      <c r="A82" s="25" t="s">
        <v>84</v>
      </c>
      <c r="B82" s="25">
        <v>2018.0</v>
      </c>
      <c r="C82" s="14" t="s">
        <v>85</v>
      </c>
      <c r="D82" s="13" t="s">
        <v>605</v>
      </c>
      <c r="E82" s="13" t="s">
        <v>606</v>
      </c>
      <c r="F82" s="13" t="s">
        <v>607</v>
      </c>
      <c r="G82" s="13" t="s">
        <v>608</v>
      </c>
      <c r="H82" s="13"/>
      <c r="I82" s="13" t="s">
        <v>610</v>
      </c>
      <c r="J82" s="15" t="s">
        <v>611</v>
      </c>
      <c r="K82" s="25" t="s">
        <v>612</v>
      </c>
      <c r="L82" s="13" t="s">
        <v>1099</v>
      </c>
      <c r="M82" s="11"/>
      <c r="N82" s="11"/>
      <c r="O82" s="11"/>
      <c r="P82" s="11"/>
      <c r="Q82" s="11"/>
      <c r="R82" s="52"/>
    </row>
    <row r="83" ht="28.5" customHeight="1">
      <c r="A83" s="9" t="s">
        <v>69</v>
      </c>
      <c r="B83" s="9">
        <v>2018.0</v>
      </c>
      <c r="C83" s="6" t="s">
        <v>46</v>
      </c>
      <c r="D83" s="9" t="s">
        <v>325</v>
      </c>
      <c r="E83" s="9" t="s">
        <v>326</v>
      </c>
      <c r="F83" s="9" t="s">
        <v>327</v>
      </c>
      <c r="G83" s="9" t="s">
        <v>328</v>
      </c>
      <c r="H83" s="9"/>
      <c r="I83" s="9" t="s">
        <v>330</v>
      </c>
      <c r="J83" s="10" t="s">
        <v>331</v>
      </c>
      <c r="K83" s="9" t="s">
        <v>332</v>
      </c>
      <c r="L83" s="9" t="s">
        <v>1100</v>
      </c>
      <c r="M83" s="11"/>
      <c r="N83" s="11"/>
      <c r="O83" s="11"/>
      <c r="P83" s="11"/>
      <c r="Q83" s="11"/>
      <c r="R83" s="52"/>
    </row>
    <row r="84" ht="28.5" customHeight="1">
      <c r="A84" s="55" t="s">
        <v>69</v>
      </c>
      <c r="B84" s="55">
        <v>2018.0</v>
      </c>
      <c r="C84" s="6" t="s">
        <v>46</v>
      </c>
      <c r="D84" s="55" t="s">
        <v>70</v>
      </c>
      <c r="E84" s="55" t="s">
        <v>71</v>
      </c>
      <c r="F84" s="55" t="s">
        <v>72</v>
      </c>
      <c r="G84" s="55" t="s">
        <v>73</v>
      </c>
      <c r="H84" s="55"/>
      <c r="I84" s="55" t="s">
        <v>75</v>
      </c>
      <c r="J84" s="55" t="s">
        <v>76</v>
      </c>
      <c r="K84" s="55" t="s">
        <v>77</v>
      </c>
      <c r="L84" s="55" t="s">
        <v>1101</v>
      </c>
      <c r="M84" s="11"/>
      <c r="N84" s="11"/>
      <c r="O84" s="11"/>
      <c r="P84" s="11"/>
      <c r="Q84" s="11"/>
      <c r="R84" s="52"/>
    </row>
    <row r="85" ht="28.5" customHeight="1">
      <c r="A85" s="56" t="s">
        <v>69</v>
      </c>
      <c r="B85" s="56">
        <v>2018.0</v>
      </c>
      <c r="C85" s="48" t="s">
        <v>46</v>
      </c>
      <c r="D85" s="56" t="s">
        <v>1102</v>
      </c>
      <c r="E85" s="56" t="s">
        <v>1103</v>
      </c>
      <c r="F85" s="56" t="s">
        <v>1104</v>
      </c>
      <c r="G85" s="56" t="s">
        <v>1105</v>
      </c>
      <c r="H85" s="56"/>
      <c r="I85" s="56" t="s">
        <v>55</v>
      </c>
      <c r="J85" s="56" t="s">
        <v>1106</v>
      </c>
      <c r="K85" s="56" t="s">
        <v>1107</v>
      </c>
      <c r="L85" s="56" t="s">
        <v>1108</v>
      </c>
      <c r="M85" s="49"/>
      <c r="N85" s="49"/>
      <c r="O85" s="49"/>
      <c r="P85" s="49"/>
      <c r="Q85" s="49"/>
      <c r="R85" s="51"/>
    </row>
    <row r="86" ht="28.5" customHeight="1">
      <c r="A86" s="57" t="s">
        <v>84</v>
      </c>
      <c r="B86" s="57">
        <v>2018.0</v>
      </c>
      <c r="C86" s="14" t="s">
        <v>85</v>
      </c>
      <c r="D86" s="57" t="s">
        <v>570</v>
      </c>
      <c r="E86" s="57" t="s">
        <v>571</v>
      </c>
      <c r="F86" s="57" t="s">
        <v>572</v>
      </c>
      <c r="G86" s="57" t="s">
        <v>573</v>
      </c>
      <c r="H86" s="57"/>
      <c r="I86" s="57" t="s">
        <v>575</v>
      </c>
      <c r="J86" s="57" t="s">
        <v>576</v>
      </c>
      <c r="K86" s="57" t="s">
        <v>577</v>
      </c>
      <c r="L86" s="57" t="s">
        <v>1109</v>
      </c>
      <c r="M86" s="11"/>
      <c r="N86" s="11"/>
      <c r="O86" s="11"/>
      <c r="P86" s="11"/>
      <c r="Q86" s="11"/>
      <c r="R86" s="52"/>
    </row>
    <row r="87" ht="28.5" customHeight="1">
      <c r="A87" s="58" t="s">
        <v>586</v>
      </c>
      <c r="B87" s="58">
        <v>2019.0</v>
      </c>
      <c r="C87" s="6" t="s">
        <v>46</v>
      </c>
      <c r="D87" s="59" t="s">
        <v>587</v>
      </c>
      <c r="E87" s="58" t="s">
        <v>588</v>
      </c>
      <c r="F87" s="59" t="s">
        <v>589</v>
      </c>
      <c r="G87" s="58" t="s">
        <v>590</v>
      </c>
      <c r="H87" s="58"/>
      <c r="I87" s="58" t="s">
        <v>592</v>
      </c>
      <c r="J87" s="58" t="s">
        <v>593</v>
      </c>
      <c r="K87" s="58" t="s">
        <v>594</v>
      </c>
      <c r="L87" s="58" t="s">
        <v>1110</v>
      </c>
      <c r="M87" s="7"/>
      <c r="N87" s="7"/>
      <c r="O87" s="7"/>
      <c r="P87" s="7"/>
      <c r="Q87" s="7"/>
      <c r="R87" s="47"/>
    </row>
    <row r="88" ht="28.5" customHeight="1">
      <c r="A88" s="25" t="s">
        <v>84</v>
      </c>
      <c r="B88" s="25">
        <v>2019.0</v>
      </c>
      <c r="C88" s="14" t="s">
        <v>85</v>
      </c>
      <c r="D88" s="13" t="s">
        <v>615</v>
      </c>
      <c r="E88" s="13" t="s">
        <v>616</v>
      </c>
      <c r="F88" s="13" t="s">
        <v>617</v>
      </c>
      <c r="G88" s="13" t="s">
        <v>618</v>
      </c>
      <c r="H88" s="15"/>
      <c r="I88" s="13" t="s">
        <v>620</v>
      </c>
      <c r="J88" s="13" t="s">
        <v>621</v>
      </c>
      <c r="K88" s="13" t="s">
        <v>622</v>
      </c>
      <c r="L88" s="13" t="s">
        <v>1111</v>
      </c>
      <c r="M88" s="7"/>
      <c r="N88" s="11"/>
      <c r="O88" s="11"/>
      <c r="P88" s="11"/>
      <c r="Q88" s="7"/>
      <c r="R88" s="47"/>
    </row>
    <row r="89" ht="28.5" customHeight="1">
      <c r="A89" s="14"/>
      <c r="B89" s="14"/>
      <c r="C89" s="14"/>
      <c r="D89" s="14"/>
      <c r="E89" s="14"/>
      <c r="F89" s="14"/>
      <c r="G89" s="14"/>
      <c r="H89" s="14"/>
      <c r="I89" s="14"/>
      <c r="J89" s="14"/>
      <c r="K89" s="14"/>
      <c r="L89" s="14"/>
      <c r="M89" s="14"/>
      <c r="N89" s="14"/>
      <c r="O89" s="14"/>
      <c r="P89" s="14"/>
      <c r="Q89" s="14"/>
      <c r="R89" s="60"/>
    </row>
    <row r="90" ht="28.5" customHeight="1">
      <c r="A90" s="14"/>
      <c r="B90" s="14"/>
      <c r="C90" s="14"/>
      <c r="D90" s="14"/>
      <c r="E90" s="14"/>
      <c r="F90" s="14"/>
      <c r="G90" s="14"/>
      <c r="H90" s="14"/>
      <c r="I90" s="14"/>
      <c r="J90" s="14"/>
      <c r="K90" s="14"/>
      <c r="L90" s="14"/>
      <c r="M90" s="14"/>
      <c r="N90" s="14"/>
      <c r="O90" s="14"/>
      <c r="P90" s="14"/>
      <c r="Q90" s="14"/>
      <c r="R90" s="60"/>
    </row>
    <row r="91" ht="28.5" customHeight="1">
      <c r="A91" s="14"/>
      <c r="B91" s="14"/>
      <c r="C91" s="14"/>
      <c r="D91" s="14"/>
      <c r="E91" s="14"/>
      <c r="F91" s="14"/>
      <c r="G91" s="14"/>
      <c r="H91" s="14"/>
      <c r="I91" s="14"/>
      <c r="J91" s="14"/>
      <c r="K91" s="14"/>
      <c r="L91" s="14"/>
      <c r="M91" s="14"/>
      <c r="N91" s="14"/>
      <c r="O91" s="14"/>
      <c r="P91" s="14"/>
      <c r="Q91" s="14"/>
      <c r="R91" s="60"/>
    </row>
    <row r="92" ht="28.5" customHeight="1">
      <c r="A92" s="14"/>
      <c r="B92" s="14"/>
      <c r="C92" s="14"/>
      <c r="D92" s="14"/>
      <c r="E92" s="14"/>
      <c r="F92" s="14"/>
      <c r="G92" s="14"/>
      <c r="H92" s="14"/>
      <c r="I92" s="14"/>
      <c r="J92" s="14"/>
      <c r="K92" s="14"/>
      <c r="L92" s="14"/>
      <c r="M92" s="14"/>
      <c r="N92" s="14"/>
      <c r="O92" s="14"/>
      <c r="P92" s="14"/>
      <c r="Q92" s="14"/>
      <c r="R92" s="60"/>
    </row>
    <row r="93" ht="28.5" customHeight="1">
      <c r="A93" s="14"/>
      <c r="B93" s="14"/>
      <c r="C93" s="14"/>
      <c r="D93" s="14"/>
      <c r="E93" s="14"/>
      <c r="F93" s="14"/>
      <c r="G93" s="14"/>
      <c r="H93" s="14"/>
      <c r="I93" s="14"/>
      <c r="J93" s="14"/>
      <c r="K93" s="14"/>
      <c r="L93" s="14"/>
      <c r="M93" s="14"/>
      <c r="N93" s="14"/>
      <c r="O93" s="14"/>
      <c r="P93" s="14"/>
      <c r="Q93" s="14"/>
      <c r="R93" s="60"/>
    </row>
    <row r="94" ht="28.5" customHeight="1">
      <c r="A94" s="14"/>
      <c r="B94" s="14"/>
      <c r="C94" s="14"/>
      <c r="D94" s="14"/>
      <c r="E94" s="14"/>
      <c r="F94" s="14"/>
      <c r="G94" s="14"/>
      <c r="H94" s="14"/>
      <c r="I94" s="14"/>
      <c r="J94" s="14"/>
      <c r="K94" s="14"/>
      <c r="L94" s="14"/>
      <c r="M94" s="14"/>
      <c r="N94" s="14"/>
      <c r="O94" s="14"/>
      <c r="P94" s="14"/>
      <c r="Q94" s="14"/>
      <c r="R94" s="60"/>
    </row>
    <row r="95" ht="28.5" customHeight="1">
      <c r="A95" s="14"/>
      <c r="B95" s="14"/>
      <c r="C95" s="14"/>
      <c r="D95" s="14"/>
      <c r="E95" s="14"/>
      <c r="F95" s="14"/>
      <c r="G95" s="14"/>
      <c r="H95" s="14"/>
      <c r="I95" s="14"/>
      <c r="J95" s="14"/>
      <c r="K95" s="14"/>
      <c r="L95" s="14"/>
      <c r="M95" s="14"/>
      <c r="N95" s="14"/>
      <c r="O95" s="14"/>
      <c r="P95" s="14"/>
      <c r="Q95" s="14"/>
      <c r="R95" s="60"/>
    </row>
    <row r="96" ht="28.5" customHeight="1">
      <c r="A96" s="14"/>
      <c r="B96" s="14"/>
      <c r="C96" s="14"/>
      <c r="D96" s="14"/>
      <c r="E96" s="14"/>
      <c r="F96" s="14"/>
      <c r="G96" s="14"/>
      <c r="H96" s="14"/>
      <c r="I96" s="14"/>
      <c r="J96" s="14"/>
      <c r="K96" s="14"/>
      <c r="L96" s="14"/>
      <c r="M96" s="14"/>
      <c r="N96" s="14"/>
      <c r="O96" s="14"/>
      <c r="P96" s="14"/>
      <c r="Q96" s="14"/>
      <c r="R96" s="60"/>
    </row>
    <row r="97" ht="28.5" customHeight="1">
      <c r="A97" s="14"/>
      <c r="B97" s="14"/>
      <c r="C97" s="14"/>
      <c r="D97" s="14"/>
      <c r="E97" s="14"/>
      <c r="F97" s="14"/>
      <c r="G97" s="14"/>
      <c r="H97" s="14"/>
      <c r="I97" s="14"/>
      <c r="J97" s="14"/>
      <c r="K97" s="14"/>
      <c r="L97" s="14"/>
      <c r="M97" s="14"/>
      <c r="N97" s="14"/>
      <c r="O97" s="14"/>
      <c r="P97" s="14"/>
      <c r="Q97" s="14"/>
      <c r="R97" s="60"/>
    </row>
    <row r="98" ht="28.5" customHeight="1">
      <c r="A98" s="14"/>
      <c r="B98" s="14"/>
      <c r="C98" s="14"/>
      <c r="D98" s="14"/>
      <c r="E98" s="14"/>
      <c r="F98" s="14"/>
      <c r="G98" s="14"/>
      <c r="H98" s="14"/>
      <c r="I98" s="14"/>
      <c r="J98" s="14"/>
      <c r="K98" s="14"/>
      <c r="L98" s="14"/>
      <c r="M98" s="14"/>
      <c r="N98" s="14"/>
      <c r="O98" s="14"/>
      <c r="P98" s="14"/>
      <c r="Q98" s="14"/>
      <c r="R98" s="60"/>
    </row>
    <row r="99" ht="28.5" customHeight="1">
      <c r="A99" s="14"/>
      <c r="B99" s="14"/>
      <c r="C99" s="14"/>
      <c r="D99" s="14"/>
      <c r="E99" s="14"/>
      <c r="F99" s="14"/>
      <c r="G99" s="14"/>
      <c r="H99" s="14"/>
      <c r="I99" s="14"/>
      <c r="J99" s="14"/>
      <c r="K99" s="14"/>
      <c r="L99" s="14"/>
      <c r="M99" s="14"/>
      <c r="N99" s="14"/>
      <c r="O99" s="14"/>
      <c r="P99" s="14"/>
      <c r="Q99" s="14"/>
      <c r="R99" s="60"/>
    </row>
    <row r="100" ht="28.5" customHeight="1">
      <c r="A100" s="14"/>
      <c r="B100" s="14"/>
      <c r="C100" s="14"/>
      <c r="D100" s="14"/>
      <c r="E100" s="14"/>
      <c r="F100" s="14"/>
      <c r="G100" s="14"/>
      <c r="H100" s="14"/>
      <c r="I100" s="14"/>
      <c r="J100" s="14"/>
      <c r="K100" s="14"/>
      <c r="L100" s="14"/>
      <c r="M100" s="14"/>
      <c r="N100" s="14"/>
      <c r="O100" s="14"/>
      <c r="P100" s="14"/>
      <c r="Q100" s="14"/>
      <c r="R100" s="60"/>
    </row>
    <row r="101" ht="28.5" customHeight="1">
      <c r="A101" s="14"/>
      <c r="B101" s="14"/>
      <c r="C101" s="14"/>
      <c r="D101" s="14"/>
      <c r="E101" s="14"/>
      <c r="F101" s="14"/>
      <c r="G101" s="14"/>
      <c r="H101" s="14"/>
      <c r="I101" s="14"/>
      <c r="J101" s="14"/>
      <c r="K101" s="14"/>
      <c r="L101" s="14"/>
      <c r="M101" s="14"/>
      <c r="N101" s="14"/>
      <c r="O101" s="14"/>
      <c r="P101" s="14"/>
      <c r="Q101" s="14"/>
      <c r="R101" s="60"/>
    </row>
    <row r="102" ht="28.5" customHeight="1">
      <c r="A102" s="14"/>
      <c r="B102" s="14"/>
      <c r="C102" s="14"/>
      <c r="D102" s="14"/>
      <c r="E102" s="14"/>
      <c r="F102" s="14"/>
      <c r="G102" s="14"/>
      <c r="H102" s="14"/>
      <c r="I102" s="14"/>
      <c r="J102" s="14"/>
      <c r="K102" s="14"/>
      <c r="L102" s="14"/>
      <c r="M102" s="14"/>
      <c r="N102" s="14"/>
      <c r="O102" s="14"/>
      <c r="P102" s="14"/>
      <c r="Q102" s="14"/>
      <c r="R102" s="60"/>
    </row>
    <row r="103" ht="28.5" customHeight="1">
      <c r="A103" s="14"/>
      <c r="B103" s="14"/>
      <c r="C103" s="14"/>
      <c r="D103" s="14"/>
      <c r="E103" s="14"/>
      <c r="F103" s="14"/>
      <c r="G103" s="14"/>
      <c r="H103" s="14"/>
      <c r="I103" s="14"/>
      <c r="J103" s="14"/>
      <c r="K103" s="14"/>
      <c r="L103" s="14"/>
      <c r="M103" s="14"/>
      <c r="N103" s="14"/>
      <c r="O103" s="14"/>
      <c r="P103" s="14"/>
      <c r="Q103" s="14"/>
      <c r="R103" s="60"/>
    </row>
    <row r="104" ht="28.5" customHeight="1">
      <c r="A104" s="14"/>
      <c r="B104" s="14"/>
      <c r="C104" s="14"/>
      <c r="D104" s="14"/>
      <c r="E104" s="14"/>
      <c r="F104" s="14"/>
      <c r="G104" s="14"/>
      <c r="H104" s="14"/>
      <c r="I104" s="14"/>
      <c r="J104" s="14"/>
      <c r="K104" s="14"/>
      <c r="L104" s="14"/>
      <c r="M104" s="14"/>
      <c r="N104" s="14"/>
      <c r="O104" s="14"/>
      <c r="P104" s="14"/>
      <c r="Q104" s="14"/>
      <c r="R104" s="60"/>
    </row>
    <row r="105" ht="28.5" customHeight="1">
      <c r="A105" s="14"/>
      <c r="B105" s="14"/>
      <c r="C105" s="14"/>
      <c r="D105" s="14"/>
      <c r="E105" s="14"/>
      <c r="F105" s="14"/>
      <c r="G105" s="14"/>
      <c r="H105" s="14"/>
      <c r="I105" s="14"/>
      <c r="J105" s="14"/>
      <c r="K105" s="14"/>
      <c r="L105" s="14"/>
      <c r="M105" s="14"/>
      <c r="N105" s="14"/>
      <c r="O105" s="14"/>
      <c r="P105" s="14"/>
      <c r="Q105" s="14"/>
      <c r="R105" s="60"/>
    </row>
    <row r="106" ht="28.5" customHeight="1">
      <c r="A106" s="14"/>
      <c r="B106" s="14"/>
      <c r="C106" s="14"/>
      <c r="D106" s="14"/>
      <c r="E106" s="14"/>
      <c r="F106" s="14"/>
      <c r="G106" s="14"/>
      <c r="H106" s="14"/>
      <c r="I106" s="14"/>
      <c r="J106" s="14"/>
      <c r="K106" s="14"/>
      <c r="L106" s="14"/>
      <c r="M106" s="14"/>
      <c r="N106" s="14"/>
      <c r="O106" s="14"/>
      <c r="P106" s="14"/>
      <c r="Q106" s="14"/>
      <c r="R106" s="60"/>
    </row>
    <row r="107" ht="28.5" customHeight="1">
      <c r="A107" s="14"/>
      <c r="B107" s="14"/>
      <c r="C107" s="14"/>
      <c r="D107" s="14"/>
      <c r="E107" s="14"/>
      <c r="F107" s="14"/>
      <c r="G107" s="14"/>
      <c r="H107" s="14"/>
      <c r="I107" s="14"/>
      <c r="J107" s="14"/>
      <c r="K107" s="14"/>
      <c r="L107" s="14"/>
      <c r="M107" s="14"/>
      <c r="N107" s="14"/>
      <c r="O107" s="14"/>
      <c r="P107" s="14"/>
      <c r="Q107" s="14"/>
      <c r="R107" s="60"/>
    </row>
    <row r="108" ht="28.5" customHeight="1">
      <c r="A108" s="14"/>
      <c r="B108" s="14"/>
      <c r="C108" s="14"/>
      <c r="D108" s="14"/>
      <c r="E108" s="14"/>
      <c r="F108" s="14"/>
      <c r="G108" s="14"/>
      <c r="H108" s="14"/>
      <c r="I108" s="14"/>
      <c r="J108" s="14"/>
      <c r="K108" s="14"/>
      <c r="L108" s="14"/>
      <c r="M108" s="14"/>
      <c r="N108" s="14"/>
      <c r="O108" s="14"/>
      <c r="P108" s="14"/>
      <c r="Q108" s="14"/>
      <c r="R108" s="60"/>
    </row>
    <row r="109" ht="28.5" customHeight="1">
      <c r="A109" s="14"/>
      <c r="B109" s="14"/>
      <c r="C109" s="14"/>
      <c r="D109" s="14"/>
      <c r="E109" s="14"/>
      <c r="F109" s="14"/>
      <c r="G109" s="14"/>
      <c r="H109" s="14"/>
      <c r="I109" s="14"/>
      <c r="J109" s="14"/>
      <c r="K109" s="14"/>
      <c r="L109" s="14"/>
      <c r="M109" s="14"/>
      <c r="N109" s="14"/>
      <c r="O109" s="14"/>
      <c r="P109" s="14"/>
      <c r="Q109" s="14"/>
      <c r="R109" s="60"/>
    </row>
    <row r="110" ht="28.5" customHeight="1">
      <c r="A110" s="14"/>
      <c r="B110" s="14"/>
      <c r="C110" s="14"/>
      <c r="D110" s="14"/>
      <c r="E110" s="14"/>
      <c r="F110" s="14"/>
      <c r="G110" s="14"/>
      <c r="H110" s="14"/>
      <c r="I110" s="14"/>
      <c r="J110" s="14"/>
      <c r="K110" s="14"/>
      <c r="L110" s="14"/>
      <c r="M110" s="14"/>
      <c r="N110" s="14"/>
      <c r="O110" s="14"/>
      <c r="P110" s="14"/>
      <c r="Q110" s="14"/>
      <c r="R110" s="60"/>
    </row>
    <row r="111" ht="28.5" customHeight="1">
      <c r="A111" s="14"/>
      <c r="B111" s="14"/>
      <c r="C111" s="14"/>
      <c r="D111" s="14"/>
      <c r="E111" s="14"/>
      <c r="F111" s="14"/>
      <c r="G111" s="14"/>
      <c r="H111" s="14"/>
      <c r="I111" s="14"/>
      <c r="J111" s="14"/>
      <c r="K111" s="14"/>
      <c r="L111" s="14"/>
      <c r="M111" s="14"/>
      <c r="N111" s="14"/>
      <c r="O111" s="14"/>
      <c r="P111" s="14"/>
      <c r="Q111" s="14"/>
      <c r="R111" s="60"/>
    </row>
    <row r="112" ht="28.5" customHeight="1">
      <c r="A112" s="14"/>
      <c r="B112" s="14"/>
      <c r="C112" s="14"/>
      <c r="D112" s="14"/>
      <c r="E112" s="14"/>
      <c r="F112" s="14"/>
      <c r="G112" s="14"/>
      <c r="H112" s="14"/>
      <c r="I112" s="14"/>
      <c r="J112" s="14"/>
      <c r="K112" s="14"/>
      <c r="L112" s="14"/>
      <c r="M112" s="14"/>
      <c r="N112" s="14"/>
      <c r="O112" s="14"/>
      <c r="P112" s="14"/>
      <c r="Q112" s="14"/>
      <c r="R112" s="60"/>
    </row>
    <row r="113" ht="28.5" customHeight="1">
      <c r="A113" s="14"/>
      <c r="B113" s="14"/>
      <c r="C113" s="14"/>
      <c r="D113" s="14"/>
      <c r="E113" s="14"/>
      <c r="F113" s="14"/>
      <c r="G113" s="14"/>
      <c r="H113" s="14"/>
      <c r="I113" s="14"/>
      <c r="J113" s="14"/>
      <c r="K113" s="14"/>
      <c r="L113" s="14"/>
      <c r="M113" s="14"/>
      <c r="N113" s="14"/>
      <c r="O113" s="14"/>
      <c r="P113" s="14"/>
      <c r="Q113" s="14"/>
      <c r="R113" s="60"/>
    </row>
    <row r="114" ht="28.5" customHeight="1">
      <c r="A114" s="14"/>
      <c r="B114" s="14"/>
      <c r="C114" s="14"/>
      <c r="D114" s="14"/>
      <c r="E114" s="14"/>
      <c r="F114" s="14"/>
      <c r="G114" s="14"/>
      <c r="H114" s="14"/>
      <c r="I114" s="14"/>
      <c r="J114" s="14"/>
      <c r="K114" s="14"/>
      <c r="L114" s="14"/>
      <c r="M114" s="14"/>
      <c r="N114" s="14"/>
      <c r="O114" s="14"/>
      <c r="P114" s="14"/>
      <c r="Q114" s="14"/>
      <c r="R114" s="60"/>
    </row>
    <row r="115" ht="28.5" customHeight="1">
      <c r="A115" s="14"/>
      <c r="B115" s="14"/>
      <c r="C115" s="14"/>
      <c r="D115" s="14"/>
      <c r="E115" s="14"/>
      <c r="F115" s="14"/>
      <c r="G115" s="14"/>
      <c r="H115" s="14"/>
      <c r="I115" s="14"/>
      <c r="J115" s="14"/>
      <c r="K115" s="14"/>
      <c r="L115" s="14"/>
      <c r="M115" s="14"/>
      <c r="N115" s="14"/>
      <c r="O115" s="14"/>
      <c r="P115" s="14"/>
      <c r="Q115" s="14"/>
      <c r="R115" s="60"/>
    </row>
    <row r="116" ht="28.5" customHeight="1">
      <c r="A116" s="14"/>
      <c r="B116" s="14"/>
      <c r="C116" s="14"/>
      <c r="D116" s="14"/>
      <c r="E116" s="14"/>
      <c r="F116" s="14"/>
      <c r="G116" s="14"/>
      <c r="H116" s="14"/>
      <c r="I116" s="14"/>
      <c r="J116" s="14"/>
      <c r="K116" s="14"/>
      <c r="L116" s="14"/>
      <c r="M116" s="14"/>
      <c r="N116" s="14"/>
      <c r="O116" s="14"/>
      <c r="P116" s="14"/>
      <c r="Q116" s="14"/>
      <c r="R116" s="60"/>
    </row>
    <row r="117" ht="28.5" customHeight="1">
      <c r="A117" s="14"/>
      <c r="B117" s="14"/>
      <c r="C117" s="14"/>
      <c r="D117" s="14"/>
      <c r="E117" s="14"/>
      <c r="F117" s="14"/>
      <c r="G117" s="14"/>
      <c r="H117" s="14"/>
      <c r="I117" s="14"/>
      <c r="J117" s="14"/>
      <c r="K117" s="14"/>
      <c r="L117" s="14"/>
      <c r="M117" s="14"/>
      <c r="N117" s="14"/>
      <c r="O117" s="14"/>
      <c r="P117" s="14"/>
      <c r="Q117" s="14"/>
      <c r="R117" s="60"/>
    </row>
    <row r="118" ht="28.5" customHeight="1">
      <c r="A118" s="14"/>
      <c r="B118" s="14"/>
      <c r="C118" s="14"/>
      <c r="D118" s="14"/>
      <c r="E118" s="14"/>
      <c r="F118" s="14"/>
      <c r="G118" s="14"/>
      <c r="H118" s="14"/>
      <c r="I118" s="14"/>
      <c r="J118" s="14"/>
      <c r="K118" s="14"/>
      <c r="L118" s="14"/>
      <c r="M118" s="14"/>
      <c r="N118" s="14"/>
      <c r="O118" s="14"/>
      <c r="P118" s="14"/>
      <c r="Q118" s="14"/>
      <c r="R118" s="60"/>
    </row>
    <row r="119" ht="28.5" customHeight="1">
      <c r="A119" s="14"/>
      <c r="B119" s="14"/>
      <c r="C119" s="14"/>
      <c r="D119" s="14"/>
      <c r="E119" s="14"/>
      <c r="F119" s="14"/>
      <c r="G119" s="14"/>
      <c r="H119" s="14"/>
      <c r="I119" s="14"/>
      <c r="J119" s="14"/>
      <c r="K119" s="14"/>
      <c r="L119" s="14"/>
      <c r="M119" s="14"/>
      <c r="N119" s="14"/>
      <c r="O119" s="14"/>
      <c r="P119" s="14"/>
      <c r="Q119" s="14"/>
      <c r="R119" s="60"/>
    </row>
    <row r="120" ht="28.5" customHeight="1">
      <c r="A120" s="14"/>
      <c r="B120" s="14"/>
      <c r="C120" s="14"/>
      <c r="D120" s="14"/>
      <c r="E120" s="14"/>
      <c r="F120" s="14"/>
      <c r="G120" s="14"/>
      <c r="H120" s="14"/>
      <c r="I120" s="14"/>
      <c r="J120" s="14"/>
      <c r="K120" s="14"/>
      <c r="L120" s="14"/>
      <c r="M120" s="14"/>
      <c r="N120" s="14"/>
      <c r="O120" s="14"/>
      <c r="P120" s="14"/>
      <c r="Q120" s="14"/>
      <c r="R120" s="60"/>
    </row>
    <row r="121" ht="28.5" customHeight="1">
      <c r="A121" s="14"/>
      <c r="B121" s="14"/>
      <c r="C121" s="14"/>
      <c r="D121" s="14"/>
      <c r="E121" s="14"/>
      <c r="F121" s="14"/>
      <c r="G121" s="14"/>
      <c r="H121" s="14"/>
      <c r="I121" s="14"/>
      <c r="J121" s="14"/>
      <c r="K121" s="14"/>
      <c r="L121" s="14"/>
      <c r="M121" s="14"/>
      <c r="N121" s="14"/>
      <c r="O121" s="14"/>
      <c r="P121" s="14"/>
      <c r="Q121" s="14"/>
      <c r="R121" s="60"/>
    </row>
    <row r="122" ht="28.5" customHeight="1">
      <c r="A122" s="14"/>
      <c r="B122" s="14"/>
      <c r="C122" s="14"/>
      <c r="D122" s="14"/>
      <c r="E122" s="14"/>
      <c r="F122" s="14"/>
      <c r="G122" s="14"/>
      <c r="H122" s="14"/>
      <c r="I122" s="14"/>
      <c r="J122" s="14"/>
      <c r="K122" s="14"/>
      <c r="L122" s="14"/>
      <c r="M122" s="14"/>
      <c r="N122" s="14"/>
      <c r="O122" s="14"/>
      <c r="P122" s="14"/>
      <c r="Q122" s="14"/>
      <c r="R122" s="60"/>
    </row>
    <row r="123" ht="28.5" customHeight="1">
      <c r="A123" s="14"/>
      <c r="B123" s="14"/>
      <c r="C123" s="14"/>
      <c r="D123" s="14"/>
      <c r="E123" s="14"/>
      <c r="F123" s="14"/>
      <c r="G123" s="14"/>
      <c r="H123" s="14"/>
      <c r="I123" s="14"/>
      <c r="J123" s="14"/>
      <c r="K123" s="14"/>
      <c r="L123" s="14"/>
      <c r="M123" s="14"/>
      <c r="N123" s="14"/>
      <c r="O123" s="14"/>
      <c r="P123" s="14"/>
      <c r="Q123" s="14"/>
      <c r="R123" s="60"/>
    </row>
    <row r="124" ht="28.5" customHeight="1">
      <c r="A124" s="14"/>
      <c r="B124" s="14"/>
      <c r="C124" s="14"/>
      <c r="D124" s="14"/>
      <c r="E124" s="14"/>
      <c r="F124" s="14"/>
      <c r="G124" s="14"/>
      <c r="H124" s="14"/>
      <c r="I124" s="14"/>
      <c r="J124" s="14"/>
      <c r="K124" s="14"/>
      <c r="L124" s="14"/>
      <c r="M124" s="14"/>
      <c r="N124" s="14"/>
      <c r="O124" s="14"/>
      <c r="P124" s="14"/>
      <c r="Q124" s="14"/>
      <c r="R124" s="60"/>
    </row>
    <row r="125" ht="28.5" customHeight="1">
      <c r="A125" s="14"/>
      <c r="B125" s="14"/>
      <c r="C125" s="14"/>
      <c r="D125" s="14"/>
      <c r="E125" s="14"/>
      <c r="F125" s="14"/>
      <c r="G125" s="14"/>
      <c r="H125" s="14"/>
      <c r="I125" s="14"/>
      <c r="J125" s="14"/>
      <c r="K125" s="14"/>
      <c r="L125" s="14"/>
      <c r="M125" s="14"/>
      <c r="N125" s="14"/>
      <c r="O125" s="14"/>
      <c r="P125" s="14"/>
      <c r="Q125" s="14"/>
      <c r="R125" s="60"/>
    </row>
    <row r="126" ht="28.5" customHeight="1">
      <c r="A126" s="14"/>
      <c r="B126" s="14"/>
      <c r="C126" s="14"/>
      <c r="D126" s="14"/>
      <c r="E126" s="14"/>
      <c r="F126" s="14"/>
      <c r="G126" s="14"/>
      <c r="H126" s="14"/>
      <c r="I126" s="14"/>
      <c r="J126" s="14"/>
      <c r="K126" s="14"/>
      <c r="L126" s="14"/>
      <c r="M126" s="14"/>
      <c r="N126" s="14"/>
      <c r="O126" s="14"/>
      <c r="P126" s="14"/>
      <c r="Q126" s="14"/>
      <c r="R126" s="60"/>
    </row>
    <row r="127" ht="28.5" customHeight="1">
      <c r="A127" s="14"/>
      <c r="B127" s="14"/>
      <c r="C127" s="14"/>
      <c r="D127" s="14"/>
      <c r="E127" s="14"/>
      <c r="F127" s="14"/>
      <c r="G127" s="14"/>
      <c r="H127" s="14"/>
      <c r="I127" s="14"/>
      <c r="J127" s="14"/>
      <c r="K127" s="14"/>
      <c r="L127" s="14"/>
      <c r="M127" s="14"/>
      <c r="N127" s="14"/>
      <c r="O127" s="14"/>
      <c r="P127" s="14"/>
      <c r="Q127" s="14"/>
      <c r="R127" s="60"/>
    </row>
    <row r="128" ht="28.5" customHeight="1">
      <c r="A128" s="14"/>
      <c r="B128" s="14"/>
      <c r="C128" s="14"/>
      <c r="D128" s="14"/>
      <c r="E128" s="14"/>
      <c r="F128" s="14"/>
      <c r="G128" s="14"/>
      <c r="H128" s="14"/>
      <c r="I128" s="14"/>
      <c r="J128" s="14"/>
      <c r="K128" s="14"/>
      <c r="L128" s="14"/>
      <c r="M128" s="14"/>
      <c r="N128" s="14"/>
      <c r="O128" s="14"/>
      <c r="P128" s="14"/>
      <c r="Q128" s="14"/>
      <c r="R128" s="60"/>
    </row>
    <row r="129" ht="28.5" customHeight="1">
      <c r="A129" s="14"/>
      <c r="B129" s="14"/>
      <c r="C129" s="14"/>
      <c r="D129" s="14"/>
      <c r="E129" s="14"/>
      <c r="F129" s="14"/>
      <c r="G129" s="14"/>
      <c r="H129" s="14"/>
      <c r="I129" s="14"/>
      <c r="J129" s="14"/>
      <c r="K129" s="14"/>
      <c r="L129" s="14"/>
      <c r="M129" s="14"/>
      <c r="N129" s="14"/>
      <c r="O129" s="14"/>
      <c r="P129" s="14"/>
      <c r="Q129" s="14"/>
      <c r="R129" s="60"/>
    </row>
    <row r="130" ht="28.5" customHeight="1">
      <c r="A130" s="14"/>
      <c r="B130" s="14"/>
      <c r="C130" s="14"/>
      <c r="D130" s="14"/>
      <c r="E130" s="14"/>
      <c r="F130" s="14"/>
      <c r="G130" s="14"/>
      <c r="H130" s="14"/>
      <c r="I130" s="14"/>
      <c r="J130" s="14"/>
      <c r="K130" s="14"/>
      <c r="L130" s="14"/>
      <c r="M130" s="14"/>
      <c r="N130" s="14"/>
      <c r="O130" s="14"/>
      <c r="P130" s="14"/>
      <c r="Q130" s="14"/>
      <c r="R130" s="60"/>
    </row>
    <row r="131" ht="28.5" customHeight="1">
      <c r="A131" s="14"/>
      <c r="B131" s="14"/>
      <c r="C131" s="14"/>
      <c r="D131" s="14"/>
      <c r="E131" s="14"/>
      <c r="F131" s="14"/>
      <c r="G131" s="14"/>
      <c r="H131" s="14"/>
      <c r="I131" s="14"/>
      <c r="J131" s="14"/>
      <c r="K131" s="14"/>
      <c r="L131" s="14"/>
      <c r="M131" s="14"/>
      <c r="N131" s="14"/>
      <c r="O131" s="14"/>
      <c r="P131" s="14"/>
      <c r="Q131" s="14"/>
      <c r="R131" s="60"/>
    </row>
    <row r="132" ht="28.5" customHeight="1">
      <c r="A132" s="14"/>
      <c r="B132" s="14"/>
      <c r="C132" s="14"/>
      <c r="D132" s="14"/>
      <c r="E132" s="14"/>
      <c r="F132" s="14"/>
      <c r="G132" s="14"/>
      <c r="H132" s="14"/>
      <c r="I132" s="14"/>
      <c r="J132" s="14"/>
      <c r="K132" s="14"/>
      <c r="L132" s="14"/>
      <c r="M132" s="14"/>
      <c r="N132" s="14"/>
      <c r="O132" s="14"/>
      <c r="P132" s="14"/>
      <c r="Q132" s="14"/>
      <c r="R132" s="60"/>
    </row>
    <row r="133" ht="28.5" customHeight="1">
      <c r="A133" s="14"/>
      <c r="B133" s="14"/>
      <c r="C133" s="14"/>
      <c r="D133" s="14"/>
      <c r="E133" s="14"/>
      <c r="F133" s="14"/>
      <c r="G133" s="14"/>
      <c r="H133" s="14"/>
      <c r="I133" s="14"/>
      <c r="J133" s="14"/>
      <c r="K133" s="14"/>
      <c r="L133" s="14"/>
      <c r="M133" s="14"/>
      <c r="N133" s="14"/>
      <c r="O133" s="14"/>
      <c r="P133" s="14"/>
      <c r="Q133" s="14"/>
      <c r="R133" s="60"/>
    </row>
    <row r="134" ht="28.5" customHeight="1">
      <c r="A134" s="14"/>
      <c r="B134" s="14"/>
      <c r="C134" s="14"/>
      <c r="D134" s="14"/>
      <c r="E134" s="14"/>
      <c r="F134" s="14"/>
      <c r="G134" s="14"/>
      <c r="H134" s="14"/>
      <c r="I134" s="14"/>
      <c r="J134" s="14"/>
      <c r="K134" s="14"/>
      <c r="L134" s="14"/>
      <c r="M134" s="14"/>
      <c r="N134" s="14"/>
      <c r="O134" s="14"/>
      <c r="P134" s="14"/>
      <c r="Q134" s="14"/>
      <c r="R134" s="60"/>
    </row>
    <row r="135" ht="28.5" customHeight="1">
      <c r="A135" s="14"/>
      <c r="B135" s="14"/>
      <c r="C135" s="14"/>
      <c r="D135" s="14"/>
      <c r="E135" s="14"/>
      <c r="F135" s="14"/>
      <c r="G135" s="14"/>
      <c r="H135" s="14"/>
      <c r="I135" s="14"/>
      <c r="J135" s="14"/>
      <c r="K135" s="14"/>
      <c r="L135" s="14"/>
      <c r="M135" s="14"/>
      <c r="N135" s="14"/>
      <c r="O135" s="14"/>
      <c r="P135" s="14"/>
      <c r="Q135" s="14"/>
      <c r="R135" s="60"/>
    </row>
    <row r="136" ht="28.5" customHeight="1">
      <c r="A136" s="14"/>
      <c r="B136" s="14"/>
      <c r="C136" s="14"/>
      <c r="D136" s="14"/>
      <c r="E136" s="14"/>
      <c r="F136" s="14"/>
      <c r="G136" s="14"/>
      <c r="H136" s="14"/>
      <c r="I136" s="14"/>
      <c r="J136" s="14"/>
      <c r="K136" s="14"/>
      <c r="L136" s="14"/>
      <c r="M136" s="14"/>
      <c r="N136" s="14"/>
      <c r="O136" s="14"/>
      <c r="P136" s="14"/>
      <c r="Q136" s="14"/>
      <c r="R136" s="60"/>
    </row>
    <row r="137" ht="28.5" customHeight="1">
      <c r="A137" s="14"/>
      <c r="B137" s="14"/>
      <c r="C137" s="14"/>
      <c r="D137" s="14"/>
      <c r="E137" s="14"/>
      <c r="F137" s="14"/>
      <c r="G137" s="14"/>
      <c r="H137" s="14"/>
      <c r="I137" s="14"/>
      <c r="J137" s="14"/>
      <c r="K137" s="14"/>
      <c r="L137" s="14"/>
      <c r="M137" s="14"/>
      <c r="N137" s="14"/>
      <c r="O137" s="14"/>
      <c r="P137" s="14"/>
      <c r="Q137" s="14"/>
      <c r="R137" s="60"/>
    </row>
    <row r="138" ht="28.5" customHeight="1">
      <c r="A138" s="14"/>
      <c r="B138" s="14"/>
      <c r="C138" s="14"/>
      <c r="D138" s="14"/>
      <c r="E138" s="14"/>
      <c r="F138" s="14"/>
      <c r="G138" s="14"/>
      <c r="H138" s="14"/>
      <c r="I138" s="14"/>
      <c r="J138" s="14"/>
      <c r="K138" s="14"/>
      <c r="L138" s="14"/>
      <c r="M138" s="14"/>
      <c r="N138" s="14"/>
      <c r="O138" s="14"/>
      <c r="P138" s="14"/>
      <c r="Q138" s="14"/>
      <c r="R138" s="60"/>
    </row>
    <row r="139" ht="28.5" customHeight="1">
      <c r="A139" s="14"/>
      <c r="B139" s="14"/>
      <c r="C139" s="14"/>
      <c r="D139" s="14"/>
      <c r="E139" s="14"/>
      <c r="F139" s="14"/>
      <c r="G139" s="14"/>
      <c r="H139" s="14"/>
      <c r="I139" s="14"/>
      <c r="J139" s="14"/>
      <c r="K139" s="14"/>
      <c r="L139" s="14"/>
      <c r="M139" s="14"/>
      <c r="N139" s="14"/>
      <c r="O139" s="14"/>
      <c r="P139" s="14"/>
      <c r="Q139" s="14"/>
      <c r="R139" s="60"/>
    </row>
    <row r="140" ht="28.5" customHeight="1">
      <c r="A140" s="14"/>
      <c r="B140" s="14"/>
      <c r="C140" s="14"/>
      <c r="D140" s="14"/>
      <c r="E140" s="14"/>
      <c r="F140" s="14"/>
      <c r="G140" s="14"/>
      <c r="H140" s="14"/>
      <c r="I140" s="14"/>
      <c r="J140" s="14"/>
      <c r="K140" s="14"/>
      <c r="L140" s="14"/>
      <c r="M140" s="14"/>
      <c r="N140" s="14"/>
      <c r="O140" s="14"/>
      <c r="P140" s="14"/>
      <c r="Q140" s="14"/>
      <c r="R140" s="60"/>
    </row>
    <row r="141" ht="28.5" customHeight="1">
      <c r="A141" s="14"/>
      <c r="B141" s="14"/>
      <c r="C141" s="14"/>
      <c r="D141" s="14"/>
      <c r="E141" s="14"/>
      <c r="F141" s="14"/>
      <c r="G141" s="14"/>
      <c r="H141" s="14"/>
      <c r="I141" s="14"/>
      <c r="J141" s="14"/>
      <c r="K141" s="14"/>
      <c r="L141" s="14"/>
      <c r="M141" s="14"/>
      <c r="N141" s="14"/>
      <c r="O141" s="14"/>
      <c r="P141" s="14"/>
      <c r="Q141" s="14"/>
      <c r="R141" s="60"/>
    </row>
    <row r="142" ht="28.5" customHeight="1">
      <c r="A142" s="14"/>
      <c r="B142" s="14"/>
      <c r="C142" s="14"/>
      <c r="D142" s="14"/>
      <c r="E142" s="14"/>
      <c r="F142" s="14"/>
      <c r="G142" s="14"/>
      <c r="H142" s="14"/>
      <c r="I142" s="14"/>
      <c r="J142" s="14"/>
      <c r="K142" s="14"/>
      <c r="L142" s="14"/>
      <c r="M142" s="14"/>
      <c r="N142" s="14"/>
      <c r="O142" s="14"/>
      <c r="P142" s="14"/>
      <c r="Q142" s="14"/>
      <c r="R142" s="60"/>
    </row>
    <row r="143" ht="28.5" customHeight="1">
      <c r="A143" s="14"/>
      <c r="B143" s="14"/>
      <c r="C143" s="14"/>
      <c r="D143" s="14"/>
      <c r="E143" s="14"/>
      <c r="F143" s="14"/>
      <c r="G143" s="14"/>
      <c r="H143" s="14"/>
      <c r="I143" s="14"/>
      <c r="J143" s="14"/>
      <c r="K143" s="14"/>
      <c r="L143" s="14"/>
      <c r="M143" s="14"/>
      <c r="N143" s="14"/>
      <c r="O143" s="14"/>
      <c r="P143" s="14"/>
      <c r="Q143" s="14"/>
      <c r="R143" s="60"/>
    </row>
    <row r="144" ht="28.5" customHeight="1">
      <c r="A144" s="14"/>
      <c r="B144" s="14"/>
      <c r="C144" s="14"/>
      <c r="D144" s="14"/>
      <c r="E144" s="14"/>
      <c r="F144" s="14"/>
      <c r="G144" s="14"/>
      <c r="H144" s="14"/>
      <c r="I144" s="14"/>
      <c r="J144" s="14"/>
      <c r="K144" s="14"/>
      <c r="L144" s="14"/>
      <c r="M144" s="14"/>
      <c r="N144" s="14"/>
      <c r="O144" s="14"/>
      <c r="P144" s="14"/>
      <c r="Q144" s="14"/>
      <c r="R144" s="60"/>
    </row>
    <row r="145" ht="28.5" customHeight="1">
      <c r="A145" s="14"/>
      <c r="B145" s="14"/>
      <c r="C145" s="14"/>
      <c r="D145" s="14"/>
      <c r="E145" s="14"/>
      <c r="F145" s="14"/>
      <c r="G145" s="14"/>
      <c r="H145" s="14"/>
      <c r="I145" s="14"/>
      <c r="J145" s="14"/>
      <c r="K145" s="14"/>
      <c r="L145" s="14"/>
      <c r="M145" s="14"/>
      <c r="N145" s="14"/>
      <c r="O145" s="14"/>
      <c r="P145" s="14"/>
      <c r="Q145" s="14"/>
      <c r="R145" s="60"/>
    </row>
    <row r="146" ht="28.5" customHeight="1">
      <c r="A146" s="14"/>
      <c r="B146" s="14"/>
      <c r="C146" s="14"/>
      <c r="D146" s="14"/>
      <c r="E146" s="14"/>
      <c r="F146" s="14"/>
      <c r="G146" s="14"/>
      <c r="H146" s="14"/>
      <c r="I146" s="14"/>
      <c r="J146" s="14"/>
      <c r="K146" s="14"/>
      <c r="L146" s="14"/>
      <c r="M146" s="14"/>
      <c r="N146" s="14"/>
      <c r="O146" s="14"/>
      <c r="P146" s="14"/>
      <c r="Q146" s="14"/>
      <c r="R146" s="60"/>
    </row>
    <row r="147" ht="28.5" customHeight="1">
      <c r="A147" s="14"/>
      <c r="B147" s="14"/>
      <c r="C147" s="14"/>
      <c r="D147" s="14"/>
      <c r="E147" s="14"/>
      <c r="F147" s="14"/>
      <c r="G147" s="14"/>
      <c r="H147" s="14"/>
      <c r="I147" s="14"/>
      <c r="J147" s="14"/>
      <c r="K147" s="14"/>
      <c r="L147" s="14"/>
      <c r="M147" s="14"/>
      <c r="N147" s="14"/>
      <c r="O147" s="14"/>
      <c r="P147" s="14"/>
      <c r="Q147" s="14"/>
      <c r="R147" s="60"/>
    </row>
    <row r="148" ht="28.5" customHeight="1">
      <c r="A148" s="14"/>
      <c r="B148" s="14"/>
      <c r="C148" s="14"/>
      <c r="D148" s="14"/>
      <c r="E148" s="14"/>
      <c r="F148" s="14"/>
      <c r="G148" s="14"/>
      <c r="H148" s="14"/>
      <c r="I148" s="14"/>
      <c r="J148" s="14"/>
      <c r="K148" s="14"/>
      <c r="L148" s="14"/>
      <c r="M148" s="14"/>
      <c r="N148" s="14"/>
      <c r="O148" s="14"/>
      <c r="P148" s="14"/>
      <c r="Q148" s="14"/>
      <c r="R148" s="60"/>
    </row>
    <row r="149" ht="28.5" customHeight="1">
      <c r="A149" s="14"/>
      <c r="B149" s="14"/>
      <c r="C149" s="14"/>
      <c r="D149" s="14"/>
      <c r="E149" s="14"/>
      <c r="F149" s="14"/>
      <c r="G149" s="14"/>
      <c r="H149" s="14"/>
      <c r="I149" s="14"/>
      <c r="J149" s="14"/>
      <c r="K149" s="14"/>
      <c r="L149" s="14"/>
      <c r="M149" s="14"/>
      <c r="N149" s="14"/>
      <c r="O149" s="14"/>
      <c r="P149" s="14"/>
      <c r="Q149" s="14"/>
      <c r="R149" s="60"/>
    </row>
    <row r="150" ht="28.5" customHeight="1">
      <c r="A150" s="14"/>
      <c r="B150" s="14"/>
      <c r="C150" s="14"/>
      <c r="D150" s="14"/>
      <c r="E150" s="14"/>
      <c r="F150" s="14"/>
      <c r="G150" s="14"/>
      <c r="H150" s="14"/>
      <c r="I150" s="14"/>
      <c r="J150" s="14"/>
      <c r="K150" s="14"/>
      <c r="L150" s="14"/>
      <c r="M150" s="14"/>
      <c r="N150" s="14"/>
      <c r="O150" s="14"/>
      <c r="P150" s="14"/>
      <c r="Q150" s="14"/>
      <c r="R150" s="60"/>
    </row>
    <row r="151" ht="28.5" customHeight="1">
      <c r="A151" s="14"/>
      <c r="B151" s="14"/>
      <c r="C151" s="14"/>
      <c r="D151" s="14"/>
      <c r="E151" s="14"/>
      <c r="F151" s="14"/>
      <c r="G151" s="14"/>
      <c r="H151" s="14"/>
      <c r="I151" s="14"/>
      <c r="J151" s="14"/>
      <c r="K151" s="14"/>
      <c r="L151" s="14"/>
      <c r="M151" s="14"/>
      <c r="N151" s="14"/>
      <c r="O151" s="14"/>
      <c r="P151" s="14"/>
      <c r="Q151" s="14"/>
      <c r="R151" s="60"/>
    </row>
    <row r="152" ht="28.5" customHeight="1">
      <c r="A152" s="14"/>
      <c r="B152" s="14"/>
      <c r="C152" s="14"/>
      <c r="D152" s="14"/>
      <c r="E152" s="14"/>
      <c r="F152" s="14"/>
      <c r="G152" s="14"/>
      <c r="H152" s="14"/>
      <c r="I152" s="14"/>
      <c r="J152" s="14"/>
      <c r="K152" s="14"/>
      <c r="L152" s="14"/>
      <c r="M152" s="14"/>
      <c r="N152" s="14"/>
      <c r="O152" s="14"/>
      <c r="P152" s="14"/>
      <c r="Q152" s="14"/>
      <c r="R152" s="60"/>
    </row>
    <row r="153" ht="28.5" customHeight="1">
      <c r="A153" s="14"/>
      <c r="B153" s="14"/>
      <c r="C153" s="14"/>
      <c r="D153" s="14"/>
      <c r="E153" s="14"/>
      <c r="F153" s="14"/>
      <c r="G153" s="14"/>
      <c r="H153" s="14"/>
      <c r="I153" s="14"/>
      <c r="J153" s="14"/>
      <c r="K153" s="14"/>
      <c r="L153" s="14"/>
      <c r="M153" s="14"/>
      <c r="N153" s="14"/>
      <c r="O153" s="14"/>
      <c r="P153" s="14"/>
      <c r="Q153" s="14"/>
      <c r="R153" s="60"/>
    </row>
    <row r="154" ht="28.5" customHeight="1">
      <c r="A154" s="14"/>
      <c r="B154" s="14"/>
      <c r="C154" s="14"/>
      <c r="D154" s="14"/>
      <c r="E154" s="14"/>
      <c r="F154" s="14"/>
      <c r="G154" s="14"/>
      <c r="H154" s="14"/>
      <c r="I154" s="14"/>
      <c r="J154" s="14"/>
      <c r="K154" s="14"/>
      <c r="L154" s="14"/>
      <c r="M154" s="14"/>
      <c r="N154" s="14"/>
      <c r="O154" s="14"/>
      <c r="P154" s="14"/>
      <c r="Q154" s="14"/>
      <c r="R154" s="60"/>
    </row>
    <row r="155" ht="28.5" customHeight="1">
      <c r="A155" s="14"/>
      <c r="B155" s="14"/>
      <c r="C155" s="14"/>
      <c r="D155" s="14"/>
      <c r="E155" s="14"/>
      <c r="F155" s="14"/>
      <c r="G155" s="14"/>
      <c r="H155" s="14"/>
      <c r="I155" s="14"/>
      <c r="J155" s="14"/>
      <c r="K155" s="14"/>
      <c r="L155" s="14"/>
      <c r="M155" s="14"/>
      <c r="N155" s="14"/>
      <c r="O155" s="14"/>
      <c r="P155" s="14"/>
      <c r="Q155" s="14"/>
      <c r="R155" s="60"/>
    </row>
    <row r="156" ht="28.5" customHeight="1">
      <c r="A156" s="14"/>
      <c r="B156" s="14"/>
      <c r="C156" s="14"/>
      <c r="D156" s="14"/>
      <c r="E156" s="14"/>
      <c r="F156" s="14"/>
      <c r="G156" s="14"/>
      <c r="H156" s="14"/>
      <c r="I156" s="14"/>
      <c r="J156" s="14"/>
      <c r="K156" s="14"/>
      <c r="L156" s="14"/>
      <c r="M156" s="14"/>
      <c r="N156" s="14"/>
      <c r="O156" s="14"/>
      <c r="P156" s="14"/>
      <c r="Q156" s="14"/>
      <c r="R156" s="60"/>
    </row>
    <row r="157" ht="28.5" customHeight="1">
      <c r="A157" s="14"/>
      <c r="B157" s="14"/>
      <c r="C157" s="14"/>
      <c r="D157" s="14"/>
      <c r="E157" s="14"/>
      <c r="F157" s="14"/>
      <c r="G157" s="14"/>
      <c r="H157" s="14"/>
      <c r="I157" s="14"/>
      <c r="J157" s="14"/>
      <c r="K157" s="14"/>
      <c r="L157" s="14"/>
      <c r="M157" s="14"/>
      <c r="N157" s="14"/>
      <c r="O157" s="14"/>
      <c r="P157" s="14"/>
      <c r="Q157" s="14"/>
      <c r="R157" s="60"/>
    </row>
    <row r="158" ht="28.5" customHeight="1">
      <c r="A158" s="14"/>
      <c r="B158" s="14"/>
      <c r="C158" s="14"/>
      <c r="D158" s="14"/>
      <c r="E158" s="14"/>
      <c r="F158" s="14"/>
      <c r="G158" s="14"/>
      <c r="H158" s="14"/>
      <c r="I158" s="14"/>
      <c r="J158" s="14"/>
      <c r="K158" s="14"/>
      <c r="L158" s="14"/>
      <c r="M158" s="14"/>
      <c r="N158" s="14"/>
      <c r="O158" s="14"/>
      <c r="P158" s="14"/>
      <c r="Q158" s="14"/>
      <c r="R158" s="60"/>
    </row>
    <row r="159" ht="28.5" customHeight="1">
      <c r="A159" s="14"/>
      <c r="B159" s="14"/>
      <c r="C159" s="14"/>
      <c r="D159" s="14"/>
      <c r="E159" s="14"/>
      <c r="F159" s="14"/>
      <c r="G159" s="14"/>
      <c r="H159" s="14"/>
      <c r="I159" s="14"/>
      <c r="J159" s="14"/>
      <c r="K159" s="14"/>
      <c r="L159" s="14"/>
      <c r="M159" s="14"/>
      <c r="N159" s="14"/>
      <c r="O159" s="14"/>
      <c r="P159" s="14"/>
      <c r="Q159" s="14"/>
      <c r="R159" s="60"/>
    </row>
    <row r="160" ht="28.5" customHeight="1">
      <c r="A160" s="14"/>
      <c r="B160" s="14"/>
      <c r="C160" s="14"/>
      <c r="D160" s="14"/>
      <c r="E160" s="14"/>
      <c r="F160" s="14"/>
      <c r="G160" s="14"/>
      <c r="H160" s="14"/>
      <c r="I160" s="14"/>
      <c r="J160" s="14"/>
      <c r="K160" s="14"/>
      <c r="L160" s="14"/>
      <c r="M160" s="14"/>
      <c r="N160" s="14"/>
      <c r="O160" s="14"/>
      <c r="P160" s="14"/>
      <c r="Q160" s="14"/>
      <c r="R160" s="60"/>
    </row>
    <row r="161" ht="28.5" customHeight="1">
      <c r="A161" s="14"/>
      <c r="B161" s="14"/>
      <c r="C161" s="14"/>
      <c r="D161" s="14"/>
      <c r="E161" s="14"/>
      <c r="F161" s="14"/>
      <c r="G161" s="14"/>
      <c r="H161" s="14"/>
      <c r="I161" s="14"/>
      <c r="J161" s="14"/>
      <c r="K161" s="14"/>
      <c r="L161" s="14"/>
      <c r="M161" s="14"/>
      <c r="N161" s="14"/>
      <c r="O161" s="14"/>
      <c r="P161" s="14"/>
      <c r="Q161" s="14"/>
      <c r="R161" s="60"/>
    </row>
    <row r="162" ht="28.5" customHeight="1">
      <c r="A162" s="14"/>
      <c r="B162" s="14"/>
      <c r="C162" s="14"/>
      <c r="D162" s="14"/>
      <c r="E162" s="14"/>
      <c r="F162" s="14"/>
      <c r="G162" s="14"/>
      <c r="H162" s="14"/>
      <c r="I162" s="14"/>
      <c r="J162" s="14"/>
      <c r="K162" s="14"/>
      <c r="L162" s="14"/>
      <c r="M162" s="14"/>
      <c r="N162" s="14"/>
      <c r="O162" s="14"/>
      <c r="P162" s="14"/>
      <c r="Q162" s="14"/>
      <c r="R162" s="60"/>
    </row>
    <row r="163" ht="28.5" customHeight="1">
      <c r="A163" s="14"/>
      <c r="B163" s="14"/>
      <c r="C163" s="14"/>
      <c r="D163" s="14"/>
      <c r="E163" s="14"/>
      <c r="F163" s="14"/>
      <c r="G163" s="14"/>
      <c r="H163" s="14"/>
      <c r="I163" s="14"/>
      <c r="J163" s="14"/>
      <c r="K163" s="14"/>
      <c r="L163" s="14"/>
      <c r="M163" s="14"/>
      <c r="N163" s="14"/>
      <c r="O163" s="14"/>
      <c r="P163" s="14"/>
      <c r="Q163" s="14"/>
      <c r="R163" s="60"/>
    </row>
    <row r="164" ht="28.5" customHeight="1">
      <c r="A164" s="14"/>
      <c r="B164" s="14"/>
      <c r="C164" s="14"/>
      <c r="D164" s="14"/>
      <c r="E164" s="14"/>
      <c r="F164" s="14"/>
      <c r="G164" s="14"/>
      <c r="H164" s="14"/>
      <c r="I164" s="14"/>
      <c r="J164" s="14"/>
      <c r="K164" s="14"/>
      <c r="L164" s="14"/>
      <c r="M164" s="14"/>
      <c r="N164" s="14"/>
      <c r="O164" s="14"/>
      <c r="P164" s="14"/>
      <c r="Q164" s="14"/>
      <c r="R164" s="60"/>
    </row>
    <row r="165" ht="28.5" customHeight="1">
      <c r="A165" s="14"/>
      <c r="B165" s="14"/>
      <c r="C165" s="14"/>
      <c r="D165" s="14"/>
      <c r="E165" s="14"/>
      <c r="F165" s="14"/>
      <c r="G165" s="14"/>
      <c r="H165" s="14"/>
      <c r="I165" s="14"/>
      <c r="J165" s="14"/>
      <c r="K165" s="14"/>
      <c r="L165" s="14"/>
      <c r="M165" s="14"/>
      <c r="N165" s="14"/>
      <c r="O165" s="14"/>
      <c r="P165" s="14"/>
      <c r="Q165" s="14"/>
      <c r="R165" s="60"/>
    </row>
    <row r="166" ht="28.5" customHeight="1">
      <c r="A166" s="14"/>
      <c r="B166" s="14"/>
      <c r="C166" s="14"/>
      <c r="D166" s="14"/>
      <c r="E166" s="14"/>
      <c r="F166" s="14"/>
      <c r="G166" s="14"/>
      <c r="H166" s="14"/>
      <c r="I166" s="14"/>
      <c r="J166" s="14"/>
      <c r="K166" s="14"/>
      <c r="L166" s="14"/>
      <c r="M166" s="14"/>
      <c r="N166" s="14"/>
      <c r="O166" s="14"/>
      <c r="P166" s="14"/>
      <c r="Q166" s="14"/>
      <c r="R166" s="60"/>
    </row>
    <row r="167" ht="28.5" customHeight="1">
      <c r="A167" s="14"/>
      <c r="B167" s="14"/>
      <c r="C167" s="14"/>
      <c r="D167" s="14"/>
      <c r="E167" s="14"/>
      <c r="F167" s="14"/>
      <c r="G167" s="14"/>
      <c r="H167" s="14"/>
      <c r="I167" s="14"/>
      <c r="J167" s="14"/>
      <c r="K167" s="14"/>
      <c r="L167" s="14"/>
      <c r="M167" s="14"/>
      <c r="N167" s="14"/>
      <c r="O167" s="14"/>
      <c r="P167" s="14"/>
      <c r="Q167" s="14"/>
      <c r="R167" s="60"/>
    </row>
    <row r="168" ht="28.5" customHeight="1">
      <c r="A168" s="14"/>
      <c r="B168" s="14"/>
      <c r="C168" s="14"/>
      <c r="D168" s="14"/>
      <c r="E168" s="14"/>
      <c r="F168" s="14"/>
      <c r="G168" s="14"/>
      <c r="H168" s="14"/>
      <c r="I168" s="14"/>
      <c r="J168" s="14"/>
      <c r="K168" s="14"/>
      <c r="L168" s="14"/>
      <c r="M168" s="14"/>
      <c r="N168" s="14"/>
      <c r="O168" s="14"/>
      <c r="P168" s="14"/>
      <c r="Q168" s="14"/>
      <c r="R168" s="60"/>
    </row>
    <row r="169" ht="28.5" customHeight="1">
      <c r="A169" s="14"/>
      <c r="B169" s="14"/>
      <c r="C169" s="14"/>
      <c r="D169" s="14"/>
      <c r="E169" s="14"/>
      <c r="F169" s="14"/>
      <c r="G169" s="14"/>
      <c r="H169" s="14"/>
      <c r="I169" s="14"/>
      <c r="J169" s="14"/>
      <c r="K169" s="14"/>
      <c r="L169" s="14"/>
      <c r="M169" s="14"/>
      <c r="N169" s="14"/>
      <c r="O169" s="14"/>
      <c r="P169" s="14"/>
      <c r="Q169" s="14"/>
      <c r="R169" s="60"/>
    </row>
    <row r="170" ht="28.5" customHeight="1">
      <c r="A170" s="14"/>
      <c r="B170" s="14"/>
      <c r="C170" s="14"/>
      <c r="D170" s="14"/>
      <c r="E170" s="14"/>
      <c r="F170" s="14"/>
      <c r="G170" s="14"/>
      <c r="H170" s="14"/>
      <c r="I170" s="14"/>
      <c r="J170" s="14"/>
      <c r="K170" s="14"/>
      <c r="L170" s="14"/>
      <c r="M170" s="14"/>
      <c r="N170" s="14"/>
      <c r="O170" s="14"/>
      <c r="P170" s="14"/>
      <c r="Q170" s="14"/>
      <c r="R170" s="60"/>
    </row>
    <row r="171" ht="28.5" customHeight="1">
      <c r="A171" s="14"/>
      <c r="B171" s="14"/>
      <c r="C171" s="14"/>
      <c r="D171" s="14"/>
      <c r="E171" s="14"/>
      <c r="F171" s="14"/>
      <c r="G171" s="14"/>
      <c r="H171" s="14"/>
      <c r="I171" s="14"/>
      <c r="J171" s="14"/>
      <c r="K171" s="14"/>
      <c r="L171" s="14"/>
      <c r="M171" s="14"/>
      <c r="N171" s="14"/>
      <c r="O171" s="14"/>
      <c r="P171" s="14"/>
      <c r="Q171" s="14"/>
      <c r="R171" s="60"/>
    </row>
    <row r="172" ht="28.5" customHeight="1">
      <c r="A172" s="14"/>
      <c r="B172" s="14"/>
      <c r="C172" s="14"/>
      <c r="D172" s="14"/>
      <c r="E172" s="14"/>
      <c r="F172" s="14"/>
      <c r="G172" s="14"/>
      <c r="H172" s="14"/>
      <c r="I172" s="14"/>
      <c r="J172" s="14"/>
      <c r="K172" s="14"/>
      <c r="L172" s="14"/>
      <c r="M172" s="14"/>
      <c r="N172" s="14"/>
      <c r="O172" s="14"/>
      <c r="P172" s="14"/>
      <c r="Q172" s="14"/>
      <c r="R172" s="60"/>
    </row>
    <row r="173" ht="28.5" customHeight="1">
      <c r="A173" s="14"/>
      <c r="B173" s="14"/>
      <c r="C173" s="14"/>
      <c r="D173" s="14"/>
      <c r="E173" s="14"/>
      <c r="F173" s="14"/>
      <c r="G173" s="14"/>
      <c r="H173" s="14"/>
      <c r="I173" s="14"/>
      <c r="J173" s="14"/>
      <c r="K173" s="14"/>
      <c r="L173" s="14"/>
      <c r="M173" s="14"/>
      <c r="N173" s="14"/>
      <c r="O173" s="14"/>
      <c r="P173" s="14"/>
      <c r="Q173" s="14"/>
      <c r="R173" s="60"/>
    </row>
    <row r="174" ht="28.5" customHeight="1">
      <c r="A174" s="14"/>
      <c r="B174" s="14"/>
      <c r="C174" s="14"/>
      <c r="D174" s="14"/>
      <c r="E174" s="14"/>
      <c r="F174" s="14"/>
      <c r="G174" s="14"/>
      <c r="H174" s="14"/>
      <c r="I174" s="14"/>
      <c r="J174" s="14"/>
      <c r="K174" s="14"/>
      <c r="L174" s="14"/>
      <c r="M174" s="14"/>
      <c r="N174" s="14"/>
      <c r="O174" s="14"/>
      <c r="P174" s="14"/>
      <c r="Q174" s="14"/>
      <c r="R174" s="60"/>
    </row>
    <row r="175" ht="28.5" customHeight="1">
      <c r="A175" s="14"/>
      <c r="B175" s="14"/>
      <c r="C175" s="14"/>
      <c r="D175" s="14"/>
      <c r="E175" s="14"/>
      <c r="F175" s="14"/>
      <c r="G175" s="14"/>
      <c r="H175" s="14"/>
      <c r="I175" s="14"/>
      <c r="J175" s="14"/>
      <c r="K175" s="14"/>
      <c r="L175" s="14"/>
      <c r="M175" s="14"/>
      <c r="N175" s="14"/>
      <c r="O175" s="14"/>
      <c r="P175" s="14"/>
      <c r="Q175" s="14"/>
      <c r="R175" s="60"/>
    </row>
    <row r="176" ht="28.5" customHeight="1">
      <c r="A176" s="14"/>
      <c r="B176" s="14"/>
      <c r="C176" s="14"/>
      <c r="D176" s="14"/>
      <c r="E176" s="14"/>
      <c r="F176" s="14"/>
      <c r="G176" s="14"/>
      <c r="H176" s="14"/>
      <c r="I176" s="14"/>
      <c r="J176" s="14"/>
      <c r="K176" s="14"/>
      <c r="L176" s="14"/>
      <c r="M176" s="14"/>
      <c r="N176" s="14"/>
      <c r="O176" s="14"/>
      <c r="P176" s="14"/>
      <c r="Q176" s="14"/>
      <c r="R176" s="60"/>
    </row>
    <row r="177" ht="28.5" customHeight="1">
      <c r="A177" s="14"/>
      <c r="B177" s="14"/>
      <c r="C177" s="14"/>
      <c r="D177" s="14"/>
      <c r="E177" s="14"/>
      <c r="F177" s="14"/>
      <c r="G177" s="14"/>
      <c r="H177" s="14"/>
      <c r="I177" s="14"/>
      <c r="J177" s="14"/>
      <c r="K177" s="14"/>
      <c r="L177" s="14"/>
      <c r="M177" s="14"/>
      <c r="N177" s="14"/>
      <c r="O177" s="14"/>
      <c r="P177" s="14"/>
      <c r="Q177" s="14"/>
      <c r="R177" s="60"/>
    </row>
    <row r="178" ht="28.5" customHeight="1">
      <c r="A178" s="14"/>
      <c r="B178" s="14"/>
      <c r="C178" s="14"/>
      <c r="D178" s="14"/>
      <c r="E178" s="14"/>
      <c r="F178" s="14"/>
      <c r="G178" s="14"/>
      <c r="H178" s="14"/>
      <c r="I178" s="14"/>
      <c r="J178" s="14"/>
      <c r="K178" s="14"/>
      <c r="L178" s="14"/>
      <c r="M178" s="14"/>
      <c r="N178" s="14"/>
      <c r="O178" s="14"/>
      <c r="P178" s="14"/>
      <c r="Q178" s="14"/>
      <c r="R178" s="60"/>
    </row>
    <row r="179" ht="28.5" customHeight="1">
      <c r="A179" s="14"/>
      <c r="B179" s="14"/>
      <c r="C179" s="14"/>
      <c r="D179" s="14"/>
      <c r="E179" s="14"/>
      <c r="F179" s="14"/>
      <c r="G179" s="14"/>
      <c r="H179" s="14"/>
      <c r="I179" s="14"/>
      <c r="J179" s="14"/>
      <c r="K179" s="14"/>
      <c r="L179" s="14"/>
      <c r="M179" s="14"/>
      <c r="N179" s="14"/>
      <c r="O179" s="14"/>
      <c r="P179" s="14"/>
      <c r="Q179" s="14"/>
      <c r="R179" s="60"/>
    </row>
    <row r="180" ht="28.5" customHeight="1">
      <c r="A180" s="14"/>
      <c r="B180" s="14"/>
      <c r="C180" s="14"/>
      <c r="D180" s="14"/>
      <c r="E180" s="14"/>
      <c r="F180" s="14"/>
      <c r="G180" s="14"/>
      <c r="H180" s="14"/>
      <c r="I180" s="14"/>
      <c r="J180" s="14"/>
      <c r="K180" s="14"/>
      <c r="L180" s="14"/>
      <c r="M180" s="14"/>
      <c r="N180" s="14"/>
      <c r="O180" s="14"/>
      <c r="P180" s="14"/>
      <c r="Q180" s="14"/>
      <c r="R180" s="60"/>
    </row>
    <row r="181" ht="28.5" customHeight="1">
      <c r="A181" s="14"/>
      <c r="B181" s="14"/>
      <c r="C181" s="14"/>
      <c r="D181" s="14"/>
      <c r="E181" s="14"/>
      <c r="F181" s="14"/>
      <c r="G181" s="14"/>
      <c r="H181" s="14"/>
      <c r="I181" s="14"/>
      <c r="J181" s="14"/>
      <c r="K181" s="14"/>
      <c r="L181" s="14"/>
      <c r="M181" s="14"/>
      <c r="N181" s="14"/>
      <c r="O181" s="14"/>
      <c r="P181" s="14"/>
      <c r="Q181" s="14"/>
      <c r="R181" s="60"/>
    </row>
    <row r="182" ht="28.5" customHeight="1">
      <c r="A182" s="14"/>
      <c r="B182" s="14"/>
      <c r="C182" s="14"/>
      <c r="D182" s="14"/>
      <c r="E182" s="14"/>
      <c r="F182" s="14"/>
      <c r="G182" s="14"/>
      <c r="H182" s="14"/>
      <c r="I182" s="14"/>
      <c r="J182" s="14"/>
      <c r="K182" s="14"/>
      <c r="L182" s="14"/>
      <c r="M182" s="14"/>
      <c r="N182" s="14"/>
      <c r="O182" s="14"/>
      <c r="P182" s="14"/>
      <c r="Q182" s="14"/>
      <c r="R182" s="60"/>
    </row>
    <row r="183" ht="28.5" customHeight="1">
      <c r="A183" s="14"/>
      <c r="B183" s="14"/>
      <c r="C183" s="14"/>
      <c r="D183" s="14"/>
      <c r="E183" s="14"/>
      <c r="F183" s="14"/>
      <c r="G183" s="14"/>
      <c r="H183" s="14"/>
      <c r="I183" s="14"/>
      <c r="J183" s="14"/>
      <c r="K183" s="14"/>
      <c r="L183" s="14"/>
      <c r="M183" s="14"/>
      <c r="N183" s="14"/>
      <c r="O183" s="14"/>
      <c r="P183" s="14"/>
      <c r="Q183" s="14"/>
      <c r="R183" s="60"/>
    </row>
    <row r="184" ht="28.5" customHeight="1">
      <c r="A184" s="14"/>
      <c r="B184" s="14"/>
      <c r="C184" s="14"/>
      <c r="D184" s="14"/>
      <c r="E184" s="14"/>
      <c r="F184" s="14"/>
      <c r="G184" s="14"/>
      <c r="H184" s="14"/>
      <c r="I184" s="14"/>
      <c r="J184" s="14"/>
      <c r="K184" s="14"/>
      <c r="L184" s="14"/>
      <c r="M184" s="14"/>
      <c r="N184" s="14"/>
      <c r="O184" s="14"/>
      <c r="P184" s="14"/>
      <c r="Q184" s="14"/>
      <c r="R184" s="60"/>
    </row>
    <row r="185" ht="28.5" customHeight="1">
      <c r="A185" s="14"/>
      <c r="B185" s="14"/>
      <c r="C185" s="14"/>
      <c r="D185" s="14"/>
      <c r="E185" s="14"/>
      <c r="F185" s="14"/>
      <c r="G185" s="14"/>
      <c r="H185" s="14"/>
      <c r="I185" s="14"/>
      <c r="J185" s="14"/>
      <c r="K185" s="14"/>
      <c r="L185" s="14"/>
      <c r="M185" s="14"/>
      <c r="N185" s="14"/>
      <c r="O185" s="14"/>
      <c r="P185" s="14"/>
      <c r="Q185" s="14"/>
      <c r="R185" s="60"/>
    </row>
    <row r="186" ht="28.5" customHeight="1">
      <c r="A186" s="14"/>
      <c r="B186" s="14"/>
      <c r="C186" s="14"/>
      <c r="D186" s="14"/>
      <c r="E186" s="14"/>
      <c r="F186" s="14"/>
      <c r="G186" s="14"/>
      <c r="H186" s="14"/>
      <c r="I186" s="14"/>
      <c r="J186" s="14"/>
      <c r="K186" s="14"/>
      <c r="L186" s="14"/>
      <c r="M186" s="14"/>
      <c r="N186" s="14"/>
      <c r="O186" s="14"/>
      <c r="P186" s="14"/>
      <c r="Q186" s="14"/>
      <c r="R186" s="60"/>
    </row>
    <row r="187" ht="28.5" customHeight="1">
      <c r="A187" s="14"/>
      <c r="B187" s="14"/>
      <c r="C187" s="14"/>
      <c r="D187" s="14"/>
      <c r="E187" s="14"/>
      <c r="F187" s="14"/>
      <c r="G187" s="14"/>
      <c r="H187" s="14"/>
      <c r="I187" s="14"/>
      <c r="J187" s="14"/>
      <c r="K187" s="14"/>
      <c r="L187" s="14"/>
      <c r="M187" s="14"/>
      <c r="N187" s="14"/>
      <c r="O187" s="14"/>
      <c r="P187" s="14"/>
      <c r="Q187" s="14"/>
      <c r="R187" s="60"/>
    </row>
    <row r="188" ht="28.5" customHeight="1">
      <c r="A188" s="14"/>
      <c r="B188" s="14"/>
      <c r="C188" s="14"/>
      <c r="D188" s="14"/>
      <c r="E188" s="14"/>
      <c r="F188" s="14"/>
      <c r="G188" s="14"/>
      <c r="H188" s="14"/>
      <c r="I188" s="14"/>
      <c r="J188" s="14"/>
      <c r="K188" s="14"/>
      <c r="L188" s="14"/>
      <c r="M188" s="14"/>
      <c r="N188" s="14"/>
      <c r="O188" s="14"/>
      <c r="P188" s="14"/>
      <c r="Q188" s="14"/>
      <c r="R188" s="60"/>
    </row>
    <row r="189" ht="28.5" customHeight="1">
      <c r="A189" s="14"/>
      <c r="B189" s="14"/>
      <c r="C189" s="14"/>
      <c r="D189" s="14"/>
      <c r="E189" s="14"/>
      <c r="F189" s="14"/>
      <c r="G189" s="14"/>
      <c r="H189" s="14"/>
      <c r="I189" s="14"/>
      <c r="J189" s="14"/>
      <c r="K189" s="14"/>
      <c r="L189" s="14"/>
      <c r="M189" s="14"/>
      <c r="N189" s="14"/>
      <c r="O189" s="14"/>
      <c r="P189" s="14"/>
      <c r="Q189" s="14"/>
      <c r="R189" s="60"/>
    </row>
    <row r="190" ht="28.5" customHeight="1">
      <c r="A190" s="14"/>
      <c r="B190" s="14"/>
      <c r="C190" s="14"/>
      <c r="D190" s="14"/>
      <c r="E190" s="14"/>
      <c r="F190" s="14"/>
      <c r="G190" s="14"/>
      <c r="H190" s="14"/>
      <c r="I190" s="14"/>
      <c r="J190" s="14"/>
      <c r="K190" s="14"/>
      <c r="L190" s="14"/>
      <c r="M190" s="14"/>
      <c r="N190" s="14"/>
      <c r="O190" s="14"/>
      <c r="P190" s="14"/>
      <c r="Q190" s="14"/>
      <c r="R190" s="60"/>
    </row>
    <row r="191" ht="28.5" customHeight="1">
      <c r="A191" s="14"/>
      <c r="B191" s="14"/>
      <c r="C191" s="14"/>
      <c r="D191" s="14"/>
      <c r="E191" s="14"/>
      <c r="F191" s="14"/>
      <c r="G191" s="14"/>
      <c r="H191" s="14"/>
      <c r="I191" s="14"/>
      <c r="J191" s="14"/>
      <c r="K191" s="14"/>
      <c r="L191" s="14"/>
      <c r="M191" s="14"/>
      <c r="N191" s="14"/>
      <c r="O191" s="14"/>
      <c r="P191" s="14"/>
      <c r="Q191" s="14"/>
      <c r="R191" s="60"/>
    </row>
    <row r="192" ht="28.5" customHeight="1">
      <c r="A192" s="14"/>
      <c r="B192" s="14"/>
      <c r="C192" s="14"/>
      <c r="D192" s="14"/>
      <c r="E192" s="14"/>
      <c r="F192" s="14"/>
      <c r="G192" s="14"/>
      <c r="H192" s="14"/>
      <c r="I192" s="14"/>
      <c r="J192" s="14"/>
      <c r="K192" s="14"/>
      <c r="L192" s="14"/>
      <c r="M192" s="14"/>
      <c r="N192" s="14"/>
      <c r="O192" s="14"/>
      <c r="P192" s="14"/>
      <c r="Q192" s="14"/>
      <c r="R192" s="60"/>
    </row>
    <row r="193" ht="28.5" customHeight="1">
      <c r="A193" s="14"/>
      <c r="B193" s="14"/>
      <c r="C193" s="14"/>
      <c r="D193" s="14"/>
      <c r="E193" s="14"/>
      <c r="F193" s="14"/>
      <c r="G193" s="14"/>
      <c r="H193" s="14"/>
      <c r="I193" s="14"/>
      <c r="J193" s="14"/>
      <c r="K193" s="14"/>
      <c r="L193" s="14"/>
      <c r="M193" s="14"/>
      <c r="N193" s="14"/>
      <c r="O193" s="14"/>
      <c r="P193" s="14"/>
      <c r="Q193" s="14"/>
      <c r="R193" s="60"/>
    </row>
    <row r="194" ht="28.5" customHeight="1">
      <c r="A194" s="14"/>
      <c r="B194" s="14"/>
      <c r="C194" s="14"/>
      <c r="D194" s="14"/>
      <c r="E194" s="14"/>
      <c r="F194" s="14"/>
      <c r="G194" s="14"/>
      <c r="H194" s="14"/>
      <c r="I194" s="14"/>
      <c r="J194" s="14"/>
      <c r="K194" s="14"/>
      <c r="L194" s="14"/>
      <c r="M194" s="14"/>
      <c r="N194" s="14"/>
      <c r="O194" s="14"/>
      <c r="P194" s="14"/>
      <c r="Q194" s="14"/>
      <c r="R194" s="60"/>
    </row>
    <row r="195" ht="28.5" customHeight="1">
      <c r="A195" s="14"/>
      <c r="B195" s="14"/>
      <c r="C195" s="14"/>
      <c r="D195" s="14"/>
      <c r="E195" s="14"/>
      <c r="F195" s="14"/>
      <c r="G195" s="14"/>
      <c r="H195" s="14"/>
      <c r="I195" s="14"/>
      <c r="J195" s="14"/>
      <c r="K195" s="14"/>
      <c r="L195" s="14"/>
      <c r="M195" s="14"/>
      <c r="N195" s="14"/>
      <c r="O195" s="14"/>
      <c r="P195" s="14"/>
      <c r="Q195" s="14"/>
      <c r="R195" s="60"/>
    </row>
    <row r="196" ht="28.5" customHeight="1">
      <c r="A196" s="14"/>
      <c r="B196" s="14"/>
      <c r="C196" s="14"/>
      <c r="D196" s="14"/>
      <c r="E196" s="14"/>
      <c r="F196" s="14"/>
      <c r="G196" s="14"/>
      <c r="H196" s="14"/>
      <c r="I196" s="14"/>
      <c r="J196" s="14"/>
      <c r="K196" s="14"/>
      <c r="L196" s="14"/>
      <c r="M196" s="14"/>
      <c r="N196" s="14"/>
      <c r="O196" s="14"/>
      <c r="P196" s="14"/>
      <c r="Q196" s="14"/>
      <c r="R196" s="60"/>
    </row>
    <row r="197" ht="28.5" customHeight="1">
      <c r="A197" s="14"/>
      <c r="B197" s="14"/>
      <c r="C197" s="14"/>
      <c r="D197" s="14"/>
      <c r="E197" s="14"/>
      <c r="F197" s="14"/>
      <c r="G197" s="14"/>
      <c r="H197" s="14"/>
      <c r="I197" s="14"/>
      <c r="J197" s="14"/>
      <c r="K197" s="14"/>
      <c r="L197" s="14"/>
      <c r="M197" s="14"/>
      <c r="N197" s="14"/>
      <c r="O197" s="14"/>
      <c r="P197" s="14"/>
      <c r="Q197" s="14"/>
      <c r="R197" s="60"/>
    </row>
    <row r="198" ht="28.5" customHeight="1">
      <c r="A198" s="14"/>
      <c r="B198" s="14"/>
      <c r="C198" s="14"/>
      <c r="D198" s="14"/>
      <c r="E198" s="14"/>
      <c r="F198" s="14"/>
      <c r="G198" s="14"/>
      <c r="H198" s="14"/>
      <c r="I198" s="14"/>
      <c r="J198" s="14"/>
      <c r="K198" s="14"/>
      <c r="L198" s="14"/>
      <c r="M198" s="14"/>
      <c r="N198" s="14"/>
      <c r="O198" s="14"/>
      <c r="P198" s="14"/>
      <c r="Q198" s="14"/>
      <c r="R198" s="60"/>
    </row>
    <row r="199" ht="28.5" customHeight="1">
      <c r="A199" s="14"/>
      <c r="B199" s="14"/>
      <c r="C199" s="14"/>
      <c r="D199" s="14"/>
      <c r="E199" s="14"/>
      <c r="F199" s="14"/>
      <c r="G199" s="14"/>
      <c r="H199" s="14"/>
      <c r="I199" s="14"/>
      <c r="J199" s="14"/>
      <c r="K199" s="14"/>
      <c r="L199" s="14"/>
      <c r="M199" s="14"/>
      <c r="N199" s="14"/>
      <c r="O199" s="14"/>
      <c r="P199" s="14"/>
      <c r="Q199" s="14"/>
      <c r="R199" s="60"/>
    </row>
    <row r="200" ht="28.5" customHeight="1">
      <c r="A200" s="14"/>
      <c r="B200" s="14"/>
      <c r="C200" s="14"/>
      <c r="D200" s="14"/>
      <c r="E200" s="14"/>
      <c r="F200" s="14"/>
      <c r="G200" s="14"/>
      <c r="H200" s="14"/>
      <c r="I200" s="14"/>
      <c r="J200" s="14"/>
      <c r="K200" s="14"/>
      <c r="L200" s="14"/>
      <c r="M200" s="14"/>
      <c r="N200" s="14"/>
      <c r="O200" s="14"/>
      <c r="P200" s="14"/>
      <c r="Q200" s="14"/>
      <c r="R200" s="60"/>
    </row>
    <row r="201" ht="28.5" customHeight="1">
      <c r="A201" s="14"/>
      <c r="B201" s="14"/>
      <c r="C201" s="14"/>
      <c r="D201" s="14"/>
      <c r="E201" s="14"/>
      <c r="F201" s="14"/>
      <c r="G201" s="14"/>
      <c r="H201" s="14"/>
      <c r="I201" s="14"/>
      <c r="J201" s="14"/>
      <c r="K201" s="14"/>
      <c r="L201" s="14"/>
      <c r="M201" s="14"/>
      <c r="N201" s="14"/>
      <c r="O201" s="14"/>
      <c r="P201" s="14"/>
      <c r="Q201" s="14"/>
      <c r="R201" s="60"/>
    </row>
    <row r="202" ht="28.5" customHeight="1">
      <c r="A202" s="14"/>
      <c r="B202" s="14"/>
      <c r="C202" s="14"/>
      <c r="D202" s="14"/>
      <c r="E202" s="14"/>
      <c r="F202" s="14"/>
      <c r="G202" s="14"/>
      <c r="H202" s="14"/>
      <c r="I202" s="14"/>
      <c r="J202" s="14"/>
      <c r="K202" s="14"/>
      <c r="L202" s="14"/>
      <c r="M202" s="14"/>
      <c r="N202" s="14"/>
      <c r="O202" s="14"/>
      <c r="P202" s="14"/>
      <c r="Q202" s="14"/>
      <c r="R202" s="60"/>
    </row>
    <row r="203" ht="28.5" customHeight="1">
      <c r="A203" s="14"/>
      <c r="B203" s="14"/>
      <c r="C203" s="14"/>
      <c r="D203" s="14"/>
      <c r="E203" s="14"/>
      <c r="F203" s="14"/>
      <c r="G203" s="14"/>
      <c r="H203" s="14"/>
      <c r="I203" s="14"/>
      <c r="J203" s="14"/>
      <c r="K203" s="14"/>
      <c r="L203" s="14"/>
      <c r="M203" s="14"/>
      <c r="N203" s="14"/>
      <c r="O203" s="14"/>
      <c r="P203" s="14"/>
      <c r="Q203" s="14"/>
      <c r="R203" s="60"/>
    </row>
    <row r="204" ht="28.5" customHeight="1">
      <c r="A204" s="14"/>
      <c r="B204" s="14"/>
      <c r="C204" s="14"/>
      <c r="D204" s="14"/>
      <c r="E204" s="14"/>
      <c r="F204" s="14"/>
      <c r="G204" s="14"/>
      <c r="H204" s="14"/>
      <c r="I204" s="14"/>
      <c r="J204" s="14"/>
      <c r="K204" s="14"/>
      <c r="L204" s="14"/>
      <c r="M204" s="14"/>
      <c r="N204" s="14"/>
      <c r="O204" s="14"/>
      <c r="P204" s="14"/>
      <c r="Q204" s="14"/>
      <c r="R204" s="60"/>
    </row>
    <row r="205" ht="28.5" customHeight="1">
      <c r="A205" s="14"/>
      <c r="B205" s="14"/>
      <c r="C205" s="14"/>
      <c r="D205" s="14"/>
      <c r="E205" s="14"/>
      <c r="F205" s="14"/>
      <c r="G205" s="14"/>
      <c r="H205" s="14"/>
      <c r="I205" s="14"/>
      <c r="J205" s="14"/>
      <c r="K205" s="14"/>
      <c r="L205" s="14"/>
      <c r="M205" s="14"/>
      <c r="N205" s="14"/>
      <c r="O205" s="14"/>
      <c r="P205" s="14"/>
      <c r="Q205" s="14"/>
      <c r="R205" s="60"/>
    </row>
    <row r="206" ht="28.5" customHeight="1">
      <c r="A206" s="14"/>
      <c r="B206" s="14"/>
      <c r="C206" s="14"/>
      <c r="D206" s="14"/>
      <c r="E206" s="14"/>
      <c r="F206" s="14"/>
      <c r="G206" s="14"/>
      <c r="H206" s="14"/>
      <c r="I206" s="14"/>
      <c r="J206" s="14"/>
      <c r="K206" s="14"/>
      <c r="L206" s="14"/>
      <c r="M206" s="14"/>
      <c r="N206" s="14"/>
      <c r="O206" s="14"/>
      <c r="P206" s="14"/>
      <c r="Q206" s="14"/>
      <c r="R206" s="60"/>
    </row>
    <row r="207" ht="28.5" customHeight="1">
      <c r="A207" s="14"/>
      <c r="B207" s="14"/>
      <c r="C207" s="14"/>
      <c r="D207" s="14"/>
      <c r="E207" s="14"/>
      <c r="F207" s="14"/>
      <c r="G207" s="14"/>
      <c r="H207" s="14"/>
      <c r="I207" s="14"/>
      <c r="J207" s="14"/>
      <c r="K207" s="14"/>
      <c r="L207" s="14"/>
      <c r="M207" s="14"/>
      <c r="N207" s="14"/>
      <c r="O207" s="14"/>
      <c r="P207" s="14"/>
      <c r="Q207" s="14"/>
      <c r="R207" s="60"/>
    </row>
    <row r="208" ht="28.5" customHeight="1">
      <c r="A208" s="14"/>
      <c r="B208" s="14"/>
      <c r="C208" s="14"/>
      <c r="D208" s="14"/>
      <c r="E208" s="14"/>
      <c r="F208" s="14"/>
      <c r="G208" s="14"/>
      <c r="H208" s="14"/>
      <c r="I208" s="14"/>
      <c r="J208" s="14"/>
      <c r="K208" s="14"/>
      <c r="L208" s="14"/>
      <c r="M208" s="14"/>
      <c r="N208" s="14"/>
      <c r="O208" s="14"/>
      <c r="P208" s="14"/>
      <c r="Q208" s="14"/>
      <c r="R208" s="60"/>
    </row>
    <row r="209" ht="28.5" customHeight="1">
      <c r="A209" s="14"/>
      <c r="B209" s="14"/>
      <c r="C209" s="14"/>
      <c r="D209" s="14"/>
      <c r="E209" s="14"/>
      <c r="F209" s="14"/>
      <c r="G209" s="14"/>
      <c r="H209" s="14"/>
      <c r="I209" s="14"/>
      <c r="J209" s="14"/>
      <c r="K209" s="14"/>
      <c r="L209" s="14"/>
      <c r="M209" s="14"/>
      <c r="N209" s="14"/>
      <c r="O209" s="14"/>
      <c r="P209" s="14"/>
      <c r="Q209" s="14"/>
      <c r="R209" s="60"/>
    </row>
    <row r="210" ht="28.5" customHeight="1">
      <c r="A210" s="14"/>
      <c r="B210" s="14"/>
      <c r="C210" s="14"/>
      <c r="D210" s="14"/>
      <c r="E210" s="14"/>
      <c r="F210" s="14"/>
      <c r="G210" s="14"/>
      <c r="H210" s="14"/>
      <c r="I210" s="14"/>
      <c r="J210" s="14"/>
      <c r="K210" s="14"/>
      <c r="L210" s="14"/>
      <c r="M210" s="14"/>
      <c r="N210" s="14"/>
      <c r="O210" s="14"/>
      <c r="P210" s="14"/>
      <c r="Q210" s="14"/>
      <c r="R210" s="60"/>
    </row>
    <row r="211" ht="28.5" customHeight="1">
      <c r="A211" s="14"/>
      <c r="B211" s="14"/>
      <c r="C211" s="14"/>
      <c r="D211" s="14"/>
      <c r="E211" s="14"/>
      <c r="F211" s="14"/>
      <c r="G211" s="14"/>
      <c r="H211" s="14"/>
      <c r="I211" s="14"/>
      <c r="J211" s="14"/>
      <c r="K211" s="14"/>
      <c r="L211" s="14"/>
      <c r="M211" s="14"/>
      <c r="N211" s="14"/>
      <c r="O211" s="14"/>
      <c r="P211" s="14"/>
      <c r="Q211" s="14"/>
      <c r="R211" s="60"/>
    </row>
    <row r="212" ht="28.5" customHeight="1">
      <c r="A212" s="14"/>
      <c r="B212" s="14"/>
      <c r="C212" s="14"/>
      <c r="D212" s="14"/>
      <c r="E212" s="14"/>
      <c r="F212" s="14"/>
      <c r="G212" s="14"/>
      <c r="H212" s="14"/>
      <c r="I212" s="14"/>
      <c r="J212" s="14"/>
      <c r="K212" s="14"/>
      <c r="L212" s="14"/>
      <c r="M212" s="14"/>
      <c r="N212" s="14"/>
      <c r="O212" s="14"/>
      <c r="P212" s="14"/>
      <c r="Q212" s="14"/>
      <c r="R212" s="60"/>
    </row>
    <row r="213" ht="28.5" customHeight="1">
      <c r="A213" s="14"/>
      <c r="B213" s="14"/>
      <c r="C213" s="14"/>
      <c r="D213" s="14"/>
      <c r="E213" s="14"/>
      <c r="F213" s="14"/>
      <c r="G213" s="14"/>
      <c r="H213" s="14"/>
      <c r="I213" s="14"/>
      <c r="J213" s="14"/>
      <c r="K213" s="14"/>
      <c r="L213" s="14"/>
      <c r="M213" s="14"/>
      <c r="N213" s="14"/>
      <c r="O213" s="14"/>
      <c r="P213" s="14"/>
      <c r="Q213" s="14"/>
      <c r="R213" s="60"/>
    </row>
    <row r="214" ht="28.5" customHeight="1">
      <c r="A214" s="14"/>
      <c r="B214" s="14"/>
      <c r="C214" s="14"/>
      <c r="D214" s="14"/>
      <c r="E214" s="14"/>
      <c r="F214" s="14"/>
      <c r="G214" s="14"/>
      <c r="H214" s="14"/>
      <c r="I214" s="14"/>
      <c r="J214" s="14"/>
      <c r="K214" s="14"/>
      <c r="L214" s="14"/>
      <c r="M214" s="14"/>
      <c r="N214" s="14"/>
      <c r="O214" s="14"/>
      <c r="P214" s="14"/>
      <c r="Q214" s="14"/>
      <c r="R214" s="60"/>
    </row>
    <row r="215" ht="28.5" customHeight="1">
      <c r="A215" s="14"/>
      <c r="B215" s="14"/>
      <c r="C215" s="14"/>
      <c r="D215" s="14"/>
      <c r="E215" s="14"/>
      <c r="F215" s="14"/>
      <c r="G215" s="14"/>
      <c r="H215" s="14"/>
      <c r="I215" s="14"/>
      <c r="J215" s="14"/>
      <c r="K215" s="14"/>
      <c r="L215" s="14"/>
      <c r="M215" s="14"/>
      <c r="N215" s="14"/>
      <c r="O215" s="14"/>
      <c r="P215" s="14"/>
      <c r="Q215" s="14"/>
      <c r="R215" s="60"/>
    </row>
    <row r="216" ht="28.5" customHeight="1">
      <c r="A216" s="14"/>
      <c r="B216" s="14"/>
      <c r="C216" s="14"/>
      <c r="D216" s="14"/>
      <c r="E216" s="14"/>
      <c r="F216" s="14"/>
      <c r="G216" s="14"/>
      <c r="H216" s="14"/>
      <c r="I216" s="14"/>
      <c r="J216" s="14"/>
      <c r="K216" s="14"/>
      <c r="L216" s="14"/>
      <c r="M216" s="14"/>
      <c r="N216" s="14"/>
      <c r="O216" s="14"/>
      <c r="P216" s="14"/>
      <c r="Q216" s="14"/>
      <c r="R216" s="60"/>
    </row>
    <row r="217" ht="28.5" customHeight="1">
      <c r="A217" s="14"/>
      <c r="B217" s="14"/>
      <c r="C217" s="14"/>
      <c r="D217" s="14"/>
      <c r="E217" s="14"/>
      <c r="F217" s="14"/>
      <c r="G217" s="14"/>
      <c r="H217" s="14"/>
      <c r="I217" s="14"/>
      <c r="J217" s="14"/>
      <c r="K217" s="14"/>
      <c r="L217" s="14"/>
      <c r="M217" s="14"/>
      <c r="N217" s="14"/>
      <c r="O217" s="14"/>
      <c r="P217" s="14"/>
      <c r="Q217" s="14"/>
      <c r="R217" s="60"/>
    </row>
    <row r="218" ht="28.5" customHeight="1">
      <c r="A218" s="14"/>
      <c r="B218" s="14"/>
      <c r="C218" s="14"/>
      <c r="D218" s="14"/>
      <c r="E218" s="14"/>
      <c r="F218" s="14"/>
      <c r="G218" s="14"/>
      <c r="H218" s="14"/>
      <c r="I218" s="14"/>
      <c r="J218" s="14"/>
      <c r="K218" s="14"/>
      <c r="L218" s="14"/>
      <c r="M218" s="14"/>
      <c r="N218" s="14"/>
      <c r="O218" s="14"/>
      <c r="P218" s="14"/>
      <c r="Q218" s="14"/>
      <c r="R218" s="60"/>
    </row>
    <row r="219" ht="28.5" customHeight="1">
      <c r="A219" s="14"/>
      <c r="B219" s="14"/>
      <c r="C219" s="14"/>
      <c r="D219" s="14"/>
      <c r="E219" s="14"/>
      <c r="F219" s="14"/>
      <c r="G219" s="14"/>
      <c r="H219" s="14"/>
      <c r="I219" s="14"/>
      <c r="J219" s="14"/>
      <c r="K219" s="14"/>
      <c r="L219" s="14"/>
      <c r="M219" s="14"/>
      <c r="N219" s="14"/>
      <c r="O219" s="14"/>
      <c r="P219" s="14"/>
      <c r="Q219" s="14"/>
      <c r="R219" s="60"/>
    </row>
    <row r="220" ht="28.5" customHeight="1">
      <c r="A220" s="14"/>
      <c r="B220" s="14"/>
      <c r="C220" s="14"/>
      <c r="D220" s="14"/>
      <c r="E220" s="14"/>
      <c r="F220" s="14"/>
      <c r="G220" s="14"/>
      <c r="H220" s="14"/>
      <c r="I220" s="14"/>
      <c r="J220" s="14"/>
      <c r="K220" s="14"/>
      <c r="L220" s="14"/>
      <c r="M220" s="14"/>
      <c r="N220" s="14"/>
      <c r="O220" s="14"/>
      <c r="P220" s="14"/>
      <c r="Q220" s="14"/>
      <c r="R220" s="60"/>
    </row>
    <row r="221" ht="28.5" customHeight="1">
      <c r="A221" s="14"/>
      <c r="B221" s="14"/>
      <c r="C221" s="14"/>
      <c r="D221" s="14"/>
      <c r="E221" s="14"/>
      <c r="F221" s="14"/>
      <c r="G221" s="14"/>
      <c r="H221" s="14"/>
      <c r="I221" s="14"/>
      <c r="J221" s="14"/>
      <c r="K221" s="14"/>
      <c r="L221" s="14"/>
      <c r="M221" s="14"/>
      <c r="N221" s="14"/>
      <c r="O221" s="14"/>
      <c r="P221" s="14"/>
      <c r="Q221" s="14"/>
      <c r="R221" s="60"/>
    </row>
    <row r="222" ht="28.5" customHeight="1">
      <c r="A222" s="14"/>
      <c r="B222" s="14"/>
      <c r="C222" s="14"/>
      <c r="D222" s="14"/>
      <c r="E222" s="14"/>
      <c r="F222" s="14"/>
      <c r="G222" s="14"/>
      <c r="H222" s="14"/>
      <c r="I222" s="14"/>
      <c r="J222" s="14"/>
      <c r="K222" s="14"/>
      <c r="L222" s="14"/>
      <c r="M222" s="14"/>
      <c r="N222" s="14"/>
      <c r="O222" s="14"/>
      <c r="P222" s="14"/>
      <c r="Q222" s="14"/>
      <c r="R222" s="60"/>
    </row>
    <row r="223" ht="28.5" customHeight="1">
      <c r="A223" s="14"/>
      <c r="B223" s="14"/>
      <c r="C223" s="14"/>
      <c r="D223" s="14"/>
      <c r="E223" s="14"/>
      <c r="F223" s="14"/>
      <c r="G223" s="14"/>
      <c r="H223" s="14"/>
      <c r="I223" s="14"/>
      <c r="J223" s="14"/>
      <c r="K223" s="14"/>
      <c r="L223" s="14"/>
      <c r="M223" s="14"/>
      <c r="N223" s="14"/>
      <c r="O223" s="14"/>
      <c r="P223" s="14"/>
      <c r="Q223" s="14"/>
      <c r="R223" s="60"/>
    </row>
    <row r="224" ht="28.5" customHeight="1">
      <c r="A224" s="14"/>
      <c r="B224" s="14"/>
      <c r="C224" s="14"/>
      <c r="D224" s="14"/>
      <c r="E224" s="14"/>
      <c r="F224" s="14"/>
      <c r="G224" s="14"/>
      <c r="H224" s="14"/>
      <c r="I224" s="14"/>
      <c r="J224" s="14"/>
      <c r="K224" s="14"/>
      <c r="L224" s="14"/>
      <c r="M224" s="14"/>
      <c r="N224" s="14"/>
      <c r="O224" s="14"/>
      <c r="P224" s="14"/>
      <c r="Q224" s="14"/>
      <c r="R224" s="60"/>
    </row>
    <row r="225" ht="28.5" customHeight="1">
      <c r="A225" s="14"/>
      <c r="B225" s="14"/>
      <c r="C225" s="14"/>
      <c r="D225" s="14"/>
      <c r="E225" s="14"/>
      <c r="F225" s="14"/>
      <c r="G225" s="14"/>
      <c r="H225" s="14"/>
      <c r="I225" s="14"/>
      <c r="J225" s="14"/>
      <c r="K225" s="14"/>
      <c r="L225" s="14"/>
      <c r="M225" s="14"/>
      <c r="N225" s="14"/>
      <c r="O225" s="14"/>
      <c r="P225" s="14"/>
      <c r="Q225" s="14"/>
      <c r="R225" s="60"/>
    </row>
    <row r="226" ht="28.5" customHeight="1">
      <c r="A226" s="14"/>
      <c r="B226" s="14"/>
      <c r="C226" s="14"/>
      <c r="D226" s="14"/>
      <c r="E226" s="14"/>
      <c r="F226" s="14"/>
      <c r="G226" s="14"/>
      <c r="H226" s="14"/>
      <c r="I226" s="14"/>
      <c r="J226" s="14"/>
      <c r="K226" s="14"/>
      <c r="L226" s="14"/>
      <c r="M226" s="14"/>
      <c r="N226" s="14"/>
      <c r="O226" s="14"/>
      <c r="P226" s="14"/>
      <c r="Q226" s="14"/>
      <c r="R226" s="60"/>
    </row>
    <row r="227" ht="28.5" customHeight="1">
      <c r="A227" s="14"/>
      <c r="B227" s="14"/>
      <c r="C227" s="14"/>
      <c r="D227" s="14"/>
      <c r="E227" s="14"/>
      <c r="F227" s="14"/>
      <c r="G227" s="14"/>
      <c r="H227" s="14"/>
      <c r="I227" s="14"/>
      <c r="J227" s="14"/>
      <c r="K227" s="14"/>
      <c r="L227" s="14"/>
      <c r="M227" s="14"/>
      <c r="N227" s="14"/>
      <c r="O227" s="14"/>
      <c r="P227" s="14"/>
      <c r="Q227" s="14"/>
      <c r="R227" s="60"/>
    </row>
    <row r="228" ht="28.5" customHeight="1">
      <c r="A228" s="14"/>
      <c r="B228" s="14"/>
      <c r="C228" s="14"/>
      <c r="D228" s="14"/>
      <c r="E228" s="14"/>
      <c r="F228" s="14"/>
      <c r="G228" s="14"/>
      <c r="H228" s="14"/>
      <c r="I228" s="14"/>
      <c r="J228" s="14"/>
      <c r="K228" s="14"/>
      <c r="L228" s="14"/>
      <c r="M228" s="14"/>
      <c r="N228" s="14"/>
      <c r="O228" s="14"/>
      <c r="P228" s="14"/>
      <c r="Q228" s="14"/>
      <c r="R228" s="60"/>
    </row>
    <row r="229" ht="28.5" customHeight="1">
      <c r="A229" s="14"/>
      <c r="B229" s="14"/>
      <c r="C229" s="14"/>
      <c r="D229" s="14"/>
      <c r="E229" s="14"/>
      <c r="F229" s="14"/>
      <c r="G229" s="14"/>
      <c r="H229" s="14"/>
      <c r="I229" s="14"/>
      <c r="J229" s="14"/>
      <c r="K229" s="14"/>
      <c r="L229" s="14"/>
      <c r="M229" s="14"/>
      <c r="N229" s="14"/>
      <c r="O229" s="14"/>
      <c r="P229" s="14"/>
      <c r="Q229" s="14"/>
      <c r="R229" s="60"/>
    </row>
    <row r="230" ht="28.5" customHeight="1">
      <c r="A230" s="14"/>
      <c r="B230" s="14"/>
      <c r="C230" s="14"/>
      <c r="D230" s="14"/>
      <c r="E230" s="14"/>
      <c r="F230" s="14"/>
      <c r="G230" s="14"/>
      <c r="H230" s="14"/>
      <c r="I230" s="14"/>
      <c r="J230" s="14"/>
      <c r="K230" s="14"/>
      <c r="L230" s="14"/>
      <c r="M230" s="14"/>
      <c r="N230" s="14"/>
      <c r="O230" s="14"/>
      <c r="P230" s="14"/>
      <c r="Q230" s="14"/>
      <c r="R230" s="60"/>
    </row>
    <row r="231" ht="28.5" customHeight="1">
      <c r="A231" s="14"/>
      <c r="B231" s="14"/>
      <c r="C231" s="14"/>
      <c r="D231" s="14"/>
      <c r="E231" s="14"/>
      <c r="F231" s="14"/>
      <c r="G231" s="14"/>
      <c r="H231" s="14"/>
      <c r="I231" s="14"/>
      <c r="J231" s="14"/>
      <c r="K231" s="14"/>
      <c r="L231" s="14"/>
      <c r="M231" s="14"/>
      <c r="N231" s="14"/>
      <c r="O231" s="14"/>
      <c r="P231" s="14"/>
      <c r="Q231" s="14"/>
      <c r="R231" s="60"/>
    </row>
    <row r="232" ht="28.5" customHeight="1">
      <c r="A232" s="14"/>
      <c r="B232" s="14"/>
      <c r="C232" s="14"/>
      <c r="D232" s="14"/>
      <c r="E232" s="14"/>
      <c r="F232" s="14"/>
      <c r="G232" s="14"/>
      <c r="H232" s="14"/>
      <c r="I232" s="14"/>
      <c r="J232" s="14"/>
      <c r="K232" s="14"/>
      <c r="L232" s="14"/>
      <c r="M232" s="14"/>
      <c r="N232" s="14"/>
      <c r="O232" s="14"/>
      <c r="P232" s="14"/>
      <c r="Q232" s="14"/>
      <c r="R232" s="60"/>
    </row>
    <row r="233" ht="28.5" customHeight="1">
      <c r="A233" s="14"/>
      <c r="B233" s="14"/>
      <c r="C233" s="14"/>
      <c r="D233" s="14"/>
      <c r="E233" s="14"/>
      <c r="F233" s="14"/>
      <c r="G233" s="14"/>
      <c r="H233" s="14"/>
      <c r="I233" s="14"/>
      <c r="J233" s="14"/>
      <c r="K233" s="14"/>
      <c r="L233" s="14"/>
      <c r="M233" s="14"/>
      <c r="N233" s="14"/>
      <c r="O233" s="14"/>
      <c r="P233" s="14"/>
      <c r="Q233" s="14"/>
      <c r="R233" s="60"/>
    </row>
    <row r="234" ht="28.5" customHeight="1">
      <c r="A234" s="14"/>
      <c r="B234" s="14"/>
      <c r="C234" s="14"/>
      <c r="D234" s="14"/>
      <c r="E234" s="14"/>
      <c r="F234" s="14"/>
      <c r="G234" s="14"/>
      <c r="H234" s="14"/>
      <c r="I234" s="14"/>
      <c r="J234" s="14"/>
      <c r="K234" s="14"/>
      <c r="L234" s="14"/>
      <c r="M234" s="14"/>
      <c r="N234" s="14"/>
      <c r="O234" s="14"/>
      <c r="P234" s="14"/>
      <c r="Q234" s="14"/>
      <c r="R234" s="60"/>
    </row>
    <row r="235" ht="28.5" customHeight="1">
      <c r="A235" s="14"/>
      <c r="B235" s="14"/>
      <c r="C235" s="14"/>
      <c r="D235" s="14"/>
      <c r="E235" s="14"/>
      <c r="F235" s="14"/>
      <c r="G235" s="14"/>
      <c r="H235" s="14"/>
      <c r="I235" s="14"/>
      <c r="J235" s="14"/>
      <c r="K235" s="14"/>
      <c r="L235" s="14"/>
      <c r="M235" s="14"/>
      <c r="N235" s="14"/>
      <c r="O235" s="14"/>
      <c r="P235" s="14"/>
      <c r="Q235" s="14"/>
      <c r="R235" s="60"/>
    </row>
    <row r="236" ht="28.5" customHeight="1">
      <c r="A236" s="14"/>
      <c r="B236" s="14"/>
      <c r="C236" s="14"/>
      <c r="D236" s="14"/>
      <c r="E236" s="14"/>
      <c r="F236" s="14"/>
      <c r="G236" s="14"/>
      <c r="H236" s="14"/>
      <c r="I236" s="14"/>
      <c r="J236" s="14"/>
      <c r="K236" s="14"/>
      <c r="L236" s="14"/>
      <c r="M236" s="14"/>
      <c r="N236" s="14"/>
      <c r="O236" s="14"/>
      <c r="P236" s="14"/>
      <c r="Q236" s="14"/>
      <c r="R236" s="60"/>
    </row>
    <row r="237" ht="28.5" customHeight="1">
      <c r="A237" s="14"/>
      <c r="B237" s="14"/>
      <c r="C237" s="14"/>
      <c r="D237" s="14"/>
      <c r="E237" s="14"/>
      <c r="F237" s="14"/>
      <c r="G237" s="14"/>
      <c r="H237" s="14"/>
      <c r="I237" s="14"/>
      <c r="J237" s="14"/>
      <c r="K237" s="14"/>
      <c r="L237" s="14"/>
      <c r="M237" s="14"/>
      <c r="N237" s="14"/>
      <c r="O237" s="14"/>
      <c r="P237" s="14"/>
      <c r="Q237" s="14"/>
      <c r="R237" s="60"/>
    </row>
    <row r="238" ht="28.5" customHeight="1">
      <c r="A238" s="14"/>
      <c r="B238" s="14"/>
      <c r="C238" s="14"/>
      <c r="D238" s="14"/>
      <c r="E238" s="14"/>
      <c r="F238" s="14"/>
      <c r="G238" s="14"/>
      <c r="H238" s="14"/>
      <c r="I238" s="14"/>
      <c r="J238" s="14"/>
      <c r="K238" s="14"/>
      <c r="L238" s="14"/>
      <c r="M238" s="14"/>
      <c r="N238" s="14"/>
      <c r="O238" s="14"/>
      <c r="P238" s="14"/>
      <c r="Q238" s="14"/>
      <c r="R238" s="60"/>
    </row>
    <row r="239" ht="28.5" customHeight="1">
      <c r="A239" s="14"/>
      <c r="B239" s="14"/>
      <c r="C239" s="14"/>
      <c r="D239" s="14"/>
      <c r="E239" s="14"/>
      <c r="F239" s="14"/>
      <c r="G239" s="14"/>
      <c r="H239" s="14"/>
      <c r="I239" s="14"/>
      <c r="J239" s="14"/>
      <c r="K239" s="14"/>
      <c r="L239" s="14"/>
      <c r="M239" s="14"/>
      <c r="N239" s="14"/>
      <c r="O239" s="14"/>
      <c r="P239" s="14"/>
      <c r="Q239" s="14"/>
      <c r="R239" s="60"/>
    </row>
    <row r="240" ht="28.5" customHeight="1">
      <c r="A240" s="14"/>
      <c r="B240" s="14"/>
      <c r="C240" s="14"/>
      <c r="D240" s="14"/>
      <c r="E240" s="14"/>
      <c r="F240" s="14"/>
      <c r="G240" s="14"/>
      <c r="H240" s="14"/>
      <c r="I240" s="14"/>
      <c r="J240" s="14"/>
      <c r="K240" s="14"/>
      <c r="L240" s="14"/>
      <c r="M240" s="14"/>
      <c r="N240" s="14"/>
      <c r="O240" s="14"/>
      <c r="P240" s="14"/>
      <c r="Q240" s="14"/>
      <c r="R240" s="60"/>
    </row>
    <row r="241" ht="28.5" customHeight="1">
      <c r="A241" s="14"/>
      <c r="B241" s="14"/>
      <c r="C241" s="14"/>
      <c r="D241" s="14"/>
      <c r="E241" s="14"/>
      <c r="F241" s="14"/>
      <c r="G241" s="14"/>
      <c r="H241" s="14"/>
      <c r="I241" s="14"/>
      <c r="J241" s="14"/>
      <c r="K241" s="14"/>
      <c r="L241" s="14"/>
      <c r="M241" s="14"/>
      <c r="N241" s="14"/>
      <c r="O241" s="14"/>
      <c r="P241" s="14"/>
      <c r="Q241" s="14"/>
      <c r="R241" s="60"/>
    </row>
    <row r="242" ht="28.5" customHeight="1">
      <c r="A242" s="14"/>
      <c r="B242" s="14"/>
      <c r="C242" s="14"/>
      <c r="D242" s="14"/>
      <c r="E242" s="14"/>
      <c r="F242" s="14"/>
      <c r="G242" s="14"/>
      <c r="H242" s="14"/>
      <c r="I242" s="14"/>
      <c r="J242" s="14"/>
      <c r="K242" s="14"/>
      <c r="L242" s="14"/>
      <c r="M242" s="14"/>
      <c r="N242" s="14"/>
      <c r="O242" s="14"/>
      <c r="P242" s="14"/>
      <c r="Q242" s="14"/>
      <c r="R242" s="60"/>
    </row>
    <row r="243" ht="28.5" customHeight="1">
      <c r="A243" s="14"/>
      <c r="B243" s="14"/>
      <c r="C243" s="14"/>
      <c r="D243" s="14"/>
      <c r="E243" s="14"/>
      <c r="F243" s="14"/>
      <c r="G243" s="14"/>
      <c r="H243" s="14"/>
      <c r="I243" s="14"/>
      <c r="J243" s="14"/>
      <c r="K243" s="14"/>
      <c r="L243" s="14"/>
      <c r="M243" s="14"/>
      <c r="N243" s="14"/>
      <c r="O243" s="14"/>
      <c r="P243" s="14"/>
      <c r="Q243" s="14"/>
      <c r="R243" s="60"/>
    </row>
    <row r="244" ht="28.5" customHeight="1">
      <c r="A244" s="14"/>
      <c r="B244" s="14"/>
      <c r="C244" s="14"/>
      <c r="D244" s="14"/>
      <c r="E244" s="14"/>
      <c r="F244" s="14"/>
      <c r="G244" s="14"/>
      <c r="H244" s="14"/>
      <c r="I244" s="14"/>
      <c r="J244" s="14"/>
      <c r="K244" s="14"/>
      <c r="L244" s="14"/>
      <c r="M244" s="14"/>
      <c r="N244" s="14"/>
      <c r="O244" s="14"/>
      <c r="P244" s="14"/>
      <c r="Q244" s="14"/>
      <c r="R244" s="60"/>
    </row>
    <row r="245" ht="28.5" customHeight="1">
      <c r="A245" s="14"/>
      <c r="B245" s="14"/>
      <c r="C245" s="14"/>
      <c r="D245" s="14"/>
      <c r="E245" s="14"/>
      <c r="F245" s="14"/>
      <c r="G245" s="14"/>
      <c r="H245" s="14"/>
      <c r="I245" s="14"/>
      <c r="J245" s="14"/>
      <c r="K245" s="14"/>
      <c r="L245" s="14"/>
      <c r="M245" s="14"/>
      <c r="N245" s="14"/>
      <c r="O245" s="14"/>
      <c r="P245" s="14"/>
      <c r="Q245" s="14"/>
      <c r="R245" s="60"/>
    </row>
    <row r="246" ht="28.5" customHeight="1">
      <c r="A246" s="14"/>
      <c r="B246" s="14"/>
      <c r="C246" s="14"/>
      <c r="D246" s="14"/>
      <c r="E246" s="14"/>
      <c r="F246" s="14"/>
      <c r="G246" s="14"/>
      <c r="H246" s="14"/>
      <c r="I246" s="14"/>
      <c r="J246" s="14"/>
      <c r="K246" s="14"/>
      <c r="L246" s="14"/>
      <c r="M246" s="14"/>
      <c r="N246" s="14"/>
      <c r="O246" s="14"/>
      <c r="P246" s="14"/>
      <c r="Q246" s="14"/>
      <c r="R246" s="60"/>
    </row>
    <row r="247" ht="28.5" customHeight="1">
      <c r="A247" s="14"/>
      <c r="B247" s="14"/>
      <c r="C247" s="14"/>
      <c r="D247" s="14"/>
      <c r="E247" s="14"/>
      <c r="F247" s="14"/>
      <c r="G247" s="14"/>
      <c r="H247" s="14"/>
      <c r="I247" s="14"/>
      <c r="J247" s="14"/>
      <c r="K247" s="14"/>
      <c r="L247" s="14"/>
      <c r="M247" s="14"/>
      <c r="N247" s="14"/>
      <c r="O247" s="14"/>
      <c r="P247" s="14"/>
      <c r="Q247" s="14"/>
      <c r="R247" s="60"/>
    </row>
    <row r="248" ht="28.5" customHeight="1">
      <c r="A248" s="14"/>
      <c r="B248" s="14"/>
      <c r="C248" s="14"/>
      <c r="D248" s="14"/>
      <c r="E248" s="14"/>
      <c r="F248" s="14"/>
      <c r="G248" s="14"/>
      <c r="H248" s="14"/>
      <c r="I248" s="14"/>
      <c r="J248" s="14"/>
      <c r="K248" s="14"/>
      <c r="L248" s="14"/>
      <c r="M248" s="14"/>
      <c r="N248" s="14"/>
      <c r="O248" s="14"/>
      <c r="P248" s="14"/>
      <c r="Q248" s="14"/>
      <c r="R248" s="60"/>
    </row>
    <row r="249" ht="28.5" customHeight="1">
      <c r="A249" s="14"/>
      <c r="B249" s="14"/>
      <c r="C249" s="14"/>
      <c r="D249" s="14"/>
      <c r="E249" s="14"/>
      <c r="F249" s="14"/>
      <c r="G249" s="14"/>
      <c r="H249" s="14"/>
      <c r="I249" s="14"/>
      <c r="J249" s="14"/>
      <c r="K249" s="14"/>
      <c r="L249" s="14"/>
      <c r="M249" s="14"/>
      <c r="N249" s="14"/>
      <c r="O249" s="14"/>
      <c r="P249" s="14"/>
      <c r="Q249" s="14"/>
      <c r="R249" s="60"/>
    </row>
    <row r="250" ht="28.5" customHeight="1">
      <c r="A250" s="14"/>
      <c r="B250" s="14"/>
      <c r="C250" s="14"/>
      <c r="D250" s="14"/>
      <c r="E250" s="14"/>
      <c r="F250" s="14"/>
      <c r="G250" s="14"/>
      <c r="H250" s="14"/>
      <c r="I250" s="14"/>
      <c r="J250" s="14"/>
      <c r="K250" s="14"/>
      <c r="L250" s="14"/>
      <c r="M250" s="14"/>
      <c r="N250" s="14"/>
      <c r="O250" s="14"/>
      <c r="P250" s="14"/>
      <c r="Q250" s="14"/>
      <c r="R250" s="60"/>
    </row>
    <row r="251" ht="28.5" customHeight="1">
      <c r="A251" s="14"/>
      <c r="B251" s="14"/>
      <c r="C251" s="14"/>
      <c r="D251" s="14"/>
      <c r="E251" s="14"/>
      <c r="F251" s="14"/>
      <c r="G251" s="14"/>
      <c r="H251" s="14"/>
      <c r="I251" s="14"/>
      <c r="J251" s="14"/>
      <c r="K251" s="14"/>
      <c r="L251" s="14"/>
      <c r="M251" s="14"/>
      <c r="N251" s="14"/>
      <c r="O251" s="14"/>
      <c r="P251" s="14"/>
      <c r="Q251" s="14"/>
      <c r="R251" s="60"/>
    </row>
    <row r="252" ht="28.5" customHeight="1">
      <c r="A252" s="14"/>
      <c r="B252" s="14"/>
      <c r="C252" s="14"/>
      <c r="D252" s="14"/>
      <c r="E252" s="14"/>
      <c r="F252" s="14"/>
      <c r="G252" s="14"/>
      <c r="H252" s="14"/>
      <c r="I252" s="14"/>
      <c r="J252" s="14"/>
      <c r="K252" s="14"/>
      <c r="L252" s="14"/>
      <c r="M252" s="14"/>
      <c r="N252" s="14"/>
      <c r="O252" s="14"/>
      <c r="P252" s="14"/>
      <c r="Q252" s="14"/>
      <c r="R252" s="60"/>
    </row>
    <row r="253" ht="28.5" customHeight="1">
      <c r="A253" s="14"/>
      <c r="B253" s="14"/>
      <c r="C253" s="14"/>
      <c r="D253" s="14"/>
      <c r="E253" s="14"/>
      <c r="F253" s="14"/>
      <c r="G253" s="14"/>
      <c r="H253" s="14"/>
      <c r="I253" s="14"/>
      <c r="J253" s="14"/>
      <c r="K253" s="14"/>
      <c r="L253" s="14"/>
      <c r="M253" s="14"/>
      <c r="N253" s="14"/>
      <c r="O253" s="14"/>
      <c r="P253" s="14"/>
      <c r="Q253" s="14"/>
      <c r="R253" s="60"/>
    </row>
    <row r="254" ht="28.5" customHeight="1">
      <c r="A254" s="14"/>
      <c r="B254" s="14"/>
      <c r="C254" s="14"/>
      <c r="D254" s="14"/>
      <c r="E254" s="14"/>
      <c r="F254" s="14"/>
      <c r="G254" s="14"/>
      <c r="H254" s="14"/>
      <c r="I254" s="14"/>
      <c r="J254" s="14"/>
      <c r="K254" s="14"/>
      <c r="L254" s="14"/>
      <c r="M254" s="14"/>
      <c r="N254" s="14"/>
      <c r="O254" s="14"/>
      <c r="P254" s="14"/>
      <c r="Q254" s="14"/>
      <c r="R254" s="60"/>
    </row>
    <row r="255" ht="28.5" customHeight="1">
      <c r="A255" s="14"/>
      <c r="B255" s="14"/>
      <c r="C255" s="14"/>
      <c r="D255" s="14"/>
      <c r="E255" s="14"/>
      <c r="F255" s="14"/>
      <c r="G255" s="14"/>
      <c r="H255" s="14"/>
      <c r="I255" s="14"/>
      <c r="J255" s="14"/>
      <c r="K255" s="14"/>
      <c r="L255" s="14"/>
      <c r="M255" s="14"/>
      <c r="N255" s="14"/>
      <c r="O255" s="14"/>
      <c r="P255" s="14"/>
      <c r="Q255" s="14"/>
      <c r="R255" s="60"/>
    </row>
    <row r="256" ht="28.5" customHeight="1">
      <c r="A256" s="14"/>
      <c r="B256" s="14"/>
      <c r="C256" s="14"/>
      <c r="D256" s="14"/>
      <c r="E256" s="14"/>
      <c r="F256" s="14"/>
      <c r="G256" s="14"/>
      <c r="H256" s="14"/>
      <c r="I256" s="14"/>
      <c r="J256" s="14"/>
      <c r="K256" s="14"/>
      <c r="L256" s="14"/>
      <c r="M256" s="14"/>
      <c r="N256" s="14"/>
      <c r="O256" s="14"/>
      <c r="P256" s="14"/>
      <c r="Q256" s="14"/>
      <c r="R256" s="60"/>
    </row>
    <row r="257" ht="28.5" customHeight="1">
      <c r="A257" s="14"/>
      <c r="B257" s="14"/>
      <c r="C257" s="14"/>
      <c r="D257" s="14"/>
      <c r="E257" s="14"/>
      <c r="F257" s="14"/>
      <c r="G257" s="14"/>
      <c r="H257" s="14"/>
      <c r="I257" s="14"/>
      <c r="J257" s="14"/>
      <c r="K257" s="14"/>
      <c r="L257" s="14"/>
      <c r="M257" s="14"/>
      <c r="N257" s="14"/>
      <c r="O257" s="14"/>
      <c r="P257" s="14"/>
      <c r="Q257" s="14"/>
      <c r="R257" s="60"/>
    </row>
    <row r="258" ht="28.5" customHeight="1">
      <c r="A258" s="14"/>
      <c r="B258" s="14"/>
      <c r="C258" s="14"/>
      <c r="D258" s="14"/>
      <c r="E258" s="14"/>
      <c r="F258" s="14"/>
      <c r="G258" s="14"/>
      <c r="H258" s="14"/>
      <c r="I258" s="14"/>
      <c r="J258" s="14"/>
      <c r="K258" s="14"/>
      <c r="L258" s="14"/>
      <c r="M258" s="14"/>
      <c r="N258" s="14"/>
      <c r="O258" s="14"/>
      <c r="P258" s="14"/>
      <c r="Q258" s="14"/>
      <c r="R258" s="60"/>
    </row>
    <row r="259" ht="28.5" customHeight="1">
      <c r="A259" s="14"/>
      <c r="B259" s="14"/>
      <c r="C259" s="14"/>
      <c r="D259" s="14"/>
      <c r="E259" s="14"/>
      <c r="F259" s="14"/>
      <c r="G259" s="14"/>
      <c r="H259" s="14"/>
      <c r="I259" s="14"/>
      <c r="J259" s="14"/>
      <c r="K259" s="14"/>
      <c r="L259" s="14"/>
      <c r="M259" s="14"/>
      <c r="N259" s="14"/>
      <c r="O259" s="14"/>
      <c r="P259" s="14"/>
      <c r="Q259" s="14"/>
      <c r="R259" s="60"/>
    </row>
    <row r="260" ht="28.5" customHeight="1">
      <c r="A260" s="14"/>
      <c r="B260" s="14"/>
      <c r="C260" s="14"/>
      <c r="D260" s="14"/>
      <c r="E260" s="14"/>
      <c r="F260" s="14"/>
      <c r="G260" s="14"/>
      <c r="H260" s="14"/>
      <c r="I260" s="14"/>
      <c r="J260" s="14"/>
      <c r="K260" s="14"/>
      <c r="L260" s="14"/>
      <c r="M260" s="14"/>
      <c r="N260" s="14"/>
      <c r="O260" s="14"/>
      <c r="P260" s="14"/>
      <c r="Q260" s="14"/>
      <c r="R260" s="60"/>
    </row>
    <row r="261" ht="28.5" customHeight="1">
      <c r="A261" s="14"/>
      <c r="B261" s="14"/>
      <c r="C261" s="14"/>
      <c r="D261" s="14"/>
      <c r="E261" s="14"/>
      <c r="F261" s="14"/>
      <c r="G261" s="14"/>
      <c r="H261" s="14"/>
      <c r="I261" s="14"/>
      <c r="J261" s="14"/>
      <c r="K261" s="14"/>
      <c r="L261" s="14"/>
      <c r="M261" s="14"/>
      <c r="N261" s="14"/>
      <c r="O261" s="14"/>
      <c r="P261" s="14"/>
      <c r="Q261" s="14"/>
      <c r="R261" s="60"/>
    </row>
    <row r="262" ht="28.5" customHeight="1">
      <c r="A262" s="14"/>
      <c r="B262" s="14"/>
      <c r="C262" s="14"/>
      <c r="D262" s="14"/>
      <c r="E262" s="14"/>
      <c r="F262" s="14"/>
      <c r="G262" s="14"/>
      <c r="H262" s="14"/>
      <c r="I262" s="14"/>
      <c r="J262" s="14"/>
      <c r="K262" s="14"/>
      <c r="L262" s="14"/>
      <c r="M262" s="14"/>
      <c r="N262" s="14"/>
      <c r="O262" s="14"/>
      <c r="P262" s="14"/>
      <c r="Q262" s="14"/>
      <c r="R262" s="60"/>
    </row>
    <row r="263" ht="28.5" customHeight="1">
      <c r="A263" s="14"/>
      <c r="B263" s="14"/>
      <c r="C263" s="14"/>
      <c r="D263" s="14"/>
      <c r="E263" s="14"/>
      <c r="F263" s="14"/>
      <c r="G263" s="14"/>
      <c r="H263" s="14"/>
      <c r="I263" s="14"/>
      <c r="J263" s="14"/>
      <c r="K263" s="14"/>
      <c r="L263" s="14"/>
      <c r="M263" s="14"/>
      <c r="N263" s="14"/>
      <c r="O263" s="14"/>
      <c r="P263" s="14"/>
      <c r="Q263" s="14"/>
      <c r="R263" s="60"/>
    </row>
    <row r="264" ht="28.5" customHeight="1">
      <c r="A264" s="14"/>
      <c r="B264" s="14"/>
      <c r="C264" s="14"/>
      <c r="D264" s="14"/>
      <c r="E264" s="14"/>
      <c r="F264" s="14"/>
      <c r="G264" s="14"/>
      <c r="H264" s="14"/>
      <c r="I264" s="14"/>
      <c r="J264" s="14"/>
      <c r="K264" s="14"/>
      <c r="L264" s="14"/>
      <c r="M264" s="14"/>
      <c r="N264" s="14"/>
      <c r="O264" s="14"/>
      <c r="P264" s="14"/>
      <c r="Q264" s="14"/>
      <c r="R264" s="60"/>
    </row>
    <row r="265" ht="28.5" customHeight="1">
      <c r="A265" s="14"/>
      <c r="B265" s="14"/>
      <c r="C265" s="14"/>
      <c r="D265" s="14"/>
      <c r="E265" s="14"/>
      <c r="F265" s="14"/>
      <c r="G265" s="14"/>
      <c r="H265" s="14"/>
      <c r="I265" s="14"/>
      <c r="J265" s="14"/>
      <c r="K265" s="14"/>
      <c r="L265" s="14"/>
      <c r="M265" s="14"/>
      <c r="N265" s="14"/>
      <c r="O265" s="14"/>
      <c r="P265" s="14"/>
      <c r="Q265" s="14"/>
      <c r="R265" s="60"/>
    </row>
    <row r="266" ht="28.5" customHeight="1">
      <c r="A266" s="14"/>
      <c r="B266" s="14"/>
      <c r="C266" s="14"/>
      <c r="D266" s="14"/>
      <c r="E266" s="14"/>
      <c r="F266" s="14"/>
      <c r="G266" s="14"/>
      <c r="H266" s="14"/>
      <c r="I266" s="14"/>
      <c r="J266" s="14"/>
      <c r="K266" s="14"/>
      <c r="L266" s="14"/>
      <c r="M266" s="14"/>
      <c r="N266" s="14"/>
      <c r="O266" s="14"/>
      <c r="P266" s="14"/>
      <c r="Q266" s="14"/>
      <c r="R266" s="60"/>
    </row>
    <row r="267" ht="28.5" customHeight="1">
      <c r="A267" s="14"/>
      <c r="B267" s="14"/>
      <c r="C267" s="14"/>
      <c r="D267" s="14"/>
      <c r="E267" s="14"/>
      <c r="F267" s="14"/>
      <c r="G267" s="14"/>
      <c r="H267" s="14"/>
      <c r="I267" s="14"/>
      <c r="J267" s="14"/>
      <c r="K267" s="14"/>
      <c r="L267" s="14"/>
      <c r="M267" s="14"/>
      <c r="N267" s="14"/>
      <c r="O267" s="14"/>
      <c r="P267" s="14"/>
      <c r="Q267" s="14"/>
      <c r="R267" s="60"/>
    </row>
    <row r="268" ht="28.5" customHeight="1">
      <c r="A268" s="14"/>
      <c r="B268" s="14"/>
      <c r="C268" s="14"/>
      <c r="D268" s="14"/>
      <c r="E268" s="14"/>
      <c r="F268" s="14"/>
      <c r="G268" s="14"/>
      <c r="H268" s="14"/>
      <c r="I268" s="14"/>
      <c r="J268" s="14"/>
      <c r="K268" s="14"/>
      <c r="L268" s="14"/>
      <c r="M268" s="14"/>
      <c r="N268" s="14"/>
      <c r="O268" s="14"/>
      <c r="P268" s="14"/>
      <c r="Q268" s="14"/>
      <c r="R268" s="60"/>
    </row>
    <row r="269" ht="28.5" customHeight="1">
      <c r="A269" s="14"/>
      <c r="B269" s="14"/>
      <c r="C269" s="14"/>
      <c r="D269" s="14"/>
      <c r="E269" s="14"/>
      <c r="F269" s="14"/>
      <c r="G269" s="14"/>
      <c r="H269" s="14"/>
      <c r="I269" s="14"/>
      <c r="J269" s="14"/>
      <c r="K269" s="14"/>
      <c r="L269" s="14"/>
      <c r="M269" s="14"/>
      <c r="N269" s="14"/>
      <c r="O269" s="14"/>
      <c r="P269" s="14"/>
      <c r="Q269" s="14"/>
      <c r="R269" s="60"/>
    </row>
    <row r="270" ht="28.5" customHeight="1">
      <c r="A270" s="14"/>
      <c r="B270" s="14"/>
      <c r="C270" s="14"/>
      <c r="D270" s="14"/>
      <c r="E270" s="14"/>
      <c r="F270" s="14"/>
      <c r="G270" s="14"/>
      <c r="H270" s="14"/>
      <c r="I270" s="14"/>
      <c r="J270" s="14"/>
      <c r="K270" s="14"/>
      <c r="L270" s="14"/>
      <c r="M270" s="14"/>
      <c r="N270" s="14"/>
      <c r="O270" s="14"/>
      <c r="P270" s="14"/>
      <c r="Q270" s="14"/>
      <c r="R270" s="60"/>
    </row>
    <row r="271" ht="28.5" customHeight="1">
      <c r="A271" s="14"/>
      <c r="B271" s="14"/>
      <c r="C271" s="14"/>
      <c r="D271" s="14"/>
      <c r="E271" s="14"/>
      <c r="F271" s="14"/>
      <c r="G271" s="14"/>
      <c r="H271" s="14"/>
      <c r="I271" s="14"/>
      <c r="J271" s="14"/>
      <c r="K271" s="14"/>
      <c r="L271" s="14"/>
      <c r="M271" s="14"/>
      <c r="N271" s="14"/>
      <c r="O271" s="14"/>
      <c r="P271" s="14"/>
      <c r="Q271" s="14"/>
      <c r="R271" s="60"/>
    </row>
    <row r="272" ht="28.5" customHeight="1">
      <c r="A272" s="14"/>
      <c r="B272" s="14"/>
      <c r="C272" s="14"/>
      <c r="D272" s="14"/>
      <c r="E272" s="14"/>
      <c r="F272" s="14"/>
      <c r="G272" s="14"/>
      <c r="H272" s="14"/>
      <c r="I272" s="14"/>
      <c r="J272" s="14"/>
      <c r="K272" s="14"/>
      <c r="L272" s="14"/>
      <c r="M272" s="14"/>
      <c r="N272" s="14"/>
      <c r="O272" s="14"/>
      <c r="P272" s="14"/>
      <c r="Q272" s="14"/>
      <c r="R272" s="60"/>
    </row>
    <row r="273" ht="28.5" customHeight="1">
      <c r="A273" s="14"/>
      <c r="B273" s="14"/>
      <c r="C273" s="14"/>
      <c r="D273" s="14"/>
      <c r="E273" s="14"/>
      <c r="F273" s="14"/>
      <c r="G273" s="14"/>
      <c r="H273" s="14"/>
      <c r="I273" s="14"/>
      <c r="J273" s="14"/>
      <c r="K273" s="14"/>
      <c r="L273" s="14"/>
      <c r="M273" s="14"/>
      <c r="N273" s="14"/>
      <c r="O273" s="14"/>
      <c r="P273" s="14"/>
      <c r="Q273" s="14"/>
      <c r="R273" s="60"/>
    </row>
    <row r="274" ht="28.5" customHeight="1">
      <c r="A274" s="14"/>
      <c r="B274" s="14"/>
      <c r="C274" s="14"/>
      <c r="D274" s="14"/>
      <c r="E274" s="14"/>
      <c r="F274" s="14"/>
      <c r="G274" s="14"/>
      <c r="H274" s="14"/>
      <c r="I274" s="14"/>
      <c r="J274" s="14"/>
      <c r="K274" s="14"/>
      <c r="L274" s="14"/>
      <c r="M274" s="14"/>
      <c r="N274" s="14"/>
      <c r="O274" s="14"/>
      <c r="P274" s="14"/>
      <c r="Q274" s="14"/>
      <c r="R274" s="60"/>
    </row>
    <row r="275" ht="28.5" customHeight="1">
      <c r="A275" s="14"/>
      <c r="B275" s="14"/>
      <c r="C275" s="14"/>
      <c r="D275" s="14"/>
      <c r="E275" s="14"/>
      <c r="F275" s="14"/>
      <c r="G275" s="14"/>
      <c r="H275" s="14"/>
      <c r="I275" s="14"/>
      <c r="J275" s="14"/>
      <c r="K275" s="14"/>
      <c r="L275" s="14"/>
      <c r="M275" s="14"/>
      <c r="N275" s="14"/>
      <c r="O275" s="14"/>
      <c r="P275" s="14"/>
      <c r="Q275" s="14"/>
      <c r="R275" s="60"/>
    </row>
    <row r="276" ht="28.5" customHeight="1">
      <c r="A276" s="14"/>
      <c r="B276" s="14"/>
      <c r="C276" s="14"/>
      <c r="D276" s="14"/>
      <c r="E276" s="14"/>
      <c r="F276" s="14"/>
      <c r="G276" s="14"/>
      <c r="H276" s="14"/>
      <c r="I276" s="14"/>
      <c r="J276" s="14"/>
      <c r="K276" s="14"/>
      <c r="L276" s="14"/>
      <c r="M276" s="14"/>
      <c r="N276" s="14"/>
      <c r="O276" s="14"/>
      <c r="P276" s="14"/>
      <c r="Q276" s="14"/>
      <c r="R276" s="60"/>
    </row>
    <row r="277" ht="28.5" customHeight="1">
      <c r="A277" s="14"/>
      <c r="B277" s="14"/>
      <c r="C277" s="14"/>
      <c r="D277" s="14"/>
      <c r="E277" s="14"/>
      <c r="F277" s="14"/>
      <c r="G277" s="14"/>
      <c r="H277" s="14"/>
      <c r="I277" s="14"/>
      <c r="J277" s="14"/>
      <c r="K277" s="14"/>
      <c r="L277" s="14"/>
      <c r="M277" s="14"/>
      <c r="N277" s="14"/>
      <c r="O277" s="14"/>
      <c r="P277" s="14"/>
      <c r="Q277" s="14"/>
      <c r="R277" s="60"/>
    </row>
    <row r="278" ht="28.5" customHeight="1">
      <c r="A278" s="14"/>
      <c r="B278" s="14"/>
      <c r="C278" s="14"/>
      <c r="D278" s="14"/>
      <c r="E278" s="14"/>
      <c r="F278" s="14"/>
      <c r="G278" s="14"/>
      <c r="H278" s="14"/>
      <c r="I278" s="14"/>
      <c r="J278" s="14"/>
      <c r="K278" s="14"/>
      <c r="L278" s="14"/>
      <c r="M278" s="14"/>
      <c r="N278" s="14"/>
      <c r="O278" s="14"/>
      <c r="P278" s="14"/>
      <c r="Q278" s="14"/>
      <c r="R278" s="60"/>
    </row>
    <row r="279" ht="28.5" customHeight="1">
      <c r="A279" s="14"/>
      <c r="B279" s="14"/>
      <c r="C279" s="14"/>
      <c r="D279" s="14"/>
      <c r="E279" s="14"/>
      <c r="F279" s="14"/>
      <c r="G279" s="14"/>
      <c r="H279" s="14"/>
      <c r="I279" s="14"/>
      <c r="J279" s="14"/>
      <c r="K279" s="14"/>
      <c r="L279" s="14"/>
      <c r="M279" s="14"/>
      <c r="N279" s="14"/>
      <c r="O279" s="14"/>
      <c r="P279" s="14"/>
      <c r="Q279" s="14"/>
      <c r="R279" s="60"/>
    </row>
    <row r="280" ht="28.5" customHeight="1">
      <c r="A280" s="14"/>
      <c r="B280" s="14"/>
      <c r="C280" s="14"/>
      <c r="D280" s="14"/>
      <c r="E280" s="14"/>
      <c r="F280" s="14"/>
      <c r="G280" s="14"/>
      <c r="H280" s="14"/>
      <c r="I280" s="14"/>
      <c r="J280" s="14"/>
      <c r="K280" s="14"/>
      <c r="L280" s="14"/>
      <c r="M280" s="14"/>
      <c r="N280" s="14"/>
      <c r="O280" s="14"/>
      <c r="P280" s="14"/>
      <c r="Q280" s="14"/>
      <c r="R280" s="60"/>
    </row>
    <row r="281" ht="28.5" customHeight="1">
      <c r="A281" s="14"/>
      <c r="B281" s="14"/>
      <c r="C281" s="14"/>
      <c r="D281" s="14"/>
      <c r="E281" s="14"/>
      <c r="F281" s="14"/>
      <c r="G281" s="14"/>
      <c r="H281" s="14"/>
      <c r="I281" s="14"/>
      <c r="J281" s="14"/>
      <c r="K281" s="14"/>
      <c r="L281" s="14"/>
      <c r="M281" s="14"/>
      <c r="N281" s="14"/>
      <c r="O281" s="14"/>
      <c r="P281" s="14"/>
      <c r="Q281" s="14"/>
      <c r="R281" s="60"/>
    </row>
    <row r="282" ht="28.5" customHeight="1">
      <c r="A282" s="14"/>
      <c r="B282" s="14"/>
      <c r="C282" s="14"/>
      <c r="D282" s="14"/>
      <c r="E282" s="14"/>
      <c r="F282" s="14"/>
      <c r="G282" s="14"/>
      <c r="H282" s="14"/>
      <c r="I282" s="14"/>
      <c r="J282" s="14"/>
      <c r="K282" s="14"/>
      <c r="L282" s="14"/>
      <c r="M282" s="14"/>
      <c r="N282" s="14"/>
      <c r="O282" s="14"/>
      <c r="P282" s="14"/>
      <c r="Q282" s="14"/>
      <c r="R282" s="60"/>
    </row>
    <row r="283" ht="28.5" customHeight="1">
      <c r="A283" s="14"/>
      <c r="B283" s="14"/>
      <c r="C283" s="14"/>
      <c r="D283" s="14"/>
      <c r="E283" s="14"/>
      <c r="F283" s="14"/>
      <c r="G283" s="14"/>
      <c r="H283" s="14"/>
      <c r="I283" s="14"/>
      <c r="J283" s="14"/>
      <c r="K283" s="14"/>
      <c r="L283" s="14"/>
      <c r="M283" s="14"/>
      <c r="N283" s="14"/>
      <c r="O283" s="14"/>
      <c r="P283" s="14"/>
      <c r="Q283" s="14"/>
      <c r="R283" s="60"/>
    </row>
    <row r="284" ht="28.5" customHeight="1">
      <c r="A284" s="14"/>
      <c r="B284" s="14"/>
      <c r="C284" s="14"/>
      <c r="D284" s="14"/>
      <c r="E284" s="14"/>
      <c r="F284" s="14"/>
      <c r="G284" s="14"/>
      <c r="H284" s="14"/>
      <c r="I284" s="14"/>
      <c r="J284" s="14"/>
      <c r="K284" s="14"/>
      <c r="L284" s="14"/>
      <c r="M284" s="14"/>
      <c r="N284" s="14"/>
      <c r="O284" s="14"/>
      <c r="P284" s="14"/>
      <c r="Q284" s="14"/>
      <c r="R284" s="60"/>
    </row>
    <row r="285" ht="28.5" customHeight="1">
      <c r="A285" s="14"/>
      <c r="B285" s="14"/>
      <c r="C285" s="14"/>
      <c r="D285" s="14"/>
      <c r="E285" s="14"/>
      <c r="F285" s="14"/>
      <c r="G285" s="14"/>
      <c r="H285" s="14"/>
      <c r="I285" s="14"/>
      <c r="J285" s="14"/>
      <c r="K285" s="14"/>
      <c r="L285" s="14"/>
      <c r="M285" s="14"/>
      <c r="N285" s="14"/>
      <c r="O285" s="14"/>
      <c r="P285" s="14"/>
      <c r="Q285" s="14"/>
      <c r="R285" s="60"/>
    </row>
    <row r="286" ht="28.5" customHeight="1">
      <c r="A286" s="14"/>
      <c r="B286" s="14"/>
      <c r="C286" s="14"/>
      <c r="D286" s="14"/>
      <c r="E286" s="14"/>
      <c r="F286" s="14"/>
      <c r="G286" s="14"/>
      <c r="H286" s="14"/>
      <c r="I286" s="14"/>
      <c r="J286" s="14"/>
      <c r="K286" s="14"/>
      <c r="L286" s="14"/>
      <c r="M286" s="14"/>
      <c r="N286" s="14"/>
      <c r="O286" s="14"/>
      <c r="P286" s="14"/>
      <c r="Q286" s="14"/>
      <c r="R286" s="60"/>
    </row>
    <row r="287" ht="28.5" customHeight="1">
      <c r="A287" s="14"/>
      <c r="B287" s="14"/>
      <c r="C287" s="14"/>
      <c r="D287" s="14"/>
      <c r="E287" s="14"/>
      <c r="F287" s="14"/>
      <c r="G287" s="14"/>
      <c r="H287" s="14"/>
      <c r="I287" s="14"/>
      <c r="J287" s="14"/>
      <c r="K287" s="14"/>
      <c r="L287" s="14"/>
      <c r="M287" s="14"/>
      <c r="N287" s="14"/>
      <c r="O287" s="14"/>
      <c r="P287" s="14"/>
      <c r="Q287" s="14"/>
      <c r="R287" s="60"/>
    </row>
    <row r="288" ht="28.5" customHeight="1">
      <c r="A288" s="14"/>
      <c r="B288" s="14"/>
      <c r="C288" s="14"/>
      <c r="D288" s="14"/>
      <c r="E288" s="14"/>
      <c r="F288" s="14"/>
      <c r="G288" s="14"/>
      <c r="H288" s="14"/>
      <c r="I288" s="14"/>
      <c r="J288" s="14"/>
      <c r="K288" s="14"/>
      <c r="L288" s="14"/>
      <c r="M288" s="14"/>
      <c r="N288" s="14"/>
      <c r="O288" s="14"/>
      <c r="P288" s="14"/>
      <c r="Q288" s="14"/>
      <c r="R288" s="60"/>
    </row>
    <row r="289" ht="28.5" customHeight="1">
      <c r="A289" s="14"/>
      <c r="B289" s="14"/>
      <c r="C289" s="14"/>
      <c r="D289" s="14"/>
      <c r="E289" s="14"/>
      <c r="F289" s="14"/>
      <c r="G289" s="14"/>
      <c r="H289" s="14"/>
      <c r="I289" s="14"/>
      <c r="J289" s="14"/>
      <c r="K289" s="14"/>
      <c r="L289" s="14"/>
      <c r="M289" s="14"/>
      <c r="N289" s="14"/>
      <c r="O289" s="14"/>
      <c r="P289" s="14"/>
      <c r="Q289" s="14"/>
      <c r="R289" s="60"/>
    </row>
    <row r="290" ht="28.5" customHeight="1">
      <c r="A290" s="14"/>
      <c r="B290" s="14"/>
      <c r="C290" s="14"/>
      <c r="D290" s="14"/>
      <c r="E290" s="14"/>
      <c r="F290" s="14"/>
      <c r="G290" s="14"/>
      <c r="H290" s="14"/>
      <c r="I290" s="14"/>
      <c r="J290" s="14"/>
      <c r="K290" s="14"/>
      <c r="L290" s="14"/>
      <c r="M290" s="14"/>
      <c r="N290" s="14"/>
      <c r="O290" s="14"/>
      <c r="P290" s="14"/>
      <c r="Q290" s="14"/>
      <c r="R290" s="60"/>
    </row>
    <row r="291" ht="28.5" customHeight="1">
      <c r="A291" s="14"/>
      <c r="B291" s="14"/>
      <c r="C291" s="14"/>
      <c r="D291" s="14"/>
      <c r="E291" s="14"/>
      <c r="F291" s="14"/>
      <c r="G291" s="14"/>
      <c r="H291" s="14"/>
      <c r="I291" s="14"/>
      <c r="J291" s="14"/>
      <c r="K291" s="14"/>
      <c r="L291" s="14"/>
      <c r="M291" s="14"/>
      <c r="N291" s="14"/>
      <c r="O291" s="14"/>
      <c r="P291" s="14"/>
      <c r="Q291" s="14"/>
      <c r="R291" s="60"/>
    </row>
    <row r="292" ht="28.5" customHeight="1">
      <c r="A292" s="14"/>
      <c r="B292" s="14"/>
      <c r="C292" s="14"/>
      <c r="D292" s="14"/>
      <c r="E292" s="14"/>
      <c r="F292" s="14"/>
      <c r="G292" s="14"/>
      <c r="H292" s="14"/>
      <c r="I292" s="14"/>
      <c r="J292" s="14"/>
      <c r="K292" s="14"/>
      <c r="L292" s="14"/>
      <c r="M292" s="14"/>
      <c r="N292" s="14"/>
      <c r="O292" s="14"/>
      <c r="P292" s="14"/>
      <c r="Q292" s="14"/>
      <c r="R292" s="60"/>
    </row>
    <row r="293" ht="28.5" customHeight="1">
      <c r="A293" s="14"/>
      <c r="B293" s="14"/>
      <c r="C293" s="14"/>
      <c r="D293" s="14"/>
      <c r="E293" s="14"/>
      <c r="F293" s="14"/>
      <c r="G293" s="14"/>
      <c r="H293" s="14"/>
      <c r="I293" s="14"/>
      <c r="J293" s="14"/>
      <c r="K293" s="14"/>
      <c r="L293" s="14"/>
      <c r="M293" s="14"/>
      <c r="N293" s="14"/>
      <c r="O293" s="14"/>
      <c r="P293" s="14"/>
      <c r="Q293" s="14"/>
      <c r="R293" s="60"/>
    </row>
    <row r="294" ht="28.5" customHeight="1">
      <c r="A294" s="14"/>
      <c r="B294" s="14"/>
      <c r="C294" s="14"/>
      <c r="D294" s="14"/>
      <c r="E294" s="14"/>
      <c r="F294" s="14"/>
      <c r="G294" s="14"/>
      <c r="H294" s="14"/>
      <c r="I294" s="14"/>
      <c r="J294" s="14"/>
      <c r="K294" s="14"/>
      <c r="L294" s="14"/>
      <c r="M294" s="14"/>
      <c r="N294" s="14"/>
      <c r="O294" s="14"/>
      <c r="P294" s="14"/>
      <c r="Q294" s="14"/>
      <c r="R294" s="60"/>
    </row>
    <row r="295" ht="28.5" customHeight="1">
      <c r="A295" s="14"/>
      <c r="B295" s="14"/>
      <c r="C295" s="14"/>
      <c r="D295" s="14"/>
      <c r="E295" s="14"/>
      <c r="F295" s="14"/>
      <c r="G295" s="14"/>
      <c r="H295" s="14"/>
      <c r="I295" s="14"/>
      <c r="J295" s="14"/>
      <c r="K295" s="14"/>
      <c r="L295" s="14"/>
      <c r="M295" s="14"/>
      <c r="N295" s="14"/>
      <c r="O295" s="14"/>
      <c r="P295" s="14"/>
      <c r="Q295" s="14"/>
      <c r="R295" s="60"/>
    </row>
    <row r="296" ht="28.5" customHeight="1">
      <c r="A296" s="14"/>
      <c r="B296" s="14"/>
      <c r="C296" s="14"/>
      <c r="D296" s="14"/>
      <c r="E296" s="14"/>
      <c r="F296" s="14"/>
      <c r="G296" s="14"/>
      <c r="H296" s="14"/>
      <c r="I296" s="14"/>
      <c r="J296" s="14"/>
      <c r="K296" s="14"/>
      <c r="L296" s="14"/>
      <c r="M296" s="14"/>
      <c r="N296" s="14"/>
      <c r="O296" s="14"/>
      <c r="P296" s="14"/>
      <c r="Q296" s="14"/>
      <c r="R296" s="60"/>
    </row>
    <row r="297" ht="28.5" customHeight="1">
      <c r="A297" s="14"/>
      <c r="B297" s="14"/>
      <c r="C297" s="14"/>
      <c r="D297" s="14"/>
      <c r="E297" s="14"/>
      <c r="F297" s="14"/>
      <c r="G297" s="14"/>
      <c r="H297" s="14"/>
      <c r="I297" s="14"/>
      <c r="J297" s="14"/>
      <c r="K297" s="14"/>
      <c r="L297" s="14"/>
      <c r="M297" s="14"/>
      <c r="N297" s="14"/>
      <c r="O297" s="14"/>
      <c r="P297" s="14"/>
      <c r="Q297" s="14"/>
      <c r="R297" s="60"/>
    </row>
    <row r="298" ht="28.5" customHeight="1">
      <c r="A298" s="14"/>
      <c r="B298" s="14"/>
      <c r="C298" s="14"/>
      <c r="D298" s="14"/>
      <c r="E298" s="14"/>
      <c r="F298" s="14"/>
      <c r="G298" s="14"/>
      <c r="H298" s="14"/>
      <c r="I298" s="14"/>
      <c r="J298" s="14"/>
      <c r="K298" s="14"/>
      <c r="L298" s="14"/>
      <c r="M298" s="14"/>
      <c r="N298" s="14"/>
      <c r="O298" s="14"/>
      <c r="P298" s="14"/>
      <c r="Q298" s="14"/>
      <c r="R298" s="60"/>
    </row>
    <row r="299" ht="28.5" customHeight="1">
      <c r="A299" s="14"/>
      <c r="B299" s="14"/>
      <c r="C299" s="14"/>
      <c r="D299" s="14"/>
      <c r="E299" s="14"/>
      <c r="F299" s="14"/>
      <c r="G299" s="14"/>
      <c r="H299" s="14"/>
      <c r="I299" s="14"/>
      <c r="J299" s="14"/>
      <c r="K299" s="14"/>
      <c r="L299" s="14"/>
      <c r="M299" s="14"/>
      <c r="N299" s="14"/>
      <c r="O299" s="14"/>
      <c r="P299" s="14"/>
      <c r="Q299" s="14"/>
      <c r="R299" s="60"/>
    </row>
    <row r="300" ht="28.5" customHeight="1">
      <c r="A300" s="14"/>
      <c r="B300" s="14"/>
      <c r="C300" s="14"/>
      <c r="D300" s="14"/>
      <c r="E300" s="14"/>
      <c r="F300" s="14"/>
      <c r="G300" s="14"/>
      <c r="H300" s="14"/>
      <c r="I300" s="14"/>
      <c r="J300" s="14"/>
      <c r="K300" s="14"/>
      <c r="L300" s="14"/>
      <c r="M300" s="14"/>
      <c r="N300" s="14"/>
      <c r="O300" s="14"/>
      <c r="P300" s="14"/>
      <c r="Q300" s="14"/>
      <c r="R300" s="60"/>
    </row>
    <row r="301" ht="28.5" customHeight="1">
      <c r="A301" s="14"/>
      <c r="B301" s="14"/>
      <c r="C301" s="14"/>
      <c r="D301" s="14"/>
      <c r="E301" s="14"/>
      <c r="F301" s="14"/>
      <c r="G301" s="14"/>
      <c r="H301" s="14"/>
      <c r="I301" s="14"/>
      <c r="J301" s="14"/>
      <c r="K301" s="14"/>
      <c r="L301" s="14"/>
      <c r="M301" s="14"/>
      <c r="N301" s="14"/>
      <c r="O301" s="14"/>
      <c r="P301" s="14"/>
      <c r="Q301" s="14"/>
      <c r="R301" s="60"/>
    </row>
    <row r="302" ht="28.5" customHeight="1">
      <c r="A302" s="14"/>
      <c r="B302" s="14"/>
      <c r="C302" s="14"/>
      <c r="D302" s="14"/>
      <c r="E302" s="14"/>
      <c r="F302" s="14"/>
      <c r="G302" s="14"/>
      <c r="H302" s="14"/>
      <c r="I302" s="14"/>
      <c r="J302" s="14"/>
      <c r="K302" s="14"/>
      <c r="L302" s="14"/>
      <c r="M302" s="14"/>
      <c r="N302" s="14"/>
      <c r="O302" s="14"/>
      <c r="P302" s="14"/>
      <c r="Q302" s="14"/>
      <c r="R302" s="60"/>
    </row>
    <row r="303" ht="28.5" customHeight="1">
      <c r="A303" s="14"/>
      <c r="B303" s="14"/>
      <c r="C303" s="14"/>
      <c r="D303" s="14"/>
      <c r="E303" s="14"/>
      <c r="F303" s="14"/>
      <c r="G303" s="14"/>
      <c r="H303" s="14"/>
      <c r="I303" s="14"/>
      <c r="J303" s="14"/>
      <c r="K303" s="14"/>
      <c r="L303" s="14"/>
      <c r="M303" s="14"/>
      <c r="N303" s="14"/>
      <c r="O303" s="14"/>
      <c r="P303" s="14"/>
      <c r="Q303" s="14"/>
      <c r="R303" s="60"/>
    </row>
    <row r="304" ht="28.5" customHeight="1">
      <c r="A304" s="14"/>
      <c r="B304" s="14"/>
      <c r="C304" s="14"/>
      <c r="D304" s="14"/>
      <c r="E304" s="14"/>
      <c r="F304" s="14"/>
      <c r="G304" s="14"/>
      <c r="H304" s="14"/>
      <c r="I304" s="14"/>
      <c r="J304" s="14"/>
      <c r="K304" s="14"/>
      <c r="L304" s="14"/>
      <c r="M304" s="14"/>
      <c r="N304" s="14"/>
      <c r="O304" s="14"/>
      <c r="P304" s="14"/>
      <c r="Q304" s="14"/>
      <c r="R304" s="60"/>
    </row>
    <row r="305" ht="28.5" customHeight="1">
      <c r="A305" s="14"/>
      <c r="B305" s="14"/>
      <c r="C305" s="14"/>
      <c r="D305" s="14"/>
      <c r="E305" s="14"/>
      <c r="F305" s="14"/>
      <c r="G305" s="14"/>
      <c r="H305" s="14"/>
      <c r="I305" s="14"/>
      <c r="J305" s="14"/>
      <c r="K305" s="14"/>
      <c r="L305" s="14"/>
      <c r="M305" s="14"/>
      <c r="N305" s="14"/>
      <c r="O305" s="14"/>
      <c r="P305" s="14"/>
      <c r="Q305" s="14"/>
      <c r="R305" s="60"/>
    </row>
    <row r="306" ht="28.5" customHeight="1">
      <c r="A306" s="14"/>
      <c r="B306" s="14"/>
      <c r="C306" s="14"/>
      <c r="D306" s="14"/>
      <c r="E306" s="14"/>
      <c r="F306" s="14"/>
      <c r="G306" s="14"/>
      <c r="H306" s="14"/>
      <c r="I306" s="14"/>
      <c r="J306" s="14"/>
      <c r="K306" s="14"/>
      <c r="L306" s="14"/>
      <c r="M306" s="14"/>
      <c r="N306" s="14"/>
      <c r="O306" s="14"/>
      <c r="P306" s="14"/>
      <c r="Q306" s="14"/>
      <c r="R306" s="60"/>
    </row>
    <row r="307" ht="28.5" customHeight="1">
      <c r="A307" s="14"/>
      <c r="B307" s="14"/>
      <c r="C307" s="14"/>
      <c r="D307" s="14"/>
      <c r="E307" s="14"/>
      <c r="F307" s="14"/>
      <c r="G307" s="14"/>
      <c r="H307" s="14"/>
      <c r="I307" s="14"/>
      <c r="J307" s="14"/>
      <c r="K307" s="14"/>
      <c r="L307" s="14"/>
      <c r="M307" s="14"/>
      <c r="N307" s="14"/>
      <c r="O307" s="14"/>
      <c r="P307" s="14"/>
      <c r="Q307" s="14"/>
      <c r="R307" s="60"/>
    </row>
    <row r="308" ht="28.5" customHeight="1">
      <c r="A308" s="14"/>
      <c r="B308" s="14"/>
      <c r="C308" s="14"/>
      <c r="D308" s="14"/>
      <c r="E308" s="14"/>
      <c r="F308" s="14"/>
      <c r="G308" s="14"/>
      <c r="H308" s="14"/>
      <c r="I308" s="14"/>
      <c r="J308" s="14"/>
      <c r="K308" s="14"/>
      <c r="L308" s="14"/>
      <c r="M308" s="14"/>
      <c r="N308" s="14"/>
      <c r="O308" s="14"/>
      <c r="P308" s="14"/>
      <c r="Q308" s="14"/>
      <c r="R308" s="60"/>
    </row>
    <row r="309" ht="28.5" customHeight="1">
      <c r="A309" s="14"/>
      <c r="B309" s="14"/>
      <c r="C309" s="14"/>
      <c r="D309" s="14"/>
      <c r="E309" s="14"/>
      <c r="F309" s="14"/>
      <c r="G309" s="14"/>
      <c r="H309" s="14"/>
      <c r="I309" s="14"/>
      <c r="J309" s="14"/>
      <c r="K309" s="14"/>
      <c r="L309" s="14"/>
      <c r="M309" s="14"/>
      <c r="N309" s="14"/>
      <c r="O309" s="14"/>
      <c r="P309" s="14"/>
      <c r="Q309" s="14"/>
      <c r="R309" s="60"/>
    </row>
    <row r="310" ht="28.5" customHeight="1">
      <c r="A310" s="14"/>
      <c r="B310" s="14"/>
      <c r="C310" s="14"/>
      <c r="D310" s="14"/>
      <c r="E310" s="14"/>
      <c r="F310" s="14"/>
      <c r="G310" s="14"/>
      <c r="H310" s="14"/>
      <c r="I310" s="14"/>
      <c r="J310" s="14"/>
      <c r="K310" s="14"/>
      <c r="L310" s="14"/>
      <c r="M310" s="14"/>
      <c r="N310" s="14"/>
      <c r="O310" s="14"/>
      <c r="P310" s="14"/>
      <c r="Q310" s="14"/>
      <c r="R310" s="60"/>
    </row>
    <row r="311" ht="28.5" customHeight="1">
      <c r="A311" s="14"/>
      <c r="B311" s="14"/>
      <c r="C311" s="14"/>
      <c r="D311" s="14"/>
      <c r="E311" s="14"/>
      <c r="F311" s="14"/>
      <c r="G311" s="14"/>
      <c r="H311" s="14"/>
      <c r="I311" s="14"/>
      <c r="J311" s="14"/>
      <c r="K311" s="14"/>
      <c r="L311" s="14"/>
      <c r="M311" s="14"/>
      <c r="N311" s="14"/>
      <c r="O311" s="14"/>
      <c r="P311" s="14"/>
      <c r="Q311" s="14"/>
      <c r="R311" s="60"/>
    </row>
    <row r="312" ht="28.5" customHeight="1">
      <c r="A312" s="14"/>
      <c r="B312" s="14"/>
      <c r="C312" s="14"/>
      <c r="D312" s="14"/>
      <c r="E312" s="14"/>
      <c r="F312" s="14"/>
      <c r="G312" s="14"/>
      <c r="H312" s="14"/>
      <c r="I312" s="14"/>
      <c r="J312" s="14"/>
      <c r="K312" s="14"/>
      <c r="L312" s="14"/>
      <c r="M312" s="14"/>
      <c r="N312" s="14"/>
      <c r="O312" s="14"/>
      <c r="P312" s="14"/>
      <c r="Q312" s="14"/>
      <c r="R312" s="60"/>
    </row>
    <row r="313" ht="28.5" customHeight="1">
      <c r="A313" s="14"/>
      <c r="B313" s="14"/>
      <c r="C313" s="14"/>
      <c r="D313" s="14"/>
      <c r="E313" s="14"/>
      <c r="F313" s="14"/>
      <c r="G313" s="14"/>
      <c r="H313" s="14"/>
      <c r="I313" s="14"/>
      <c r="J313" s="14"/>
      <c r="K313" s="14"/>
      <c r="L313" s="14"/>
      <c r="M313" s="14"/>
      <c r="N313" s="14"/>
      <c r="O313" s="14"/>
      <c r="P313" s="14"/>
      <c r="Q313" s="14"/>
      <c r="R313" s="60"/>
    </row>
    <row r="314" ht="28.5" customHeight="1">
      <c r="A314" s="14"/>
      <c r="B314" s="14"/>
      <c r="C314" s="14"/>
      <c r="D314" s="14"/>
      <c r="E314" s="14"/>
      <c r="F314" s="14"/>
      <c r="G314" s="14"/>
      <c r="H314" s="14"/>
      <c r="I314" s="14"/>
      <c r="J314" s="14"/>
      <c r="K314" s="14"/>
      <c r="L314" s="14"/>
      <c r="M314" s="14"/>
      <c r="N314" s="14"/>
      <c r="O314" s="14"/>
      <c r="P314" s="14"/>
      <c r="Q314" s="14"/>
      <c r="R314" s="60"/>
    </row>
    <row r="315" ht="28.5" customHeight="1">
      <c r="A315" s="14"/>
      <c r="B315" s="14"/>
      <c r="C315" s="14"/>
      <c r="D315" s="14"/>
      <c r="E315" s="14"/>
      <c r="F315" s="14"/>
      <c r="G315" s="14"/>
      <c r="H315" s="14"/>
      <c r="I315" s="14"/>
      <c r="J315" s="14"/>
      <c r="K315" s="14"/>
      <c r="L315" s="14"/>
      <c r="M315" s="14"/>
      <c r="N315" s="14"/>
      <c r="O315" s="14"/>
      <c r="P315" s="14"/>
      <c r="Q315" s="14"/>
      <c r="R315" s="60"/>
    </row>
    <row r="316" ht="28.5" customHeight="1">
      <c r="A316" s="14"/>
      <c r="B316" s="14"/>
      <c r="C316" s="14"/>
      <c r="D316" s="14"/>
      <c r="E316" s="14"/>
      <c r="F316" s="14"/>
      <c r="G316" s="14"/>
      <c r="H316" s="14"/>
      <c r="I316" s="14"/>
      <c r="J316" s="14"/>
      <c r="K316" s="14"/>
      <c r="L316" s="14"/>
      <c r="M316" s="14"/>
      <c r="N316" s="14"/>
      <c r="O316" s="14"/>
      <c r="P316" s="14"/>
      <c r="Q316" s="14"/>
      <c r="R316" s="60"/>
    </row>
    <row r="317" ht="28.5" customHeight="1">
      <c r="A317" s="14"/>
      <c r="B317" s="14"/>
      <c r="C317" s="14"/>
      <c r="D317" s="14"/>
      <c r="E317" s="14"/>
      <c r="F317" s="14"/>
      <c r="G317" s="14"/>
      <c r="H317" s="14"/>
      <c r="I317" s="14"/>
      <c r="J317" s="14"/>
      <c r="K317" s="14"/>
      <c r="L317" s="14"/>
      <c r="M317" s="14"/>
      <c r="N317" s="14"/>
      <c r="O317" s="14"/>
      <c r="P317" s="14"/>
      <c r="Q317" s="14"/>
      <c r="R317" s="60"/>
    </row>
    <row r="318" ht="28.5" customHeight="1">
      <c r="A318" s="14"/>
      <c r="B318" s="14"/>
      <c r="C318" s="14"/>
      <c r="D318" s="14"/>
      <c r="E318" s="14"/>
      <c r="F318" s="14"/>
      <c r="G318" s="14"/>
      <c r="H318" s="14"/>
      <c r="I318" s="14"/>
      <c r="J318" s="14"/>
      <c r="K318" s="14"/>
      <c r="L318" s="14"/>
      <c r="M318" s="14"/>
      <c r="N318" s="14"/>
      <c r="O318" s="14"/>
      <c r="P318" s="14"/>
      <c r="Q318" s="14"/>
      <c r="R318" s="60"/>
    </row>
    <row r="319" ht="28.5" customHeight="1">
      <c r="A319" s="14"/>
      <c r="B319" s="14"/>
      <c r="C319" s="14"/>
      <c r="D319" s="14"/>
      <c r="E319" s="14"/>
      <c r="F319" s="14"/>
      <c r="G319" s="14"/>
      <c r="H319" s="14"/>
      <c r="I319" s="14"/>
      <c r="J319" s="14"/>
      <c r="K319" s="14"/>
      <c r="L319" s="14"/>
      <c r="M319" s="14"/>
      <c r="N319" s="14"/>
      <c r="O319" s="14"/>
      <c r="P319" s="14"/>
      <c r="Q319" s="14"/>
      <c r="R319" s="60"/>
    </row>
    <row r="320" ht="28.5" customHeight="1">
      <c r="A320" s="14"/>
      <c r="B320" s="14"/>
      <c r="C320" s="14"/>
      <c r="D320" s="14"/>
      <c r="E320" s="14"/>
      <c r="F320" s="14"/>
      <c r="G320" s="14"/>
      <c r="H320" s="14"/>
      <c r="I320" s="14"/>
      <c r="J320" s="14"/>
      <c r="K320" s="14"/>
      <c r="L320" s="14"/>
      <c r="M320" s="14"/>
      <c r="N320" s="14"/>
      <c r="O320" s="14"/>
      <c r="P320" s="14"/>
      <c r="Q320" s="14"/>
      <c r="R320" s="60"/>
    </row>
    <row r="321" ht="28.5" customHeight="1">
      <c r="A321" s="14"/>
      <c r="B321" s="14"/>
      <c r="C321" s="14"/>
      <c r="D321" s="14"/>
      <c r="E321" s="14"/>
      <c r="F321" s="14"/>
      <c r="G321" s="14"/>
      <c r="H321" s="14"/>
      <c r="I321" s="14"/>
      <c r="J321" s="14"/>
      <c r="K321" s="14"/>
      <c r="L321" s="14"/>
      <c r="M321" s="14"/>
      <c r="N321" s="14"/>
      <c r="O321" s="14"/>
      <c r="P321" s="14"/>
      <c r="Q321" s="14"/>
      <c r="R321" s="60"/>
    </row>
    <row r="322" ht="28.5" customHeight="1">
      <c r="A322" s="14"/>
      <c r="B322" s="14"/>
      <c r="C322" s="14"/>
      <c r="D322" s="14"/>
      <c r="E322" s="14"/>
      <c r="F322" s="14"/>
      <c r="G322" s="14"/>
      <c r="H322" s="14"/>
      <c r="I322" s="14"/>
      <c r="J322" s="14"/>
      <c r="K322" s="14"/>
      <c r="L322" s="14"/>
      <c r="M322" s="14"/>
      <c r="N322" s="14"/>
      <c r="O322" s="14"/>
      <c r="P322" s="14"/>
      <c r="Q322" s="14"/>
      <c r="R322" s="60"/>
    </row>
    <row r="323" ht="28.5" customHeight="1">
      <c r="A323" s="14"/>
      <c r="B323" s="14"/>
      <c r="C323" s="14"/>
      <c r="D323" s="14"/>
      <c r="E323" s="14"/>
      <c r="F323" s="14"/>
      <c r="G323" s="14"/>
      <c r="H323" s="14"/>
      <c r="I323" s="14"/>
      <c r="J323" s="14"/>
      <c r="K323" s="14"/>
      <c r="L323" s="14"/>
      <c r="M323" s="14"/>
      <c r="N323" s="14"/>
      <c r="O323" s="14"/>
      <c r="P323" s="14"/>
      <c r="Q323" s="14"/>
      <c r="R323" s="60"/>
    </row>
    <row r="324" ht="28.5" customHeight="1">
      <c r="A324" s="14"/>
      <c r="B324" s="14"/>
      <c r="C324" s="14"/>
      <c r="D324" s="14"/>
      <c r="E324" s="14"/>
      <c r="F324" s="14"/>
      <c r="G324" s="14"/>
      <c r="H324" s="14"/>
      <c r="I324" s="14"/>
      <c r="J324" s="14"/>
      <c r="K324" s="14"/>
      <c r="L324" s="14"/>
      <c r="M324" s="14"/>
      <c r="N324" s="14"/>
      <c r="O324" s="14"/>
      <c r="P324" s="14"/>
      <c r="Q324" s="14"/>
      <c r="R324" s="60"/>
    </row>
    <row r="325" ht="28.5" customHeight="1">
      <c r="A325" s="14"/>
      <c r="B325" s="14"/>
      <c r="C325" s="14"/>
      <c r="D325" s="14"/>
      <c r="E325" s="14"/>
      <c r="F325" s="14"/>
      <c r="G325" s="14"/>
      <c r="H325" s="14"/>
      <c r="I325" s="14"/>
      <c r="J325" s="14"/>
      <c r="K325" s="14"/>
      <c r="L325" s="14"/>
      <c r="M325" s="14"/>
      <c r="N325" s="14"/>
      <c r="O325" s="14"/>
      <c r="P325" s="14"/>
      <c r="Q325" s="14"/>
      <c r="R325" s="60"/>
    </row>
    <row r="326" ht="28.5" customHeight="1">
      <c r="A326" s="14"/>
      <c r="B326" s="14"/>
      <c r="C326" s="14"/>
      <c r="D326" s="14"/>
      <c r="E326" s="14"/>
      <c r="F326" s="14"/>
      <c r="G326" s="14"/>
      <c r="H326" s="14"/>
      <c r="I326" s="14"/>
      <c r="J326" s="14"/>
      <c r="K326" s="14"/>
      <c r="L326" s="14"/>
      <c r="M326" s="14"/>
      <c r="N326" s="14"/>
      <c r="O326" s="14"/>
      <c r="P326" s="14"/>
      <c r="Q326" s="14"/>
      <c r="R326" s="60"/>
    </row>
    <row r="327" ht="28.5" customHeight="1">
      <c r="A327" s="14"/>
      <c r="B327" s="14"/>
      <c r="C327" s="14"/>
      <c r="D327" s="14"/>
      <c r="E327" s="14"/>
      <c r="F327" s="14"/>
      <c r="G327" s="14"/>
      <c r="H327" s="14"/>
      <c r="I327" s="14"/>
      <c r="J327" s="14"/>
      <c r="K327" s="14"/>
      <c r="L327" s="14"/>
      <c r="M327" s="14"/>
      <c r="N327" s="14"/>
      <c r="O327" s="14"/>
      <c r="P327" s="14"/>
      <c r="Q327" s="14"/>
      <c r="R327" s="60"/>
    </row>
    <row r="328" ht="28.5" customHeight="1">
      <c r="A328" s="14"/>
      <c r="B328" s="14"/>
      <c r="C328" s="14"/>
      <c r="D328" s="14"/>
      <c r="E328" s="14"/>
      <c r="F328" s="14"/>
      <c r="G328" s="14"/>
      <c r="H328" s="14"/>
      <c r="I328" s="14"/>
      <c r="J328" s="14"/>
      <c r="K328" s="14"/>
      <c r="L328" s="14"/>
      <c r="M328" s="14"/>
      <c r="N328" s="14"/>
      <c r="O328" s="14"/>
      <c r="P328" s="14"/>
      <c r="Q328" s="14"/>
      <c r="R328" s="60"/>
    </row>
    <row r="329" ht="28.5" customHeight="1">
      <c r="A329" s="14"/>
      <c r="B329" s="14"/>
      <c r="C329" s="14"/>
      <c r="D329" s="14"/>
      <c r="E329" s="14"/>
      <c r="F329" s="14"/>
      <c r="G329" s="14"/>
      <c r="H329" s="14"/>
      <c r="I329" s="14"/>
      <c r="J329" s="14"/>
      <c r="K329" s="14"/>
      <c r="L329" s="14"/>
      <c r="M329" s="14"/>
      <c r="N329" s="14"/>
      <c r="O329" s="14"/>
      <c r="P329" s="14"/>
      <c r="Q329" s="14"/>
      <c r="R329" s="60"/>
    </row>
    <row r="330" ht="28.5" customHeight="1">
      <c r="A330" s="14"/>
      <c r="B330" s="14"/>
      <c r="C330" s="14"/>
      <c r="D330" s="14"/>
      <c r="E330" s="14"/>
      <c r="F330" s="14"/>
      <c r="G330" s="14"/>
      <c r="H330" s="14"/>
      <c r="I330" s="14"/>
      <c r="J330" s="14"/>
      <c r="K330" s="14"/>
      <c r="L330" s="14"/>
      <c r="M330" s="14"/>
      <c r="N330" s="14"/>
      <c r="O330" s="14"/>
      <c r="P330" s="14"/>
      <c r="Q330" s="14"/>
      <c r="R330" s="60"/>
    </row>
    <row r="331" ht="28.5" customHeight="1">
      <c r="A331" s="14"/>
      <c r="B331" s="14"/>
      <c r="C331" s="14"/>
      <c r="D331" s="14"/>
      <c r="E331" s="14"/>
      <c r="F331" s="14"/>
      <c r="G331" s="14"/>
      <c r="H331" s="14"/>
      <c r="I331" s="14"/>
      <c r="J331" s="14"/>
      <c r="K331" s="14"/>
      <c r="L331" s="14"/>
      <c r="M331" s="14"/>
      <c r="N331" s="14"/>
      <c r="O331" s="14"/>
      <c r="P331" s="14"/>
      <c r="Q331" s="14"/>
      <c r="R331" s="60"/>
    </row>
    <row r="332" ht="28.5" customHeight="1">
      <c r="A332" s="14"/>
      <c r="B332" s="14"/>
      <c r="C332" s="14"/>
      <c r="D332" s="14"/>
      <c r="E332" s="14"/>
      <c r="F332" s="14"/>
      <c r="G332" s="14"/>
      <c r="H332" s="14"/>
      <c r="I332" s="14"/>
      <c r="J332" s="14"/>
      <c r="K332" s="14"/>
      <c r="L332" s="14"/>
      <c r="M332" s="14"/>
      <c r="N332" s="14"/>
      <c r="O332" s="14"/>
      <c r="P332" s="14"/>
      <c r="Q332" s="14"/>
      <c r="R332" s="60"/>
    </row>
    <row r="333" ht="28.5" customHeight="1">
      <c r="A333" s="14"/>
      <c r="B333" s="14"/>
      <c r="C333" s="14"/>
      <c r="D333" s="14"/>
      <c r="E333" s="14"/>
      <c r="F333" s="14"/>
      <c r="G333" s="14"/>
      <c r="H333" s="14"/>
      <c r="I333" s="14"/>
      <c r="J333" s="14"/>
      <c r="K333" s="14"/>
      <c r="L333" s="14"/>
      <c r="M333" s="14"/>
      <c r="N333" s="14"/>
      <c r="O333" s="14"/>
      <c r="P333" s="14"/>
      <c r="Q333" s="14"/>
      <c r="R333" s="60"/>
    </row>
    <row r="334" ht="28.5" customHeight="1">
      <c r="A334" s="14"/>
      <c r="B334" s="14"/>
      <c r="C334" s="14"/>
      <c r="D334" s="14"/>
      <c r="E334" s="14"/>
      <c r="F334" s="14"/>
      <c r="G334" s="14"/>
      <c r="H334" s="14"/>
      <c r="I334" s="14"/>
      <c r="J334" s="14"/>
      <c r="K334" s="14"/>
      <c r="L334" s="14"/>
      <c r="M334" s="14"/>
      <c r="N334" s="14"/>
      <c r="O334" s="14"/>
      <c r="P334" s="14"/>
      <c r="Q334" s="14"/>
      <c r="R334" s="60"/>
    </row>
    <row r="335" ht="28.5" customHeight="1">
      <c r="A335" s="14"/>
      <c r="B335" s="14"/>
      <c r="C335" s="14"/>
      <c r="D335" s="14"/>
      <c r="E335" s="14"/>
      <c r="F335" s="14"/>
      <c r="G335" s="14"/>
      <c r="H335" s="14"/>
      <c r="I335" s="14"/>
      <c r="J335" s="14"/>
      <c r="K335" s="14"/>
      <c r="L335" s="14"/>
      <c r="M335" s="14"/>
      <c r="N335" s="14"/>
      <c r="O335" s="14"/>
      <c r="P335" s="14"/>
      <c r="Q335" s="14"/>
      <c r="R335" s="60"/>
    </row>
    <row r="336" ht="28.5" customHeight="1">
      <c r="A336" s="14"/>
      <c r="B336" s="14"/>
      <c r="C336" s="14"/>
      <c r="D336" s="14"/>
      <c r="E336" s="14"/>
      <c r="F336" s="14"/>
      <c r="G336" s="14"/>
      <c r="H336" s="14"/>
      <c r="I336" s="14"/>
      <c r="J336" s="14"/>
      <c r="K336" s="14"/>
      <c r="L336" s="14"/>
      <c r="M336" s="14"/>
      <c r="N336" s="14"/>
      <c r="O336" s="14"/>
      <c r="P336" s="14"/>
      <c r="Q336" s="14"/>
      <c r="R336" s="60"/>
    </row>
    <row r="337" ht="28.5" customHeight="1">
      <c r="A337" s="14"/>
      <c r="B337" s="14"/>
      <c r="C337" s="14"/>
      <c r="D337" s="14"/>
      <c r="E337" s="14"/>
      <c r="F337" s="14"/>
      <c r="G337" s="14"/>
      <c r="H337" s="14"/>
      <c r="I337" s="14"/>
      <c r="J337" s="14"/>
      <c r="K337" s="14"/>
      <c r="L337" s="14"/>
      <c r="M337" s="14"/>
      <c r="N337" s="14"/>
      <c r="O337" s="14"/>
      <c r="P337" s="14"/>
      <c r="Q337" s="14"/>
      <c r="R337" s="60"/>
    </row>
    <row r="338" ht="28.5" customHeight="1">
      <c r="A338" s="14"/>
      <c r="B338" s="14"/>
      <c r="C338" s="14"/>
      <c r="D338" s="14"/>
      <c r="E338" s="14"/>
      <c r="F338" s="14"/>
      <c r="G338" s="14"/>
      <c r="H338" s="14"/>
      <c r="I338" s="14"/>
      <c r="J338" s="14"/>
      <c r="K338" s="14"/>
      <c r="L338" s="14"/>
      <c r="M338" s="14"/>
      <c r="N338" s="14"/>
      <c r="O338" s="14"/>
      <c r="P338" s="14"/>
      <c r="Q338" s="14"/>
      <c r="R338" s="60"/>
    </row>
    <row r="339" ht="28.5" customHeight="1">
      <c r="A339" s="14"/>
      <c r="B339" s="14"/>
      <c r="C339" s="14"/>
      <c r="D339" s="14"/>
      <c r="E339" s="14"/>
      <c r="F339" s="14"/>
      <c r="G339" s="14"/>
      <c r="H339" s="14"/>
      <c r="I339" s="14"/>
      <c r="J339" s="14"/>
      <c r="K339" s="14"/>
      <c r="L339" s="14"/>
      <c r="M339" s="14"/>
      <c r="N339" s="14"/>
      <c r="O339" s="14"/>
      <c r="P339" s="14"/>
      <c r="Q339" s="14"/>
      <c r="R339" s="60"/>
    </row>
    <row r="340" ht="28.5" customHeight="1">
      <c r="A340" s="14"/>
      <c r="B340" s="14"/>
      <c r="C340" s="14"/>
      <c r="D340" s="14"/>
      <c r="E340" s="14"/>
      <c r="F340" s="14"/>
      <c r="G340" s="14"/>
      <c r="H340" s="14"/>
      <c r="I340" s="14"/>
      <c r="J340" s="14"/>
      <c r="K340" s="14"/>
      <c r="L340" s="14"/>
      <c r="M340" s="14"/>
      <c r="N340" s="14"/>
      <c r="O340" s="14"/>
      <c r="P340" s="14"/>
      <c r="Q340" s="14"/>
      <c r="R340" s="60"/>
    </row>
    <row r="341" ht="28.5" customHeight="1">
      <c r="A341" s="14"/>
      <c r="B341" s="14"/>
      <c r="C341" s="14"/>
      <c r="D341" s="14"/>
      <c r="E341" s="14"/>
      <c r="F341" s="14"/>
      <c r="G341" s="14"/>
      <c r="H341" s="14"/>
      <c r="I341" s="14"/>
      <c r="J341" s="14"/>
      <c r="K341" s="14"/>
      <c r="L341" s="14"/>
      <c r="M341" s="14"/>
      <c r="N341" s="14"/>
      <c r="O341" s="14"/>
      <c r="P341" s="14"/>
      <c r="Q341" s="14"/>
      <c r="R341" s="60"/>
    </row>
    <row r="342" ht="28.5" customHeight="1">
      <c r="A342" s="14"/>
      <c r="B342" s="14"/>
      <c r="C342" s="14"/>
      <c r="D342" s="14"/>
      <c r="E342" s="14"/>
      <c r="F342" s="14"/>
      <c r="G342" s="14"/>
      <c r="H342" s="14"/>
      <c r="I342" s="14"/>
      <c r="J342" s="14"/>
      <c r="K342" s="14"/>
      <c r="L342" s="14"/>
      <c r="M342" s="14"/>
      <c r="N342" s="14"/>
      <c r="O342" s="14"/>
      <c r="P342" s="14"/>
      <c r="Q342" s="14"/>
      <c r="R342" s="60"/>
    </row>
    <row r="343" ht="28.5" customHeight="1">
      <c r="A343" s="14"/>
      <c r="B343" s="14"/>
      <c r="C343" s="14"/>
      <c r="D343" s="14"/>
      <c r="E343" s="14"/>
      <c r="F343" s="14"/>
      <c r="G343" s="14"/>
      <c r="H343" s="14"/>
      <c r="I343" s="14"/>
      <c r="J343" s="14"/>
      <c r="K343" s="14"/>
      <c r="L343" s="14"/>
      <c r="M343" s="14"/>
      <c r="N343" s="14"/>
      <c r="O343" s="14"/>
      <c r="P343" s="14"/>
      <c r="Q343" s="14"/>
      <c r="R343" s="60"/>
    </row>
    <row r="344" ht="28.5" customHeight="1">
      <c r="A344" s="14"/>
      <c r="B344" s="14"/>
      <c r="C344" s="14"/>
      <c r="D344" s="14"/>
      <c r="E344" s="14"/>
      <c r="F344" s="14"/>
      <c r="G344" s="14"/>
      <c r="H344" s="14"/>
      <c r="I344" s="14"/>
      <c r="J344" s="14"/>
      <c r="K344" s="14"/>
      <c r="L344" s="14"/>
      <c r="M344" s="14"/>
      <c r="N344" s="14"/>
      <c r="O344" s="14"/>
      <c r="P344" s="14"/>
      <c r="Q344" s="14"/>
      <c r="R344" s="60"/>
    </row>
    <row r="345" ht="28.5" customHeight="1">
      <c r="A345" s="14"/>
      <c r="B345" s="14"/>
      <c r="C345" s="14"/>
      <c r="D345" s="14"/>
      <c r="E345" s="14"/>
      <c r="F345" s="14"/>
      <c r="G345" s="14"/>
      <c r="H345" s="14"/>
      <c r="I345" s="14"/>
      <c r="J345" s="14"/>
      <c r="K345" s="14"/>
      <c r="L345" s="14"/>
      <c r="M345" s="14"/>
      <c r="N345" s="14"/>
      <c r="O345" s="14"/>
      <c r="P345" s="14"/>
      <c r="Q345" s="14"/>
      <c r="R345" s="60"/>
    </row>
    <row r="346" ht="28.5" customHeight="1">
      <c r="A346" s="14"/>
      <c r="B346" s="14"/>
      <c r="C346" s="14"/>
      <c r="D346" s="14"/>
      <c r="E346" s="14"/>
      <c r="F346" s="14"/>
      <c r="G346" s="14"/>
      <c r="H346" s="14"/>
      <c r="I346" s="14"/>
      <c r="J346" s="14"/>
      <c r="K346" s="14"/>
      <c r="L346" s="14"/>
      <c r="M346" s="14"/>
      <c r="N346" s="14"/>
      <c r="O346" s="14"/>
      <c r="P346" s="14"/>
      <c r="Q346" s="14"/>
      <c r="R346" s="60"/>
    </row>
    <row r="347" ht="28.5" customHeight="1">
      <c r="A347" s="14"/>
      <c r="B347" s="14"/>
      <c r="C347" s="14"/>
      <c r="D347" s="14"/>
      <c r="E347" s="14"/>
      <c r="F347" s="14"/>
      <c r="G347" s="14"/>
      <c r="H347" s="14"/>
      <c r="I347" s="14"/>
      <c r="J347" s="14"/>
      <c r="K347" s="14"/>
      <c r="L347" s="14"/>
      <c r="M347" s="14"/>
      <c r="N347" s="14"/>
      <c r="O347" s="14"/>
      <c r="P347" s="14"/>
      <c r="Q347" s="14"/>
      <c r="R347" s="60"/>
    </row>
    <row r="348" ht="28.5" customHeight="1">
      <c r="A348" s="14"/>
      <c r="B348" s="14"/>
      <c r="C348" s="14"/>
      <c r="D348" s="14"/>
      <c r="E348" s="14"/>
      <c r="F348" s="14"/>
      <c r="G348" s="14"/>
      <c r="H348" s="14"/>
      <c r="I348" s="14"/>
      <c r="J348" s="14"/>
      <c r="K348" s="14"/>
      <c r="L348" s="14"/>
      <c r="M348" s="14"/>
      <c r="N348" s="14"/>
      <c r="O348" s="14"/>
      <c r="P348" s="14"/>
      <c r="Q348" s="14"/>
      <c r="R348" s="60"/>
    </row>
    <row r="349" ht="28.5" customHeight="1">
      <c r="A349" s="14"/>
      <c r="B349" s="14"/>
      <c r="C349" s="14"/>
      <c r="D349" s="14"/>
      <c r="E349" s="14"/>
      <c r="F349" s="14"/>
      <c r="G349" s="14"/>
      <c r="H349" s="14"/>
      <c r="I349" s="14"/>
      <c r="J349" s="14"/>
      <c r="K349" s="14"/>
      <c r="L349" s="14"/>
      <c r="M349" s="14"/>
      <c r="N349" s="14"/>
      <c r="O349" s="14"/>
      <c r="P349" s="14"/>
      <c r="Q349" s="14"/>
      <c r="R349" s="60"/>
    </row>
    <row r="350" ht="28.5" customHeight="1">
      <c r="A350" s="14"/>
      <c r="B350" s="14"/>
      <c r="C350" s="14"/>
      <c r="D350" s="14"/>
      <c r="E350" s="14"/>
      <c r="F350" s="14"/>
      <c r="G350" s="14"/>
      <c r="H350" s="14"/>
      <c r="I350" s="14"/>
      <c r="J350" s="14"/>
      <c r="K350" s="14"/>
      <c r="L350" s="14"/>
      <c r="M350" s="14"/>
      <c r="N350" s="14"/>
      <c r="O350" s="14"/>
      <c r="P350" s="14"/>
      <c r="Q350" s="14"/>
      <c r="R350" s="60"/>
    </row>
    <row r="351" ht="28.5" customHeight="1">
      <c r="A351" s="14"/>
      <c r="B351" s="14"/>
      <c r="C351" s="14"/>
      <c r="D351" s="14"/>
      <c r="E351" s="14"/>
      <c r="F351" s="14"/>
      <c r="G351" s="14"/>
      <c r="H351" s="14"/>
      <c r="I351" s="14"/>
      <c r="J351" s="14"/>
      <c r="K351" s="14"/>
      <c r="L351" s="14"/>
      <c r="M351" s="14"/>
      <c r="N351" s="14"/>
      <c r="O351" s="14"/>
      <c r="P351" s="14"/>
      <c r="Q351" s="14"/>
      <c r="R351" s="60"/>
    </row>
    <row r="352" ht="28.5" customHeight="1">
      <c r="A352" s="14"/>
      <c r="B352" s="14"/>
      <c r="C352" s="14"/>
      <c r="D352" s="14"/>
      <c r="E352" s="14"/>
      <c r="F352" s="14"/>
      <c r="G352" s="14"/>
      <c r="H352" s="14"/>
      <c r="I352" s="14"/>
      <c r="J352" s="14"/>
      <c r="K352" s="14"/>
      <c r="L352" s="14"/>
      <c r="M352" s="14"/>
      <c r="N352" s="14"/>
      <c r="O352" s="14"/>
      <c r="P352" s="14"/>
      <c r="Q352" s="14"/>
      <c r="R352" s="60"/>
    </row>
    <row r="353" ht="28.5" customHeight="1">
      <c r="A353" s="14"/>
      <c r="B353" s="14"/>
      <c r="C353" s="14"/>
      <c r="D353" s="14"/>
      <c r="E353" s="14"/>
      <c r="F353" s="14"/>
      <c r="G353" s="14"/>
      <c r="H353" s="14"/>
      <c r="I353" s="14"/>
      <c r="J353" s="14"/>
      <c r="K353" s="14"/>
      <c r="L353" s="14"/>
      <c r="M353" s="14"/>
      <c r="N353" s="14"/>
      <c r="O353" s="14"/>
      <c r="P353" s="14"/>
      <c r="Q353" s="14"/>
      <c r="R353" s="60"/>
    </row>
    <row r="354" ht="28.5" customHeight="1">
      <c r="A354" s="14"/>
      <c r="B354" s="14"/>
      <c r="C354" s="14"/>
      <c r="D354" s="14"/>
      <c r="E354" s="14"/>
      <c r="F354" s="14"/>
      <c r="G354" s="14"/>
      <c r="H354" s="14"/>
      <c r="I354" s="14"/>
      <c r="J354" s="14"/>
      <c r="K354" s="14"/>
      <c r="L354" s="14"/>
      <c r="M354" s="14"/>
      <c r="N354" s="14"/>
      <c r="O354" s="14"/>
      <c r="P354" s="14"/>
      <c r="Q354" s="14"/>
      <c r="R354" s="60"/>
    </row>
    <row r="355" ht="28.5" customHeight="1">
      <c r="A355" s="14"/>
      <c r="B355" s="14"/>
      <c r="C355" s="14"/>
      <c r="D355" s="14"/>
      <c r="E355" s="14"/>
      <c r="F355" s="14"/>
      <c r="G355" s="14"/>
      <c r="H355" s="14"/>
      <c r="I355" s="14"/>
      <c r="J355" s="14"/>
      <c r="K355" s="14"/>
      <c r="L355" s="14"/>
      <c r="M355" s="14"/>
      <c r="N355" s="14"/>
      <c r="O355" s="14"/>
      <c r="P355" s="14"/>
      <c r="Q355" s="14"/>
      <c r="R355" s="60"/>
    </row>
    <row r="356" ht="28.5" customHeight="1">
      <c r="A356" s="14"/>
      <c r="B356" s="14"/>
      <c r="C356" s="14"/>
      <c r="D356" s="14"/>
      <c r="E356" s="14"/>
      <c r="F356" s="14"/>
      <c r="G356" s="14"/>
      <c r="H356" s="14"/>
      <c r="I356" s="14"/>
      <c r="J356" s="14"/>
      <c r="K356" s="14"/>
      <c r="L356" s="14"/>
      <c r="M356" s="14"/>
      <c r="N356" s="14"/>
      <c r="O356" s="14"/>
      <c r="P356" s="14"/>
      <c r="Q356" s="14"/>
      <c r="R356" s="60"/>
    </row>
    <row r="357" ht="28.5" customHeight="1">
      <c r="A357" s="14"/>
      <c r="B357" s="14"/>
      <c r="C357" s="14"/>
      <c r="D357" s="14"/>
      <c r="E357" s="14"/>
      <c r="F357" s="14"/>
      <c r="G357" s="14"/>
      <c r="H357" s="14"/>
      <c r="I357" s="14"/>
      <c r="J357" s="14"/>
      <c r="K357" s="14"/>
      <c r="L357" s="14"/>
      <c r="M357" s="14"/>
      <c r="N357" s="14"/>
      <c r="O357" s="14"/>
      <c r="P357" s="14"/>
      <c r="Q357" s="14"/>
      <c r="R357" s="60"/>
    </row>
    <row r="358" ht="28.5" customHeight="1">
      <c r="A358" s="14"/>
      <c r="B358" s="14"/>
      <c r="C358" s="14"/>
      <c r="D358" s="14"/>
      <c r="E358" s="14"/>
      <c r="F358" s="14"/>
      <c r="G358" s="14"/>
      <c r="H358" s="14"/>
      <c r="I358" s="14"/>
      <c r="J358" s="14"/>
      <c r="K358" s="14"/>
      <c r="L358" s="14"/>
      <c r="M358" s="14"/>
      <c r="N358" s="14"/>
      <c r="O358" s="14"/>
      <c r="P358" s="14"/>
      <c r="Q358" s="14"/>
      <c r="R358" s="60"/>
    </row>
    <row r="359" ht="28.5" customHeight="1">
      <c r="A359" s="14"/>
      <c r="B359" s="14"/>
      <c r="C359" s="14"/>
      <c r="D359" s="14"/>
      <c r="E359" s="14"/>
      <c r="F359" s="14"/>
      <c r="G359" s="14"/>
      <c r="H359" s="14"/>
      <c r="I359" s="14"/>
      <c r="J359" s="14"/>
      <c r="K359" s="14"/>
      <c r="L359" s="14"/>
      <c r="M359" s="14"/>
      <c r="N359" s="14"/>
      <c r="O359" s="14"/>
      <c r="P359" s="14"/>
      <c r="Q359" s="14"/>
      <c r="R359" s="60"/>
    </row>
    <row r="360" ht="28.5" customHeight="1">
      <c r="A360" s="14"/>
      <c r="B360" s="14"/>
      <c r="C360" s="14"/>
      <c r="D360" s="14"/>
      <c r="E360" s="14"/>
      <c r="F360" s="14"/>
      <c r="G360" s="14"/>
      <c r="H360" s="14"/>
      <c r="I360" s="14"/>
      <c r="J360" s="14"/>
      <c r="K360" s="14"/>
      <c r="L360" s="14"/>
      <c r="M360" s="14"/>
      <c r="N360" s="14"/>
      <c r="O360" s="14"/>
      <c r="P360" s="14"/>
      <c r="Q360" s="14"/>
      <c r="R360" s="60"/>
    </row>
    <row r="361" ht="28.5" customHeight="1">
      <c r="A361" s="14"/>
      <c r="B361" s="14"/>
      <c r="C361" s="14"/>
      <c r="D361" s="14"/>
      <c r="E361" s="14"/>
      <c r="F361" s="14"/>
      <c r="G361" s="14"/>
      <c r="H361" s="14"/>
      <c r="I361" s="14"/>
      <c r="J361" s="14"/>
      <c r="K361" s="14"/>
      <c r="L361" s="14"/>
      <c r="M361" s="14"/>
      <c r="N361" s="14"/>
      <c r="O361" s="14"/>
      <c r="P361" s="14"/>
      <c r="Q361" s="14"/>
      <c r="R361" s="60"/>
    </row>
    <row r="362" ht="28.5" customHeight="1">
      <c r="A362" s="14"/>
      <c r="B362" s="14"/>
      <c r="C362" s="14"/>
      <c r="D362" s="14"/>
      <c r="E362" s="14"/>
      <c r="F362" s="14"/>
      <c r="G362" s="14"/>
      <c r="H362" s="14"/>
      <c r="I362" s="14"/>
      <c r="J362" s="14"/>
      <c r="K362" s="14"/>
      <c r="L362" s="14"/>
      <c r="M362" s="14"/>
      <c r="N362" s="14"/>
      <c r="O362" s="14"/>
      <c r="P362" s="14"/>
      <c r="Q362" s="14"/>
      <c r="R362" s="60"/>
    </row>
    <row r="363" ht="28.5" customHeight="1">
      <c r="A363" s="14"/>
      <c r="B363" s="14"/>
      <c r="C363" s="14"/>
      <c r="D363" s="14"/>
      <c r="E363" s="14"/>
      <c r="F363" s="14"/>
      <c r="G363" s="14"/>
      <c r="H363" s="14"/>
      <c r="I363" s="14"/>
      <c r="J363" s="14"/>
      <c r="K363" s="14"/>
      <c r="L363" s="14"/>
      <c r="M363" s="14"/>
      <c r="N363" s="14"/>
      <c r="O363" s="14"/>
      <c r="P363" s="14"/>
      <c r="Q363" s="14"/>
      <c r="R363" s="60"/>
    </row>
    <row r="364" ht="28.5" customHeight="1">
      <c r="A364" s="14"/>
      <c r="B364" s="14"/>
      <c r="C364" s="14"/>
      <c r="D364" s="14"/>
      <c r="E364" s="14"/>
      <c r="F364" s="14"/>
      <c r="G364" s="14"/>
      <c r="H364" s="14"/>
      <c r="I364" s="14"/>
      <c r="J364" s="14"/>
      <c r="K364" s="14"/>
      <c r="L364" s="14"/>
      <c r="M364" s="14"/>
      <c r="N364" s="14"/>
      <c r="O364" s="14"/>
      <c r="P364" s="14"/>
      <c r="Q364" s="14"/>
      <c r="R364" s="60"/>
    </row>
    <row r="365" ht="28.5" customHeight="1">
      <c r="A365" s="14"/>
      <c r="B365" s="14"/>
      <c r="C365" s="14"/>
      <c r="D365" s="14"/>
      <c r="E365" s="14"/>
      <c r="F365" s="14"/>
      <c r="G365" s="14"/>
      <c r="H365" s="14"/>
      <c r="I365" s="14"/>
      <c r="J365" s="14"/>
      <c r="K365" s="14"/>
      <c r="L365" s="14"/>
      <c r="M365" s="14"/>
      <c r="N365" s="14"/>
      <c r="O365" s="14"/>
      <c r="P365" s="14"/>
      <c r="Q365" s="14"/>
      <c r="R365" s="60"/>
    </row>
    <row r="366" ht="28.5" customHeight="1">
      <c r="A366" s="14"/>
      <c r="B366" s="14"/>
      <c r="C366" s="14"/>
      <c r="D366" s="14"/>
      <c r="E366" s="14"/>
      <c r="F366" s="14"/>
      <c r="G366" s="14"/>
      <c r="H366" s="14"/>
      <c r="I366" s="14"/>
      <c r="J366" s="14"/>
      <c r="K366" s="14"/>
      <c r="L366" s="14"/>
      <c r="M366" s="14"/>
      <c r="N366" s="14"/>
      <c r="O366" s="14"/>
      <c r="P366" s="14"/>
      <c r="Q366" s="14"/>
      <c r="R366" s="60"/>
    </row>
    <row r="367" ht="28.5" customHeight="1">
      <c r="A367" s="14"/>
      <c r="B367" s="14"/>
      <c r="C367" s="14"/>
      <c r="D367" s="14"/>
      <c r="E367" s="14"/>
      <c r="F367" s="14"/>
      <c r="G367" s="14"/>
      <c r="H367" s="14"/>
      <c r="I367" s="14"/>
      <c r="J367" s="14"/>
      <c r="K367" s="14"/>
      <c r="L367" s="14"/>
      <c r="M367" s="14"/>
      <c r="N367" s="14"/>
      <c r="O367" s="14"/>
      <c r="P367" s="14"/>
      <c r="Q367" s="14"/>
      <c r="R367" s="60"/>
    </row>
    <row r="368" ht="28.5" customHeight="1">
      <c r="A368" s="14"/>
      <c r="B368" s="14"/>
      <c r="C368" s="14"/>
      <c r="D368" s="14"/>
      <c r="E368" s="14"/>
      <c r="F368" s="14"/>
      <c r="G368" s="14"/>
      <c r="H368" s="14"/>
      <c r="I368" s="14"/>
      <c r="J368" s="14"/>
      <c r="K368" s="14"/>
      <c r="L368" s="14"/>
      <c r="M368" s="14"/>
      <c r="N368" s="14"/>
      <c r="O368" s="14"/>
      <c r="P368" s="14"/>
      <c r="Q368" s="14"/>
      <c r="R368" s="60"/>
    </row>
    <row r="369" ht="28.5" customHeight="1">
      <c r="A369" s="14"/>
      <c r="B369" s="14"/>
      <c r="C369" s="14"/>
      <c r="D369" s="14"/>
      <c r="E369" s="14"/>
      <c r="F369" s="14"/>
      <c r="G369" s="14"/>
      <c r="H369" s="14"/>
      <c r="I369" s="14"/>
      <c r="J369" s="14"/>
      <c r="K369" s="14"/>
      <c r="L369" s="14"/>
      <c r="M369" s="14"/>
      <c r="N369" s="14"/>
      <c r="O369" s="14"/>
      <c r="P369" s="14"/>
      <c r="Q369" s="14"/>
      <c r="R369" s="60"/>
    </row>
    <row r="370" ht="28.5" customHeight="1">
      <c r="A370" s="14"/>
      <c r="B370" s="14"/>
      <c r="C370" s="14"/>
      <c r="D370" s="14"/>
      <c r="E370" s="14"/>
      <c r="F370" s="14"/>
      <c r="G370" s="14"/>
      <c r="H370" s="14"/>
      <c r="I370" s="14"/>
      <c r="J370" s="14"/>
      <c r="K370" s="14"/>
      <c r="L370" s="14"/>
      <c r="M370" s="14"/>
      <c r="N370" s="14"/>
      <c r="O370" s="14"/>
      <c r="P370" s="14"/>
      <c r="Q370" s="14"/>
      <c r="R370" s="60"/>
    </row>
    <row r="371" ht="28.5" customHeight="1">
      <c r="A371" s="14"/>
      <c r="B371" s="14"/>
      <c r="C371" s="14"/>
      <c r="D371" s="14"/>
      <c r="E371" s="14"/>
      <c r="F371" s="14"/>
      <c r="G371" s="14"/>
      <c r="H371" s="14"/>
      <c r="I371" s="14"/>
      <c r="J371" s="14"/>
      <c r="K371" s="14"/>
      <c r="L371" s="14"/>
      <c r="M371" s="14"/>
      <c r="N371" s="14"/>
      <c r="O371" s="14"/>
      <c r="P371" s="14"/>
      <c r="Q371" s="14"/>
      <c r="R371" s="60"/>
    </row>
    <row r="372" ht="28.5" customHeight="1">
      <c r="A372" s="14"/>
      <c r="B372" s="14"/>
      <c r="C372" s="14"/>
      <c r="D372" s="14"/>
      <c r="E372" s="14"/>
      <c r="F372" s="14"/>
      <c r="G372" s="14"/>
      <c r="H372" s="14"/>
      <c r="I372" s="14"/>
      <c r="J372" s="14"/>
      <c r="K372" s="14"/>
      <c r="L372" s="14"/>
      <c r="M372" s="14"/>
      <c r="N372" s="14"/>
      <c r="O372" s="14"/>
      <c r="P372" s="14"/>
      <c r="Q372" s="14"/>
      <c r="R372" s="60"/>
    </row>
    <row r="373" ht="28.5" customHeight="1">
      <c r="A373" s="14"/>
      <c r="B373" s="14"/>
      <c r="C373" s="14"/>
      <c r="D373" s="14"/>
      <c r="E373" s="14"/>
      <c r="F373" s="14"/>
      <c r="G373" s="14"/>
      <c r="H373" s="14"/>
      <c r="I373" s="14"/>
      <c r="J373" s="14"/>
      <c r="K373" s="14"/>
      <c r="L373" s="14"/>
      <c r="M373" s="14"/>
      <c r="N373" s="14"/>
      <c r="O373" s="14"/>
      <c r="P373" s="14"/>
      <c r="Q373" s="14"/>
      <c r="R373" s="60"/>
    </row>
    <row r="374" ht="28.5" customHeight="1">
      <c r="A374" s="14"/>
      <c r="B374" s="14"/>
      <c r="C374" s="14"/>
      <c r="D374" s="14"/>
      <c r="E374" s="14"/>
      <c r="F374" s="14"/>
      <c r="G374" s="14"/>
      <c r="H374" s="14"/>
      <c r="I374" s="14"/>
      <c r="J374" s="14"/>
      <c r="K374" s="14"/>
      <c r="L374" s="14"/>
      <c r="M374" s="14"/>
      <c r="N374" s="14"/>
      <c r="O374" s="14"/>
      <c r="P374" s="14"/>
      <c r="Q374" s="14"/>
      <c r="R374" s="60"/>
    </row>
    <row r="375" ht="28.5" customHeight="1">
      <c r="A375" s="14"/>
      <c r="B375" s="14"/>
      <c r="C375" s="14"/>
      <c r="D375" s="14"/>
      <c r="E375" s="14"/>
      <c r="F375" s="14"/>
      <c r="G375" s="14"/>
      <c r="H375" s="14"/>
      <c r="I375" s="14"/>
      <c r="J375" s="14"/>
      <c r="K375" s="14"/>
      <c r="L375" s="14"/>
      <c r="M375" s="14"/>
      <c r="N375" s="14"/>
      <c r="O375" s="14"/>
      <c r="P375" s="14"/>
      <c r="Q375" s="14"/>
      <c r="R375" s="60"/>
    </row>
    <row r="376" ht="28.5" customHeight="1">
      <c r="A376" s="14"/>
      <c r="B376" s="14"/>
      <c r="C376" s="14"/>
      <c r="D376" s="14"/>
      <c r="E376" s="14"/>
      <c r="F376" s="14"/>
      <c r="G376" s="14"/>
      <c r="H376" s="14"/>
      <c r="I376" s="14"/>
      <c r="J376" s="14"/>
      <c r="K376" s="14"/>
      <c r="L376" s="14"/>
      <c r="M376" s="14"/>
      <c r="N376" s="14"/>
      <c r="O376" s="14"/>
      <c r="P376" s="14"/>
      <c r="Q376" s="14"/>
      <c r="R376" s="60"/>
    </row>
    <row r="377" ht="28.5" customHeight="1">
      <c r="A377" s="14"/>
      <c r="B377" s="14"/>
      <c r="C377" s="14"/>
      <c r="D377" s="14"/>
      <c r="E377" s="14"/>
      <c r="F377" s="14"/>
      <c r="G377" s="14"/>
      <c r="H377" s="14"/>
      <c r="I377" s="14"/>
      <c r="J377" s="14"/>
      <c r="K377" s="14"/>
      <c r="L377" s="14"/>
      <c r="M377" s="14"/>
      <c r="N377" s="14"/>
      <c r="O377" s="14"/>
      <c r="P377" s="14"/>
      <c r="Q377" s="14"/>
      <c r="R377" s="60"/>
    </row>
    <row r="378" ht="28.5" customHeight="1">
      <c r="A378" s="14"/>
      <c r="B378" s="14"/>
      <c r="C378" s="14"/>
      <c r="D378" s="14"/>
      <c r="E378" s="14"/>
      <c r="F378" s="14"/>
      <c r="G378" s="14"/>
      <c r="H378" s="14"/>
      <c r="I378" s="14"/>
      <c r="J378" s="14"/>
      <c r="K378" s="14"/>
      <c r="L378" s="14"/>
      <c r="M378" s="14"/>
      <c r="N378" s="14"/>
      <c r="O378" s="14"/>
      <c r="P378" s="14"/>
      <c r="Q378" s="14"/>
      <c r="R378" s="60"/>
    </row>
    <row r="379" ht="28.5" customHeight="1">
      <c r="A379" s="14"/>
      <c r="B379" s="14"/>
      <c r="C379" s="14"/>
      <c r="D379" s="14"/>
      <c r="E379" s="14"/>
      <c r="F379" s="14"/>
      <c r="G379" s="14"/>
      <c r="H379" s="14"/>
      <c r="I379" s="14"/>
      <c r="J379" s="14"/>
      <c r="K379" s="14"/>
      <c r="L379" s="14"/>
      <c r="M379" s="14"/>
      <c r="N379" s="14"/>
      <c r="O379" s="14"/>
      <c r="P379" s="14"/>
      <c r="Q379" s="14"/>
      <c r="R379" s="60"/>
    </row>
    <row r="380" ht="28.5" customHeight="1">
      <c r="A380" s="14"/>
      <c r="B380" s="14"/>
      <c r="C380" s="14"/>
      <c r="D380" s="14"/>
      <c r="E380" s="14"/>
      <c r="F380" s="14"/>
      <c r="G380" s="14"/>
      <c r="H380" s="14"/>
      <c r="I380" s="14"/>
      <c r="J380" s="14"/>
      <c r="K380" s="14"/>
      <c r="L380" s="14"/>
      <c r="M380" s="14"/>
      <c r="N380" s="14"/>
      <c r="O380" s="14"/>
      <c r="P380" s="14"/>
      <c r="Q380" s="14"/>
      <c r="R380" s="60"/>
    </row>
    <row r="381" ht="28.5" customHeight="1">
      <c r="A381" s="14"/>
      <c r="B381" s="14"/>
      <c r="C381" s="14"/>
      <c r="D381" s="14"/>
      <c r="E381" s="14"/>
      <c r="F381" s="14"/>
      <c r="G381" s="14"/>
      <c r="H381" s="14"/>
      <c r="I381" s="14"/>
      <c r="J381" s="14"/>
      <c r="K381" s="14"/>
      <c r="L381" s="14"/>
      <c r="M381" s="14"/>
      <c r="N381" s="14"/>
      <c r="O381" s="14"/>
      <c r="P381" s="14"/>
      <c r="Q381" s="14"/>
      <c r="R381" s="60"/>
    </row>
    <row r="382" ht="28.5" customHeight="1">
      <c r="A382" s="14"/>
      <c r="B382" s="14"/>
      <c r="C382" s="14"/>
      <c r="D382" s="14"/>
      <c r="E382" s="14"/>
      <c r="F382" s="14"/>
      <c r="G382" s="14"/>
      <c r="H382" s="14"/>
      <c r="I382" s="14"/>
      <c r="J382" s="14"/>
      <c r="K382" s="14"/>
      <c r="L382" s="14"/>
      <c r="M382" s="14"/>
      <c r="N382" s="14"/>
      <c r="O382" s="14"/>
      <c r="P382" s="14"/>
      <c r="Q382" s="14"/>
      <c r="R382" s="60"/>
    </row>
    <row r="383" ht="28.5" customHeight="1">
      <c r="A383" s="14"/>
      <c r="B383" s="14"/>
      <c r="C383" s="14"/>
      <c r="D383" s="14"/>
      <c r="E383" s="14"/>
      <c r="F383" s="14"/>
      <c r="G383" s="14"/>
      <c r="H383" s="14"/>
      <c r="I383" s="14"/>
      <c r="J383" s="14"/>
      <c r="K383" s="14"/>
      <c r="L383" s="14"/>
      <c r="M383" s="14"/>
      <c r="N383" s="14"/>
      <c r="O383" s="14"/>
      <c r="P383" s="14"/>
      <c r="Q383" s="14"/>
      <c r="R383" s="60"/>
    </row>
    <row r="384" ht="28.5" customHeight="1">
      <c r="A384" s="14"/>
      <c r="B384" s="14"/>
      <c r="C384" s="14"/>
      <c r="D384" s="14"/>
      <c r="E384" s="14"/>
      <c r="F384" s="14"/>
      <c r="G384" s="14"/>
      <c r="H384" s="14"/>
      <c r="I384" s="14"/>
      <c r="J384" s="14"/>
      <c r="K384" s="14"/>
      <c r="L384" s="14"/>
      <c r="M384" s="14"/>
      <c r="N384" s="14"/>
      <c r="O384" s="14"/>
      <c r="P384" s="14"/>
      <c r="Q384" s="14"/>
      <c r="R384" s="60"/>
    </row>
    <row r="385" ht="28.5" customHeight="1">
      <c r="A385" s="14"/>
      <c r="B385" s="14"/>
      <c r="C385" s="14"/>
      <c r="D385" s="14"/>
      <c r="E385" s="14"/>
      <c r="F385" s="14"/>
      <c r="G385" s="14"/>
      <c r="H385" s="14"/>
      <c r="I385" s="14"/>
      <c r="J385" s="14"/>
      <c r="K385" s="14"/>
      <c r="L385" s="14"/>
      <c r="M385" s="14"/>
      <c r="N385" s="14"/>
      <c r="O385" s="14"/>
      <c r="P385" s="14"/>
      <c r="Q385" s="14"/>
      <c r="R385" s="60"/>
    </row>
    <row r="386" ht="28.5" customHeight="1">
      <c r="A386" s="14"/>
      <c r="B386" s="14"/>
      <c r="C386" s="14"/>
      <c r="D386" s="14"/>
      <c r="E386" s="14"/>
      <c r="F386" s="14"/>
      <c r="G386" s="14"/>
      <c r="H386" s="14"/>
      <c r="I386" s="14"/>
      <c r="J386" s="14"/>
      <c r="K386" s="14"/>
      <c r="L386" s="14"/>
      <c r="M386" s="14"/>
      <c r="N386" s="14"/>
      <c r="O386" s="14"/>
      <c r="P386" s="14"/>
      <c r="Q386" s="14"/>
      <c r="R386" s="60"/>
    </row>
    <row r="387" ht="28.5" customHeight="1">
      <c r="A387" s="14"/>
      <c r="B387" s="14"/>
      <c r="C387" s="14"/>
      <c r="D387" s="14"/>
      <c r="E387" s="14"/>
      <c r="F387" s="14"/>
      <c r="G387" s="14"/>
      <c r="H387" s="14"/>
      <c r="I387" s="14"/>
      <c r="J387" s="14"/>
      <c r="K387" s="14"/>
      <c r="L387" s="14"/>
      <c r="M387" s="14"/>
      <c r="N387" s="14"/>
      <c r="O387" s="14"/>
      <c r="P387" s="14"/>
      <c r="Q387" s="14"/>
      <c r="R387" s="60"/>
    </row>
    <row r="388" ht="28.5" customHeight="1">
      <c r="A388" s="14"/>
      <c r="B388" s="14"/>
      <c r="C388" s="14"/>
      <c r="D388" s="14"/>
      <c r="E388" s="14"/>
      <c r="F388" s="14"/>
      <c r="G388" s="14"/>
      <c r="H388" s="14"/>
      <c r="I388" s="14"/>
      <c r="J388" s="14"/>
      <c r="K388" s="14"/>
      <c r="L388" s="14"/>
      <c r="M388" s="14"/>
      <c r="N388" s="14"/>
      <c r="O388" s="14"/>
      <c r="P388" s="14"/>
      <c r="Q388" s="14"/>
      <c r="R388" s="60"/>
    </row>
    <row r="389" ht="28.5" customHeight="1">
      <c r="A389" s="14"/>
      <c r="B389" s="14"/>
      <c r="C389" s="14"/>
      <c r="D389" s="14"/>
      <c r="E389" s="14"/>
      <c r="F389" s="14"/>
      <c r="G389" s="14"/>
      <c r="H389" s="14"/>
      <c r="I389" s="14"/>
      <c r="J389" s="14"/>
      <c r="K389" s="14"/>
      <c r="L389" s="14"/>
      <c r="M389" s="14"/>
      <c r="N389" s="14"/>
      <c r="O389" s="14"/>
      <c r="P389" s="14"/>
      <c r="Q389" s="14"/>
      <c r="R389" s="60"/>
    </row>
    <row r="390" ht="28.5" customHeight="1">
      <c r="A390" s="14"/>
      <c r="B390" s="14"/>
      <c r="C390" s="14"/>
      <c r="D390" s="14"/>
      <c r="E390" s="14"/>
      <c r="F390" s="14"/>
      <c r="G390" s="14"/>
      <c r="H390" s="14"/>
      <c r="I390" s="14"/>
      <c r="J390" s="14"/>
      <c r="K390" s="14"/>
      <c r="L390" s="14"/>
      <c r="M390" s="14"/>
      <c r="N390" s="14"/>
      <c r="O390" s="14"/>
      <c r="P390" s="14"/>
      <c r="Q390" s="14"/>
      <c r="R390" s="60"/>
    </row>
    <row r="391" ht="28.5" customHeight="1">
      <c r="A391" s="14"/>
      <c r="B391" s="14"/>
      <c r="C391" s="14"/>
      <c r="D391" s="14"/>
      <c r="E391" s="14"/>
      <c r="F391" s="14"/>
      <c r="G391" s="14"/>
      <c r="H391" s="14"/>
      <c r="I391" s="14"/>
      <c r="J391" s="14"/>
      <c r="K391" s="14"/>
      <c r="L391" s="14"/>
      <c r="M391" s="14"/>
      <c r="N391" s="14"/>
      <c r="O391" s="14"/>
      <c r="P391" s="14"/>
      <c r="Q391" s="14"/>
      <c r="R391" s="60"/>
    </row>
    <row r="392" ht="28.5" customHeight="1">
      <c r="A392" s="14"/>
      <c r="B392" s="14"/>
      <c r="C392" s="14"/>
      <c r="D392" s="14"/>
      <c r="E392" s="14"/>
      <c r="F392" s="14"/>
      <c r="G392" s="14"/>
      <c r="H392" s="14"/>
      <c r="I392" s="14"/>
      <c r="J392" s="14"/>
      <c r="K392" s="14"/>
      <c r="L392" s="14"/>
      <c r="M392" s="14"/>
      <c r="N392" s="14"/>
      <c r="O392" s="14"/>
      <c r="P392" s="14"/>
      <c r="Q392" s="14"/>
      <c r="R392" s="60"/>
    </row>
    <row r="393" ht="28.5" customHeight="1">
      <c r="A393" s="14"/>
      <c r="B393" s="14"/>
      <c r="C393" s="14"/>
      <c r="D393" s="14"/>
      <c r="E393" s="14"/>
      <c r="F393" s="14"/>
      <c r="G393" s="14"/>
      <c r="H393" s="14"/>
      <c r="I393" s="14"/>
      <c r="J393" s="14"/>
      <c r="K393" s="14"/>
      <c r="L393" s="14"/>
      <c r="M393" s="14"/>
      <c r="N393" s="14"/>
      <c r="O393" s="14"/>
      <c r="P393" s="14"/>
      <c r="Q393" s="14"/>
      <c r="R393" s="60"/>
    </row>
    <row r="394" ht="28.5" customHeight="1">
      <c r="A394" s="14"/>
      <c r="B394" s="14"/>
      <c r="C394" s="14"/>
      <c r="D394" s="14"/>
      <c r="E394" s="14"/>
      <c r="F394" s="14"/>
      <c r="G394" s="14"/>
      <c r="H394" s="14"/>
      <c r="I394" s="14"/>
      <c r="J394" s="14"/>
      <c r="K394" s="14"/>
      <c r="L394" s="14"/>
      <c r="M394" s="14"/>
      <c r="N394" s="14"/>
      <c r="O394" s="14"/>
      <c r="P394" s="14"/>
      <c r="Q394" s="14"/>
      <c r="R394" s="60"/>
    </row>
    <row r="395" ht="28.5" customHeight="1">
      <c r="A395" s="14"/>
      <c r="B395" s="14"/>
      <c r="C395" s="14"/>
      <c r="D395" s="14"/>
      <c r="E395" s="14"/>
      <c r="F395" s="14"/>
      <c r="G395" s="14"/>
      <c r="H395" s="14"/>
      <c r="I395" s="14"/>
      <c r="J395" s="14"/>
      <c r="K395" s="14"/>
      <c r="L395" s="14"/>
      <c r="M395" s="14"/>
      <c r="N395" s="14"/>
      <c r="O395" s="14"/>
      <c r="P395" s="14"/>
      <c r="Q395" s="14"/>
      <c r="R395" s="60"/>
    </row>
    <row r="396" ht="28.5" customHeight="1">
      <c r="A396" s="14"/>
      <c r="B396" s="14"/>
      <c r="C396" s="14"/>
      <c r="D396" s="14"/>
      <c r="E396" s="14"/>
      <c r="F396" s="14"/>
      <c r="G396" s="14"/>
      <c r="H396" s="14"/>
      <c r="I396" s="14"/>
      <c r="J396" s="14"/>
      <c r="K396" s="14"/>
      <c r="L396" s="14"/>
      <c r="M396" s="14"/>
      <c r="N396" s="14"/>
      <c r="O396" s="14"/>
      <c r="P396" s="14"/>
      <c r="Q396" s="14"/>
      <c r="R396" s="60"/>
    </row>
    <row r="397" ht="28.5" customHeight="1">
      <c r="A397" s="14"/>
      <c r="B397" s="14"/>
      <c r="C397" s="14"/>
      <c r="D397" s="14"/>
      <c r="E397" s="14"/>
      <c r="F397" s="14"/>
      <c r="G397" s="14"/>
      <c r="H397" s="14"/>
      <c r="I397" s="14"/>
      <c r="J397" s="14"/>
      <c r="K397" s="14"/>
      <c r="L397" s="14"/>
      <c r="M397" s="14"/>
      <c r="N397" s="14"/>
      <c r="O397" s="14"/>
      <c r="P397" s="14"/>
      <c r="Q397" s="14"/>
      <c r="R397" s="60"/>
    </row>
    <row r="398" ht="28.5" customHeight="1">
      <c r="A398" s="14"/>
      <c r="B398" s="14"/>
      <c r="C398" s="14"/>
      <c r="D398" s="14"/>
      <c r="E398" s="14"/>
      <c r="F398" s="14"/>
      <c r="G398" s="14"/>
      <c r="H398" s="14"/>
      <c r="I398" s="14"/>
      <c r="J398" s="14"/>
      <c r="K398" s="14"/>
      <c r="L398" s="14"/>
      <c r="M398" s="14"/>
      <c r="N398" s="14"/>
      <c r="O398" s="14"/>
      <c r="P398" s="14"/>
      <c r="Q398" s="14"/>
      <c r="R398" s="60"/>
    </row>
    <row r="399" ht="28.5" customHeight="1">
      <c r="A399" s="14"/>
      <c r="B399" s="14"/>
      <c r="C399" s="14"/>
      <c r="D399" s="14"/>
      <c r="E399" s="14"/>
      <c r="F399" s="14"/>
      <c r="G399" s="14"/>
      <c r="H399" s="14"/>
      <c r="I399" s="14"/>
      <c r="J399" s="14"/>
      <c r="K399" s="14"/>
      <c r="L399" s="14"/>
      <c r="M399" s="14"/>
      <c r="N399" s="14"/>
      <c r="O399" s="14"/>
      <c r="P399" s="14"/>
      <c r="Q399" s="14"/>
      <c r="R399" s="60"/>
    </row>
    <row r="400" ht="28.5" customHeight="1">
      <c r="A400" s="14"/>
      <c r="B400" s="14"/>
      <c r="C400" s="14"/>
      <c r="D400" s="14"/>
      <c r="E400" s="14"/>
      <c r="F400" s="14"/>
      <c r="G400" s="14"/>
      <c r="H400" s="14"/>
      <c r="I400" s="14"/>
      <c r="J400" s="14"/>
      <c r="K400" s="14"/>
      <c r="L400" s="14"/>
      <c r="M400" s="14"/>
      <c r="N400" s="14"/>
      <c r="O400" s="14"/>
      <c r="P400" s="14"/>
      <c r="Q400" s="14"/>
      <c r="R400" s="60"/>
    </row>
    <row r="401" ht="28.5" customHeight="1">
      <c r="A401" s="14"/>
      <c r="B401" s="14"/>
      <c r="C401" s="14"/>
      <c r="D401" s="14"/>
      <c r="E401" s="14"/>
      <c r="F401" s="14"/>
      <c r="G401" s="14"/>
      <c r="H401" s="14"/>
      <c r="I401" s="14"/>
      <c r="J401" s="14"/>
      <c r="K401" s="14"/>
      <c r="L401" s="14"/>
      <c r="M401" s="14"/>
      <c r="N401" s="14"/>
      <c r="O401" s="14"/>
      <c r="P401" s="14"/>
      <c r="Q401" s="14"/>
      <c r="R401" s="60"/>
    </row>
    <row r="402" ht="28.5" customHeight="1">
      <c r="A402" s="14"/>
      <c r="B402" s="14"/>
      <c r="C402" s="14"/>
      <c r="D402" s="14"/>
      <c r="E402" s="14"/>
      <c r="F402" s="14"/>
      <c r="G402" s="14"/>
      <c r="H402" s="14"/>
      <c r="I402" s="14"/>
      <c r="J402" s="14"/>
      <c r="K402" s="14"/>
      <c r="L402" s="14"/>
      <c r="M402" s="14"/>
      <c r="N402" s="14"/>
      <c r="O402" s="14"/>
      <c r="P402" s="14"/>
      <c r="Q402" s="14"/>
      <c r="R402" s="60"/>
    </row>
    <row r="403" ht="28.5" customHeight="1">
      <c r="A403" s="14"/>
      <c r="B403" s="14"/>
      <c r="C403" s="14"/>
      <c r="D403" s="14"/>
      <c r="E403" s="14"/>
      <c r="F403" s="14"/>
      <c r="G403" s="14"/>
      <c r="H403" s="14"/>
      <c r="I403" s="14"/>
      <c r="J403" s="14"/>
      <c r="K403" s="14"/>
      <c r="L403" s="14"/>
      <c r="M403" s="14"/>
      <c r="N403" s="14"/>
      <c r="O403" s="14"/>
      <c r="P403" s="14"/>
      <c r="Q403" s="14"/>
      <c r="R403" s="60"/>
    </row>
    <row r="404" ht="28.5" customHeight="1">
      <c r="A404" s="14"/>
      <c r="B404" s="14"/>
      <c r="C404" s="14"/>
      <c r="D404" s="14"/>
      <c r="E404" s="14"/>
      <c r="F404" s="14"/>
      <c r="G404" s="14"/>
      <c r="H404" s="14"/>
      <c r="I404" s="14"/>
      <c r="J404" s="14"/>
      <c r="K404" s="14"/>
      <c r="L404" s="14"/>
      <c r="M404" s="14"/>
      <c r="N404" s="14"/>
      <c r="O404" s="14"/>
      <c r="P404" s="14"/>
      <c r="Q404" s="14"/>
      <c r="R404" s="60"/>
    </row>
    <row r="405" ht="28.5" customHeight="1">
      <c r="A405" s="14"/>
      <c r="B405" s="14"/>
      <c r="C405" s="14"/>
      <c r="D405" s="14"/>
      <c r="E405" s="14"/>
      <c r="F405" s="14"/>
      <c r="G405" s="14"/>
      <c r="H405" s="14"/>
      <c r="I405" s="14"/>
      <c r="J405" s="14"/>
      <c r="K405" s="14"/>
      <c r="L405" s="14"/>
      <c r="M405" s="14"/>
      <c r="N405" s="14"/>
      <c r="O405" s="14"/>
      <c r="P405" s="14"/>
      <c r="Q405" s="14"/>
      <c r="R405" s="60"/>
    </row>
    <row r="406" ht="28.5" customHeight="1">
      <c r="A406" s="14"/>
      <c r="B406" s="14"/>
      <c r="C406" s="14"/>
      <c r="D406" s="14"/>
      <c r="E406" s="14"/>
      <c r="F406" s="14"/>
      <c r="G406" s="14"/>
      <c r="H406" s="14"/>
      <c r="I406" s="14"/>
      <c r="J406" s="14"/>
      <c r="K406" s="14"/>
      <c r="L406" s="14"/>
      <c r="M406" s="14"/>
      <c r="N406" s="14"/>
      <c r="O406" s="14"/>
      <c r="P406" s="14"/>
      <c r="Q406" s="14"/>
      <c r="R406" s="60"/>
    </row>
    <row r="407" ht="28.5" customHeight="1">
      <c r="A407" s="14"/>
      <c r="B407" s="14"/>
      <c r="C407" s="14"/>
      <c r="D407" s="14"/>
      <c r="E407" s="14"/>
      <c r="F407" s="14"/>
      <c r="G407" s="14"/>
      <c r="H407" s="14"/>
      <c r="I407" s="14"/>
      <c r="J407" s="14"/>
      <c r="K407" s="14"/>
      <c r="L407" s="14"/>
      <c r="M407" s="14"/>
      <c r="N407" s="14"/>
      <c r="O407" s="14"/>
      <c r="P407" s="14"/>
      <c r="Q407" s="14"/>
      <c r="R407" s="60"/>
    </row>
    <row r="408" ht="28.5" customHeight="1">
      <c r="A408" s="14"/>
      <c r="B408" s="14"/>
      <c r="C408" s="14"/>
      <c r="D408" s="14"/>
      <c r="E408" s="14"/>
      <c r="F408" s="14"/>
      <c r="G408" s="14"/>
      <c r="H408" s="14"/>
      <c r="I408" s="14"/>
      <c r="J408" s="14"/>
      <c r="K408" s="14"/>
      <c r="L408" s="14"/>
      <c r="M408" s="14"/>
      <c r="N408" s="14"/>
      <c r="O408" s="14"/>
      <c r="P408" s="14"/>
      <c r="Q408" s="14"/>
      <c r="R408" s="60"/>
    </row>
    <row r="409" ht="28.5" customHeight="1">
      <c r="A409" s="14"/>
      <c r="B409" s="14"/>
      <c r="C409" s="14"/>
      <c r="D409" s="14"/>
      <c r="E409" s="14"/>
      <c r="F409" s="14"/>
      <c r="G409" s="14"/>
      <c r="H409" s="14"/>
      <c r="I409" s="14"/>
      <c r="J409" s="14"/>
      <c r="K409" s="14"/>
      <c r="L409" s="14"/>
      <c r="M409" s="14"/>
      <c r="N409" s="14"/>
      <c r="O409" s="14"/>
      <c r="P409" s="14"/>
      <c r="Q409" s="14"/>
      <c r="R409" s="60"/>
    </row>
    <row r="410" ht="28.5" customHeight="1">
      <c r="A410" s="14"/>
      <c r="B410" s="14"/>
      <c r="C410" s="14"/>
      <c r="D410" s="14"/>
      <c r="E410" s="14"/>
      <c r="F410" s="14"/>
      <c r="G410" s="14"/>
      <c r="H410" s="14"/>
      <c r="I410" s="14"/>
      <c r="J410" s="14"/>
      <c r="K410" s="14"/>
      <c r="L410" s="14"/>
      <c r="M410" s="14"/>
      <c r="N410" s="14"/>
      <c r="O410" s="14"/>
      <c r="P410" s="14"/>
      <c r="Q410" s="14"/>
      <c r="R410" s="60"/>
    </row>
    <row r="411" ht="28.5" customHeight="1">
      <c r="A411" s="14"/>
      <c r="B411" s="14"/>
      <c r="C411" s="14"/>
      <c r="D411" s="14"/>
      <c r="E411" s="14"/>
      <c r="F411" s="14"/>
      <c r="G411" s="14"/>
      <c r="H411" s="14"/>
      <c r="I411" s="14"/>
      <c r="J411" s="14"/>
      <c r="K411" s="14"/>
      <c r="L411" s="14"/>
      <c r="M411" s="14"/>
      <c r="N411" s="14"/>
      <c r="O411" s="14"/>
      <c r="P411" s="14"/>
      <c r="Q411" s="14"/>
      <c r="R411" s="60"/>
    </row>
    <row r="412" ht="28.5" customHeight="1">
      <c r="A412" s="14"/>
      <c r="B412" s="14"/>
      <c r="C412" s="14"/>
      <c r="D412" s="14"/>
      <c r="E412" s="14"/>
      <c r="F412" s="14"/>
      <c r="G412" s="14"/>
      <c r="H412" s="14"/>
      <c r="I412" s="14"/>
      <c r="J412" s="14"/>
      <c r="K412" s="14"/>
      <c r="L412" s="14"/>
      <c r="M412" s="14"/>
      <c r="N412" s="14"/>
      <c r="O412" s="14"/>
      <c r="P412" s="14"/>
      <c r="Q412" s="14"/>
      <c r="R412" s="60"/>
    </row>
    <row r="413" ht="28.5" customHeight="1">
      <c r="A413" s="14"/>
      <c r="B413" s="14"/>
      <c r="C413" s="14"/>
      <c r="D413" s="14"/>
      <c r="E413" s="14"/>
      <c r="F413" s="14"/>
      <c r="G413" s="14"/>
      <c r="H413" s="14"/>
      <c r="I413" s="14"/>
      <c r="J413" s="14"/>
      <c r="K413" s="14"/>
      <c r="L413" s="14"/>
      <c r="M413" s="14"/>
      <c r="N413" s="14"/>
      <c r="O413" s="14"/>
      <c r="P413" s="14"/>
      <c r="Q413" s="14"/>
      <c r="R413" s="60"/>
    </row>
    <row r="414" ht="28.5" customHeight="1">
      <c r="A414" s="14"/>
      <c r="B414" s="14"/>
      <c r="C414" s="14"/>
      <c r="D414" s="14"/>
      <c r="E414" s="14"/>
      <c r="F414" s="14"/>
      <c r="G414" s="14"/>
      <c r="H414" s="14"/>
      <c r="I414" s="14"/>
      <c r="J414" s="14"/>
      <c r="K414" s="14"/>
      <c r="L414" s="14"/>
      <c r="M414" s="14"/>
      <c r="N414" s="14"/>
      <c r="O414" s="14"/>
      <c r="P414" s="14"/>
      <c r="Q414" s="14"/>
      <c r="R414" s="60"/>
    </row>
    <row r="415" ht="28.5" customHeight="1">
      <c r="A415" s="14"/>
      <c r="B415" s="14"/>
      <c r="C415" s="14"/>
      <c r="D415" s="14"/>
      <c r="E415" s="14"/>
      <c r="F415" s="14"/>
      <c r="G415" s="14"/>
      <c r="H415" s="14"/>
      <c r="I415" s="14"/>
      <c r="J415" s="14"/>
      <c r="K415" s="14"/>
      <c r="L415" s="14"/>
      <c r="M415" s="14"/>
      <c r="N415" s="14"/>
      <c r="O415" s="14"/>
      <c r="P415" s="14"/>
      <c r="Q415" s="14"/>
      <c r="R415" s="60"/>
    </row>
    <row r="416" ht="28.5" customHeight="1">
      <c r="A416" s="14"/>
      <c r="B416" s="14"/>
      <c r="C416" s="14"/>
      <c r="D416" s="14"/>
      <c r="E416" s="14"/>
      <c r="F416" s="14"/>
      <c r="G416" s="14"/>
      <c r="H416" s="14"/>
      <c r="I416" s="14"/>
      <c r="J416" s="14"/>
      <c r="K416" s="14"/>
      <c r="L416" s="14"/>
      <c r="M416" s="14"/>
      <c r="N416" s="14"/>
      <c r="O416" s="14"/>
      <c r="P416" s="14"/>
      <c r="Q416" s="14"/>
      <c r="R416" s="60"/>
    </row>
    <row r="417" ht="28.5" customHeight="1">
      <c r="A417" s="14"/>
      <c r="B417" s="14"/>
      <c r="C417" s="14"/>
      <c r="D417" s="14"/>
      <c r="E417" s="14"/>
      <c r="F417" s="14"/>
      <c r="G417" s="14"/>
      <c r="H417" s="14"/>
      <c r="I417" s="14"/>
      <c r="J417" s="14"/>
      <c r="K417" s="14"/>
      <c r="L417" s="14"/>
      <c r="M417" s="14"/>
      <c r="N417" s="14"/>
      <c r="O417" s="14"/>
      <c r="P417" s="14"/>
      <c r="Q417" s="14"/>
      <c r="R417" s="60"/>
    </row>
    <row r="418" ht="28.5" customHeight="1">
      <c r="A418" s="14"/>
      <c r="B418" s="14"/>
      <c r="C418" s="14"/>
      <c r="D418" s="14"/>
      <c r="E418" s="14"/>
      <c r="F418" s="14"/>
      <c r="G418" s="14"/>
      <c r="H418" s="14"/>
      <c r="I418" s="14"/>
      <c r="J418" s="14"/>
      <c r="K418" s="14"/>
      <c r="L418" s="14"/>
      <c r="M418" s="14"/>
      <c r="N418" s="14"/>
      <c r="O418" s="14"/>
      <c r="P418" s="14"/>
      <c r="Q418" s="14"/>
      <c r="R418" s="60"/>
    </row>
    <row r="419" ht="28.5" customHeight="1">
      <c r="A419" s="14"/>
      <c r="B419" s="14"/>
      <c r="C419" s="14"/>
      <c r="D419" s="14"/>
      <c r="E419" s="14"/>
      <c r="F419" s="14"/>
      <c r="G419" s="14"/>
      <c r="H419" s="14"/>
      <c r="I419" s="14"/>
      <c r="J419" s="14"/>
      <c r="K419" s="14"/>
      <c r="L419" s="14"/>
      <c r="M419" s="14"/>
      <c r="N419" s="14"/>
      <c r="O419" s="14"/>
      <c r="P419" s="14"/>
      <c r="Q419" s="14"/>
      <c r="R419" s="60"/>
    </row>
    <row r="420" ht="28.5" customHeight="1">
      <c r="A420" s="14"/>
      <c r="B420" s="14"/>
      <c r="C420" s="14"/>
      <c r="D420" s="14"/>
      <c r="E420" s="14"/>
      <c r="F420" s="14"/>
      <c r="G420" s="14"/>
      <c r="H420" s="14"/>
      <c r="I420" s="14"/>
      <c r="J420" s="14"/>
      <c r="K420" s="14"/>
      <c r="L420" s="14"/>
      <c r="M420" s="14"/>
      <c r="N420" s="14"/>
      <c r="O420" s="14"/>
      <c r="P420" s="14"/>
      <c r="Q420" s="14"/>
      <c r="R420" s="60"/>
    </row>
    <row r="421" ht="28.5" customHeight="1">
      <c r="A421" s="14"/>
      <c r="B421" s="14"/>
      <c r="C421" s="14"/>
      <c r="D421" s="14"/>
      <c r="E421" s="14"/>
      <c r="F421" s="14"/>
      <c r="G421" s="14"/>
      <c r="H421" s="14"/>
      <c r="I421" s="14"/>
      <c r="J421" s="14"/>
      <c r="K421" s="14"/>
      <c r="L421" s="14"/>
      <c r="M421" s="14"/>
      <c r="N421" s="14"/>
      <c r="O421" s="14"/>
      <c r="P421" s="14"/>
      <c r="Q421" s="14"/>
      <c r="R421" s="60"/>
    </row>
    <row r="422" ht="28.5" customHeight="1">
      <c r="A422" s="14"/>
      <c r="B422" s="14"/>
      <c r="C422" s="14"/>
      <c r="D422" s="14"/>
      <c r="E422" s="14"/>
      <c r="F422" s="14"/>
      <c r="G422" s="14"/>
      <c r="H422" s="14"/>
      <c r="I422" s="14"/>
      <c r="J422" s="14"/>
      <c r="K422" s="14"/>
      <c r="L422" s="14"/>
      <c r="M422" s="14"/>
      <c r="N422" s="14"/>
      <c r="O422" s="14"/>
      <c r="P422" s="14"/>
      <c r="Q422" s="14"/>
      <c r="R422" s="60"/>
    </row>
    <row r="423" ht="28.5" customHeight="1">
      <c r="A423" s="14"/>
      <c r="B423" s="14"/>
      <c r="C423" s="14"/>
      <c r="D423" s="14"/>
      <c r="E423" s="14"/>
      <c r="F423" s="14"/>
      <c r="G423" s="14"/>
      <c r="H423" s="14"/>
      <c r="I423" s="14"/>
      <c r="J423" s="14"/>
      <c r="K423" s="14"/>
      <c r="L423" s="14"/>
      <c r="M423" s="14"/>
      <c r="N423" s="14"/>
      <c r="O423" s="14"/>
      <c r="P423" s="14"/>
      <c r="Q423" s="14"/>
      <c r="R423" s="60"/>
    </row>
    <row r="424" ht="28.5" customHeight="1">
      <c r="A424" s="14"/>
      <c r="B424" s="14"/>
      <c r="C424" s="14"/>
      <c r="D424" s="14"/>
      <c r="E424" s="14"/>
      <c r="F424" s="14"/>
      <c r="G424" s="14"/>
      <c r="H424" s="14"/>
      <c r="I424" s="14"/>
      <c r="J424" s="14"/>
      <c r="K424" s="14"/>
      <c r="L424" s="14"/>
      <c r="M424" s="14"/>
      <c r="N424" s="14"/>
      <c r="O424" s="14"/>
      <c r="P424" s="14"/>
      <c r="Q424" s="14"/>
      <c r="R424" s="60"/>
    </row>
    <row r="425" ht="28.5" customHeight="1">
      <c r="A425" s="14"/>
      <c r="B425" s="14"/>
      <c r="C425" s="14"/>
      <c r="D425" s="14"/>
      <c r="E425" s="14"/>
      <c r="F425" s="14"/>
      <c r="G425" s="14"/>
      <c r="H425" s="14"/>
      <c r="I425" s="14"/>
      <c r="J425" s="14"/>
      <c r="K425" s="14"/>
      <c r="L425" s="14"/>
      <c r="M425" s="14"/>
      <c r="N425" s="14"/>
      <c r="O425" s="14"/>
      <c r="P425" s="14"/>
      <c r="Q425" s="14"/>
      <c r="R425" s="60"/>
    </row>
    <row r="426" ht="28.5" customHeight="1">
      <c r="A426" s="14"/>
      <c r="B426" s="14"/>
      <c r="C426" s="14"/>
      <c r="D426" s="14"/>
      <c r="E426" s="14"/>
      <c r="F426" s="14"/>
      <c r="G426" s="14"/>
      <c r="H426" s="14"/>
      <c r="I426" s="14"/>
      <c r="J426" s="14"/>
      <c r="K426" s="14"/>
      <c r="L426" s="14"/>
      <c r="M426" s="14"/>
      <c r="N426" s="14"/>
      <c r="O426" s="14"/>
      <c r="P426" s="14"/>
      <c r="Q426" s="14"/>
      <c r="R426" s="60"/>
    </row>
    <row r="427" ht="28.5" customHeight="1">
      <c r="A427" s="14"/>
      <c r="B427" s="14"/>
      <c r="C427" s="14"/>
      <c r="D427" s="14"/>
      <c r="E427" s="14"/>
      <c r="F427" s="14"/>
      <c r="G427" s="14"/>
      <c r="H427" s="14"/>
      <c r="I427" s="14"/>
      <c r="J427" s="14"/>
      <c r="K427" s="14"/>
      <c r="L427" s="14"/>
      <c r="M427" s="14"/>
      <c r="N427" s="14"/>
      <c r="O427" s="14"/>
      <c r="P427" s="14"/>
      <c r="Q427" s="14"/>
      <c r="R427" s="60"/>
    </row>
    <row r="428" ht="28.5" customHeight="1">
      <c r="A428" s="14"/>
      <c r="B428" s="14"/>
      <c r="C428" s="14"/>
      <c r="D428" s="14"/>
      <c r="E428" s="14"/>
      <c r="F428" s="14"/>
      <c r="G428" s="14"/>
      <c r="H428" s="14"/>
      <c r="I428" s="14"/>
      <c r="J428" s="14"/>
      <c r="K428" s="14"/>
      <c r="L428" s="14"/>
      <c r="M428" s="14"/>
      <c r="N428" s="14"/>
      <c r="O428" s="14"/>
      <c r="P428" s="14"/>
      <c r="Q428" s="14"/>
      <c r="R428" s="60"/>
    </row>
    <row r="429" ht="28.5" customHeight="1">
      <c r="A429" s="14"/>
      <c r="B429" s="14"/>
      <c r="C429" s="14"/>
      <c r="D429" s="14"/>
      <c r="E429" s="14"/>
      <c r="F429" s="14"/>
      <c r="G429" s="14"/>
      <c r="H429" s="14"/>
      <c r="I429" s="14"/>
      <c r="J429" s="14"/>
      <c r="K429" s="14"/>
      <c r="L429" s="14"/>
      <c r="M429" s="14"/>
      <c r="N429" s="14"/>
      <c r="O429" s="14"/>
      <c r="P429" s="14"/>
      <c r="Q429" s="14"/>
      <c r="R429" s="60"/>
    </row>
    <row r="430" ht="28.5" customHeight="1">
      <c r="A430" s="14"/>
      <c r="B430" s="14"/>
      <c r="C430" s="14"/>
      <c r="D430" s="14"/>
      <c r="E430" s="14"/>
      <c r="F430" s="14"/>
      <c r="G430" s="14"/>
      <c r="H430" s="14"/>
      <c r="I430" s="14"/>
      <c r="J430" s="14"/>
      <c r="K430" s="14"/>
      <c r="L430" s="14"/>
      <c r="M430" s="14"/>
      <c r="N430" s="14"/>
      <c r="O430" s="14"/>
      <c r="P430" s="14"/>
      <c r="Q430" s="14"/>
      <c r="R430" s="60"/>
    </row>
    <row r="431" ht="28.5" customHeight="1">
      <c r="A431" s="14"/>
      <c r="B431" s="14"/>
      <c r="C431" s="14"/>
      <c r="D431" s="14"/>
      <c r="E431" s="14"/>
      <c r="F431" s="14"/>
      <c r="G431" s="14"/>
      <c r="H431" s="14"/>
      <c r="I431" s="14"/>
      <c r="J431" s="14"/>
      <c r="K431" s="14"/>
      <c r="L431" s="14"/>
      <c r="M431" s="14"/>
      <c r="N431" s="14"/>
      <c r="O431" s="14"/>
      <c r="P431" s="14"/>
      <c r="Q431" s="14"/>
      <c r="R431" s="60"/>
    </row>
    <row r="432" ht="28.5" customHeight="1">
      <c r="A432" s="14"/>
      <c r="B432" s="14"/>
      <c r="C432" s="14"/>
      <c r="D432" s="14"/>
      <c r="E432" s="14"/>
      <c r="F432" s="14"/>
      <c r="G432" s="14"/>
      <c r="H432" s="14"/>
      <c r="I432" s="14"/>
      <c r="J432" s="14"/>
      <c r="K432" s="14"/>
      <c r="L432" s="14"/>
      <c r="M432" s="14"/>
      <c r="N432" s="14"/>
      <c r="O432" s="14"/>
      <c r="P432" s="14"/>
      <c r="Q432" s="14"/>
      <c r="R432" s="60"/>
    </row>
    <row r="433" ht="28.5" customHeight="1">
      <c r="A433" s="14"/>
      <c r="B433" s="14"/>
      <c r="C433" s="14"/>
      <c r="D433" s="14"/>
      <c r="E433" s="14"/>
      <c r="F433" s="14"/>
      <c r="G433" s="14"/>
      <c r="H433" s="14"/>
      <c r="I433" s="14"/>
      <c r="J433" s="14"/>
      <c r="K433" s="14"/>
      <c r="L433" s="14"/>
      <c r="M433" s="14"/>
      <c r="N433" s="14"/>
      <c r="O433" s="14"/>
      <c r="P433" s="14"/>
      <c r="Q433" s="14"/>
      <c r="R433" s="60"/>
    </row>
    <row r="434" ht="28.5" customHeight="1">
      <c r="A434" s="14"/>
      <c r="B434" s="14"/>
      <c r="C434" s="14"/>
      <c r="D434" s="14"/>
      <c r="E434" s="14"/>
      <c r="F434" s="14"/>
      <c r="G434" s="14"/>
      <c r="H434" s="14"/>
      <c r="I434" s="14"/>
      <c r="J434" s="14"/>
      <c r="K434" s="14"/>
      <c r="L434" s="14"/>
      <c r="M434" s="14"/>
      <c r="N434" s="14"/>
      <c r="O434" s="14"/>
      <c r="P434" s="14"/>
      <c r="Q434" s="14"/>
      <c r="R434" s="60"/>
    </row>
    <row r="435" ht="28.5" customHeight="1">
      <c r="A435" s="14"/>
      <c r="B435" s="14"/>
      <c r="C435" s="14"/>
      <c r="D435" s="14"/>
      <c r="E435" s="14"/>
      <c r="F435" s="14"/>
      <c r="G435" s="14"/>
      <c r="H435" s="14"/>
      <c r="I435" s="14"/>
      <c r="J435" s="14"/>
      <c r="K435" s="14"/>
      <c r="L435" s="14"/>
      <c r="M435" s="14"/>
      <c r="N435" s="14"/>
      <c r="O435" s="14"/>
      <c r="P435" s="14"/>
      <c r="Q435" s="14"/>
      <c r="R435" s="60"/>
    </row>
    <row r="436" ht="28.5" customHeight="1">
      <c r="A436" s="14"/>
      <c r="B436" s="14"/>
      <c r="C436" s="14"/>
      <c r="D436" s="14"/>
      <c r="E436" s="14"/>
      <c r="F436" s="14"/>
      <c r="G436" s="14"/>
      <c r="H436" s="14"/>
      <c r="I436" s="14"/>
      <c r="J436" s="14"/>
      <c r="K436" s="14"/>
      <c r="L436" s="14"/>
      <c r="M436" s="14"/>
      <c r="N436" s="14"/>
      <c r="O436" s="14"/>
      <c r="P436" s="14"/>
      <c r="Q436" s="14"/>
      <c r="R436" s="60"/>
    </row>
    <row r="437" ht="28.5" customHeight="1">
      <c r="A437" s="14"/>
      <c r="B437" s="14"/>
      <c r="C437" s="14"/>
      <c r="D437" s="14"/>
      <c r="E437" s="14"/>
      <c r="F437" s="14"/>
      <c r="G437" s="14"/>
      <c r="H437" s="14"/>
      <c r="I437" s="14"/>
      <c r="J437" s="14"/>
      <c r="K437" s="14"/>
      <c r="L437" s="14"/>
      <c r="M437" s="14"/>
      <c r="N437" s="14"/>
      <c r="O437" s="14"/>
      <c r="P437" s="14"/>
      <c r="Q437" s="14"/>
      <c r="R437" s="60"/>
    </row>
    <row r="438" ht="28.5" customHeight="1">
      <c r="A438" s="14"/>
      <c r="B438" s="14"/>
      <c r="C438" s="14"/>
      <c r="D438" s="14"/>
      <c r="E438" s="14"/>
      <c r="F438" s="14"/>
      <c r="G438" s="14"/>
      <c r="H438" s="14"/>
      <c r="I438" s="14"/>
      <c r="J438" s="14"/>
      <c r="K438" s="14"/>
      <c r="L438" s="14"/>
      <c r="M438" s="14"/>
      <c r="N438" s="14"/>
      <c r="O438" s="14"/>
      <c r="P438" s="14"/>
      <c r="Q438" s="14"/>
      <c r="R438" s="60"/>
    </row>
    <row r="439" ht="28.5" customHeight="1">
      <c r="A439" s="14"/>
      <c r="B439" s="14"/>
      <c r="C439" s="14"/>
      <c r="D439" s="14"/>
      <c r="E439" s="14"/>
      <c r="F439" s="14"/>
      <c r="G439" s="14"/>
      <c r="H439" s="14"/>
      <c r="I439" s="14"/>
      <c r="J439" s="14"/>
      <c r="K439" s="14"/>
      <c r="L439" s="14"/>
      <c r="M439" s="14"/>
      <c r="N439" s="14"/>
      <c r="O439" s="14"/>
      <c r="P439" s="14"/>
      <c r="Q439" s="14"/>
      <c r="R439" s="60"/>
    </row>
    <row r="440" ht="28.5" customHeight="1">
      <c r="A440" s="14"/>
      <c r="B440" s="14"/>
      <c r="C440" s="14"/>
      <c r="D440" s="14"/>
      <c r="E440" s="14"/>
      <c r="F440" s="14"/>
      <c r="G440" s="14"/>
      <c r="H440" s="14"/>
      <c r="I440" s="14"/>
      <c r="J440" s="14"/>
      <c r="K440" s="14"/>
      <c r="L440" s="14"/>
      <c r="M440" s="14"/>
      <c r="N440" s="14"/>
      <c r="O440" s="14"/>
      <c r="P440" s="14"/>
      <c r="Q440" s="14"/>
      <c r="R440" s="60"/>
    </row>
    <row r="441" ht="28.5" customHeight="1">
      <c r="A441" s="14"/>
      <c r="B441" s="14"/>
      <c r="C441" s="14"/>
      <c r="D441" s="14"/>
      <c r="E441" s="14"/>
      <c r="F441" s="14"/>
      <c r="G441" s="14"/>
      <c r="H441" s="14"/>
      <c r="I441" s="14"/>
      <c r="J441" s="14"/>
      <c r="K441" s="14"/>
      <c r="L441" s="14"/>
      <c r="M441" s="14"/>
      <c r="N441" s="14"/>
      <c r="O441" s="14"/>
      <c r="P441" s="14"/>
      <c r="Q441" s="14"/>
      <c r="R441" s="60"/>
    </row>
    <row r="442" ht="28.5" customHeight="1">
      <c r="A442" s="14"/>
      <c r="B442" s="14"/>
      <c r="C442" s="14"/>
      <c r="D442" s="14"/>
      <c r="E442" s="14"/>
      <c r="F442" s="14"/>
      <c r="G442" s="14"/>
      <c r="H442" s="14"/>
      <c r="I442" s="14"/>
      <c r="J442" s="14"/>
      <c r="K442" s="14"/>
      <c r="L442" s="14"/>
      <c r="M442" s="14"/>
      <c r="N442" s="14"/>
      <c r="O442" s="14"/>
      <c r="P442" s="14"/>
      <c r="Q442" s="14"/>
      <c r="R442" s="60"/>
    </row>
    <row r="443" ht="28.5" customHeight="1">
      <c r="A443" s="14"/>
      <c r="B443" s="14"/>
      <c r="C443" s="14"/>
      <c r="D443" s="14"/>
      <c r="E443" s="14"/>
      <c r="F443" s="14"/>
      <c r="G443" s="14"/>
      <c r="H443" s="14"/>
      <c r="I443" s="14"/>
      <c r="J443" s="14"/>
      <c r="K443" s="14"/>
      <c r="L443" s="14"/>
      <c r="M443" s="14"/>
      <c r="N443" s="14"/>
      <c r="O443" s="14"/>
      <c r="P443" s="14"/>
      <c r="Q443" s="14"/>
      <c r="R443" s="60"/>
    </row>
    <row r="444" ht="28.5" customHeight="1">
      <c r="A444" s="14"/>
      <c r="B444" s="14"/>
      <c r="C444" s="14"/>
      <c r="D444" s="14"/>
      <c r="E444" s="14"/>
      <c r="F444" s="14"/>
      <c r="G444" s="14"/>
      <c r="H444" s="14"/>
      <c r="I444" s="14"/>
      <c r="J444" s="14"/>
      <c r="K444" s="14"/>
      <c r="L444" s="14"/>
      <c r="M444" s="14"/>
      <c r="N444" s="14"/>
      <c r="O444" s="14"/>
      <c r="P444" s="14"/>
      <c r="Q444" s="14"/>
      <c r="R444" s="60"/>
    </row>
    <row r="445" ht="28.5" customHeight="1">
      <c r="A445" s="14"/>
      <c r="B445" s="14"/>
      <c r="C445" s="14"/>
      <c r="D445" s="14"/>
      <c r="E445" s="14"/>
      <c r="F445" s="14"/>
      <c r="G445" s="14"/>
      <c r="H445" s="14"/>
      <c r="I445" s="14"/>
      <c r="J445" s="14"/>
      <c r="K445" s="14"/>
      <c r="L445" s="14"/>
      <c r="M445" s="14"/>
      <c r="N445" s="14"/>
      <c r="O445" s="14"/>
      <c r="P445" s="14"/>
      <c r="Q445" s="14"/>
      <c r="R445" s="60"/>
    </row>
    <row r="446" ht="28.5" customHeight="1">
      <c r="A446" s="14"/>
      <c r="B446" s="14"/>
      <c r="C446" s="14"/>
      <c r="D446" s="14"/>
      <c r="E446" s="14"/>
      <c r="F446" s="14"/>
      <c r="G446" s="14"/>
      <c r="H446" s="14"/>
      <c r="I446" s="14"/>
      <c r="J446" s="14"/>
      <c r="K446" s="14"/>
      <c r="L446" s="14"/>
      <c r="M446" s="14"/>
      <c r="N446" s="14"/>
      <c r="O446" s="14"/>
      <c r="P446" s="14"/>
      <c r="Q446" s="14"/>
      <c r="R446" s="60"/>
    </row>
    <row r="447" ht="28.5" customHeight="1">
      <c r="A447" s="14"/>
      <c r="B447" s="14"/>
      <c r="C447" s="14"/>
      <c r="D447" s="14"/>
      <c r="E447" s="14"/>
      <c r="F447" s="14"/>
      <c r="G447" s="14"/>
      <c r="H447" s="14"/>
      <c r="I447" s="14"/>
      <c r="J447" s="14"/>
      <c r="K447" s="14"/>
      <c r="L447" s="14"/>
      <c r="M447" s="14"/>
      <c r="N447" s="14"/>
      <c r="O447" s="14"/>
      <c r="P447" s="14"/>
      <c r="Q447" s="14"/>
      <c r="R447" s="60"/>
    </row>
    <row r="448" ht="28.5" customHeight="1">
      <c r="A448" s="14"/>
      <c r="B448" s="14"/>
      <c r="C448" s="14"/>
      <c r="D448" s="14"/>
      <c r="E448" s="14"/>
      <c r="F448" s="14"/>
      <c r="G448" s="14"/>
      <c r="H448" s="14"/>
      <c r="I448" s="14"/>
      <c r="J448" s="14"/>
      <c r="K448" s="14"/>
      <c r="L448" s="14"/>
      <c r="M448" s="14"/>
      <c r="N448" s="14"/>
      <c r="O448" s="14"/>
      <c r="P448" s="14"/>
      <c r="Q448" s="14"/>
      <c r="R448" s="60"/>
    </row>
    <row r="449" ht="28.5" customHeight="1">
      <c r="A449" s="14"/>
      <c r="B449" s="14"/>
      <c r="C449" s="14"/>
      <c r="D449" s="14"/>
      <c r="E449" s="14"/>
      <c r="F449" s="14"/>
      <c r="G449" s="14"/>
      <c r="H449" s="14"/>
      <c r="I449" s="14"/>
      <c r="J449" s="14"/>
      <c r="K449" s="14"/>
      <c r="L449" s="14"/>
      <c r="M449" s="14"/>
      <c r="N449" s="14"/>
      <c r="O449" s="14"/>
      <c r="P449" s="14"/>
      <c r="Q449" s="14"/>
      <c r="R449" s="60"/>
    </row>
    <row r="450" ht="28.5" customHeight="1">
      <c r="A450" s="14"/>
      <c r="B450" s="14"/>
      <c r="C450" s="14"/>
      <c r="D450" s="14"/>
      <c r="E450" s="14"/>
      <c r="F450" s="14"/>
      <c r="G450" s="14"/>
      <c r="H450" s="14"/>
      <c r="I450" s="14"/>
      <c r="J450" s="14"/>
      <c r="K450" s="14"/>
      <c r="L450" s="14"/>
      <c r="M450" s="14"/>
      <c r="N450" s="14"/>
      <c r="O450" s="14"/>
      <c r="P450" s="14"/>
      <c r="Q450" s="14"/>
      <c r="R450" s="60"/>
    </row>
    <row r="451" ht="28.5" customHeight="1">
      <c r="A451" s="14"/>
      <c r="B451" s="14"/>
      <c r="C451" s="14"/>
      <c r="D451" s="14"/>
      <c r="E451" s="14"/>
      <c r="F451" s="14"/>
      <c r="G451" s="14"/>
      <c r="H451" s="14"/>
      <c r="I451" s="14"/>
      <c r="J451" s="14"/>
      <c r="K451" s="14"/>
      <c r="L451" s="14"/>
      <c r="M451" s="14"/>
      <c r="N451" s="14"/>
      <c r="O451" s="14"/>
      <c r="P451" s="14"/>
      <c r="Q451" s="14"/>
      <c r="R451" s="60"/>
    </row>
    <row r="452" ht="28.5" customHeight="1">
      <c r="A452" s="14"/>
      <c r="B452" s="14"/>
      <c r="C452" s="14"/>
      <c r="D452" s="14"/>
      <c r="E452" s="14"/>
      <c r="F452" s="14"/>
      <c r="G452" s="14"/>
      <c r="H452" s="14"/>
      <c r="I452" s="14"/>
      <c r="J452" s="14"/>
      <c r="K452" s="14"/>
      <c r="L452" s="14"/>
      <c r="M452" s="14"/>
      <c r="N452" s="14"/>
      <c r="O452" s="14"/>
      <c r="P452" s="14"/>
      <c r="Q452" s="14"/>
      <c r="R452" s="60"/>
    </row>
    <row r="453" ht="28.5" customHeight="1">
      <c r="A453" s="14"/>
      <c r="B453" s="14"/>
      <c r="C453" s="14"/>
      <c r="D453" s="14"/>
      <c r="E453" s="14"/>
      <c r="F453" s="14"/>
      <c r="G453" s="14"/>
      <c r="H453" s="14"/>
      <c r="I453" s="14"/>
      <c r="J453" s="14"/>
      <c r="K453" s="14"/>
      <c r="L453" s="14"/>
      <c r="M453" s="14"/>
      <c r="N453" s="14"/>
      <c r="O453" s="14"/>
      <c r="P453" s="14"/>
      <c r="Q453" s="14"/>
      <c r="R453" s="60"/>
    </row>
    <row r="454" ht="28.5" customHeight="1">
      <c r="A454" s="14"/>
      <c r="B454" s="14"/>
      <c r="C454" s="14"/>
      <c r="D454" s="14"/>
      <c r="E454" s="14"/>
      <c r="F454" s="14"/>
      <c r="G454" s="14"/>
      <c r="H454" s="14"/>
      <c r="I454" s="14"/>
      <c r="J454" s="14"/>
      <c r="K454" s="14"/>
      <c r="L454" s="14"/>
      <c r="M454" s="14"/>
      <c r="N454" s="14"/>
      <c r="O454" s="14"/>
      <c r="P454" s="14"/>
      <c r="Q454" s="14"/>
      <c r="R454" s="60"/>
    </row>
    <row r="455" ht="28.5" customHeight="1">
      <c r="A455" s="14"/>
      <c r="B455" s="14"/>
      <c r="C455" s="14"/>
      <c r="D455" s="14"/>
      <c r="E455" s="14"/>
      <c r="F455" s="14"/>
      <c r="G455" s="14"/>
      <c r="H455" s="14"/>
      <c r="I455" s="14"/>
      <c r="J455" s="14"/>
      <c r="K455" s="14"/>
      <c r="L455" s="14"/>
      <c r="M455" s="14"/>
      <c r="N455" s="14"/>
      <c r="O455" s="14"/>
      <c r="P455" s="14"/>
      <c r="Q455" s="14"/>
      <c r="R455" s="60"/>
    </row>
    <row r="456" ht="28.5" customHeight="1">
      <c r="A456" s="14"/>
      <c r="B456" s="14"/>
      <c r="C456" s="14"/>
      <c r="D456" s="14"/>
      <c r="E456" s="14"/>
      <c r="F456" s="14"/>
      <c r="G456" s="14"/>
      <c r="H456" s="14"/>
      <c r="I456" s="14"/>
      <c r="J456" s="14"/>
      <c r="K456" s="14"/>
      <c r="L456" s="14"/>
      <c r="M456" s="14"/>
      <c r="N456" s="14"/>
      <c r="O456" s="14"/>
      <c r="P456" s="14"/>
      <c r="Q456" s="14"/>
      <c r="R456" s="60"/>
    </row>
    <row r="457" ht="28.5" customHeight="1">
      <c r="A457" s="14"/>
      <c r="B457" s="14"/>
      <c r="C457" s="14"/>
      <c r="D457" s="14"/>
      <c r="E457" s="14"/>
      <c r="F457" s="14"/>
      <c r="G457" s="14"/>
      <c r="H457" s="14"/>
      <c r="I457" s="14"/>
      <c r="J457" s="14"/>
      <c r="K457" s="14"/>
      <c r="L457" s="14"/>
      <c r="M457" s="14"/>
      <c r="N457" s="14"/>
      <c r="O457" s="14"/>
      <c r="P457" s="14"/>
      <c r="Q457" s="14"/>
      <c r="R457" s="60"/>
    </row>
    <row r="458" ht="28.5" customHeight="1">
      <c r="A458" s="14"/>
      <c r="B458" s="14"/>
      <c r="C458" s="14"/>
      <c r="D458" s="14"/>
      <c r="E458" s="14"/>
      <c r="F458" s="14"/>
      <c r="G458" s="14"/>
      <c r="H458" s="14"/>
      <c r="I458" s="14"/>
      <c r="J458" s="14"/>
      <c r="K458" s="14"/>
      <c r="L458" s="14"/>
      <c r="M458" s="14"/>
      <c r="N458" s="14"/>
      <c r="O458" s="14"/>
      <c r="P458" s="14"/>
      <c r="Q458" s="14"/>
      <c r="R458" s="60"/>
    </row>
    <row r="459" ht="28.5" customHeight="1">
      <c r="A459" s="14"/>
      <c r="B459" s="14"/>
      <c r="C459" s="14"/>
      <c r="D459" s="14"/>
      <c r="E459" s="14"/>
      <c r="F459" s="14"/>
      <c r="G459" s="14"/>
      <c r="H459" s="14"/>
      <c r="I459" s="14"/>
      <c r="J459" s="14"/>
      <c r="K459" s="14"/>
      <c r="L459" s="14"/>
      <c r="M459" s="14"/>
      <c r="N459" s="14"/>
      <c r="O459" s="14"/>
      <c r="P459" s="14"/>
      <c r="Q459" s="14"/>
      <c r="R459" s="60"/>
    </row>
    <row r="460" ht="28.5" customHeight="1">
      <c r="A460" s="14"/>
      <c r="B460" s="14"/>
      <c r="C460" s="14"/>
      <c r="D460" s="14"/>
      <c r="E460" s="14"/>
      <c r="F460" s="14"/>
      <c r="G460" s="14"/>
      <c r="H460" s="14"/>
      <c r="I460" s="14"/>
      <c r="J460" s="14"/>
      <c r="K460" s="14"/>
      <c r="L460" s="14"/>
      <c r="M460" s="14"/>
      <c r="N460" s="14"/>
      <c r="O460" s="14"/>
      <c r="P460" s="14"/>
      <c r="Q460" s="14"/>
      <c r="R460" s="60"/>
    </row>
    <row r="461" ht="28.5" customHeight="1">
      <c r="A461" s="14"/>
      <c r="B461" s="14"/>
      <c r="C461" s="14"/>
      <c r="D461" s="14"/>
      <c r="E461" s="14"/>
      <c r="F461" s="14"/>
      <c r="G461" s="14"/>
      <c r="H461" s="14"/>
      <c r="I461" s="14"/>
      <c r="J461" s="14"/>
      <c r="K461" s="14"/>
      <c r="L461" s="14"/>
      <c r="M461" s="14"/>
      <c r="N461" s="14"/>
      <c r="O461" s="14"/>
      <c r="P461" s="14"/>
      <c r="Q461" s="14"/>
      <c r="R461" s="60"/>
    </row>
    <row r="462" ht="28.5" customHeight="1">
      <c r="A462" s="14"/>
      <c r="B462" s="14"/>
      <c r="C462" s="14"/>
      <c r="D462" s="14"/>
      <c r="E462" s="14"/>
      <c r="F462" s="14"/>
      <c r="G462" s="14"/>
      <c r="H462" s="14"/>
      <c r="I462" s="14"/>
      <c r="J462" s="14"/>
      <c r="K462" s="14"/>
      <c r="L462" s="14"/>
      <c r="M462" s="14"/>
      <c r="N462" s="14"/>
      <c r="O462" s="14"/>
      <c r="P462" s="14"/>
      <c r="Q462" s="14"/>
      <c r="R462" s="60"/>
    </row>
    <row r="463" ht="28.5" customHeight="1">
      <c r="A463" s="14"/>
      <c r="B463" s="14"/>
      <c r="C463" s="14"/>
      <c r="D463" s="14"/>
      <c r="E463" s="14"/>
      <c r="F463" s="14"/>
      <c r="G463" s="14"/>
      <c r="H463" s="14"/>
      <c r="I463" s="14"/>
      <c r="J463" s="14"/>
      <c r="K463" s="14"/>
      <c r="L463" s="14"/>
      <c r="M463" s="14"/>
      <c r="N463" s="14"/>
      <c r="O463" s="14"/>
      <c r="P463" s="14"/>
      <c r="Q463" s="14"/>
      <c r="R463" s="60"/>
    </row>
    <row r="464" ht="28.5" customHeight="1">
      <c r="A464" s="14"/>
      <c r="B464" s="14"/>
      <c r="C464" s="14"/>
      <c r="D464" s="14"/>
      <c r="E464" s="14"/>
      <c r="F464" s="14"/>
      <c r="G464" s="14"/>
      <c r="H464" s="14"/>
      <c r="I464" s="14"/>
      <c r="J464" s="14"/>
      <c r="K464" s="14"/>
      <c r="L464" s="14"/>
      <c r="M464" s="14"/>
      <c r="N464" s="14"/>
      <c r="O464" s="14"/>
      <c r="P464" s="14"/>
      <c r="Q464" s="14"/>
      <c r="R464" s="60"/>
    </row>
    <row r="465" ht="28.5" customHeight="1">
      <c r="A465" s="14"/>
      <c r="B465" s="14"/>
      <c r="C465" s="14"/>
      <c r="D465" s="14"/>
      <c r="E465" s="14"/>
      <c r="F465" s="14"/>
      <c r="G465" s="14"/>
      <c r="H465" s="14"/>
      <c r="I465" s="14"/>
      <c r="J465" s="14"/>
      <c r="K465" s="14"/>
      <c r="L465" s="14"/>
      <c r="M465" s="14"/>
      <c r="N465" s="14"/>
      <c r="O465" s="14"/>
      <c r="P465" s="14"/>
      <c r="Q465" s="14"/>
      <c r="R465" s="60"/>
    </row>
    <row r="466" ht="28.5" customHeight="1">
      <c r="A466" s="14"/>
      <c r="B466" s="14"/>
      <c r="C466" s="14"/>
      <c r="D466" s="14"/>
      <c r="E466" s="14"/>
      <c r="F466" s="14"/>
      <c r="G466" s="14"/>
      <c r="H466" s="14"/>
      <c r="I466" s="14"/>
      <c r="J466" s="14"/>
      <c r="K466" s="14"/>
      <c r="L466" s="14"/>
      <c r="M466" s="14"/>
      <c r="N466" s="14"/>
      <c r="O466" s="14"/>
      <c r="P466" s="14"/>
      <c r="Q466" s="14"/>
      <c r="R466" s="60"/>
    </row>
    <row r="467" ht="28.5" customHeight="1">
      <c r="A467" s="14"/>
      <c r="B467" s="14"/>
      <c r="C467" s="14"/>
      <c r="D467" s="14"/>
      <c r="E467" s="14"/>
      <c r="F467" s="14"/>
      <c r="G467" s="14"/>
      <c r="H467" s="14"/>
      <c r="I467" s="14"/>
      <c r="J467" s="14"/>
      <c r="K467" s="14"/>
      <c r="L467" s="14"/>
      <c r="M467" s="14"/>
      <c r="N467" s="14"/>
      <c r="O467" s="14"/>
      <c r="P467" s="14"/>
      <c r="Q467" s="14"/>
      <c r="R467" s="60"/>
    </row>
    <row r="468" ht="28.5" customHeight="1">
      <c r="A468" s="14"/>
      <c r="B468" s="14"/>
      <c r="C468" s="14"/>
      <c r="D468" s="14"/>
      <c r="E468" s="14"/>
      <c r="F468" s="14"/>
      <c r="G468" s="14"/>
      <c r="H468" s="14"/>
      <c r="I468" s="14"/>
      <c r="J468" s="14"/>
      <c r="K468" s="14"/>
      <c r="L468" s="14"/>
      <c r="M468" s="14"/>
      <c r="N468" s="14"/>
      <c r="O468" s="14"/>
      <c r="P468" s="14"/>
      <c r="Q468" s="14"/>
      <c r="R468" s="60"/>
    </row>
    <row r="469" ht="28.5" customHeight="1">
      <c r="A469" s="14"/>
      <c r="B469" s="14"/>
      <c r="C469" s="14"/>
      <c r="D469" s="14"/>
      <c r="E469" s="14"/>
      <c r="F469" s="14"/>
      <c r="G469" s="14"/>
      <c r="H469" s="14"/>
      <c r="I469" s="14"/>
      <c r="J469" s="14"/>
      <c r="K469" s="14"/>
      <c r="L469" s="14"/>
      <c r="M469" s="14"/>
      <c r="N469" s="14"/>
      <c r="O469" s="14"/>
      <c r="P469" s="14"/>
      <c r="Q469" s="14"/>
      <c r="R469" s="60"/>
    </row>
    <row r="470" ht="28.5" customHeight="1">
      <c r="A470" s="14"/>
      <c r="B470" s="14"/>
      <c r="C470" s="14"/>
      <c r="D470" s="14"/>
      <c r="E470" s="14"/>
      <c r="F470" s="14"/>
      <c r="G470" s="14"/>
      <c r="H470" s="14"/>
      <c r="I470" s="14"/>
      <c r="J470" s="14"/>
      <c r="K470" s="14"/>
      <c r="L470" s="14"/>
      <c r="M470" s="14"/>
      <c r="N470" s="14"/>
      <c r="O470" s="14"/>
      <c r="P470" s="14"/>
      <c r="Q470" s="14"/>
      <c r="R470" s="60"/>
    </row>
    <row r="471" ht="28.5" customHeight="1">
      <c r="A471" s="14"/>
      <c r="B471" s="14"/>
      <c r="C471" s="14"/>
      <c r="D471" s="14"/>
      <c r="E471" s="14"/>
      <c r="F471" s="14"/>
      <c r="G471" s="14"/>
      <c r="H471" s="14"/>
      <c r="I471" s="14"/>
      <c r="J471" s="14"/>
      <c r="K471" s="14"/>
      <c r="L471" s="14"/>
      <c r="M471" s="14"/>
      <c r="N471" s="14"/>
      <c r="O471" s="14"/>
      <c r="P471" s="14"/>
      <c r="Q471" s="14"/>
      <c r="R471" s="60"/>
    </row>
    <row r="472" ht="28.5" customHeight="1">
      <c r="A472" s="14"/>
      <c r="B472" s="14"/>
      <c r="C472" s="14"/>
      <c r="D472" s="14"/>
      <c r="E472" s="14"/>
      <c r="F472" s="14"/>
      <c r="G472" s="14"/>
      <c r="H472" s="14"/>
      <c r="I472" s="14"/>
      <c r="J472" s="14"/>
      <c r="K472" s="14"/>
      <c r="L472" s="14"/>
      <c r="M472" s="14"/>
      <c r="N472" s="14"/>
      <c r="O472" s="14"/>
      <c r="P472" s="14"/>
      <c r="Q472" s="14"/>
      <c r="R472" s="60"/>
    </row>
    <row r="473" ht="28.5" customHeight="1">
      <c r="A473" s="14"/>
      <c r="B473" s="14"/>
      <c r="C473" s="14"/>
      <c r="D473" s="14"/>
      <c r="E473" s="14"/>
      <c r="F473" s="14"/>
      <c r="G473" s="14"/>
      <c r="H473" s="14"/>
      <c r="I473" s="14"/>
      <c r="J473" s="14"/>
      <c r="K473" s="14"/>
      <c r="L473" s="14"/>
      <c r="M473" s="14"/>
      <c r="N473" s="14"/>
      <c r="O473" s="14"/>
      <c r="P473" s="14"/>
      <c r="Q473" s="14"/>
      <c r="R473" s="60"/>
    </row>
    <row r="474" ht="28.5" customHeight="1">
      <c r="A474" s="14"/>
      <c r="B474" s="14"/>
      <c r="C474" s="14"/>
      <c r="D474" s="14"/>
      <c r="E474" s="14"/>
      <c r="F474" s="14"/>
      <c r="G474" s="14"/>
      <c r="H474" s="14"/>
      <c r="I474" s="14"/>
      <c r="J474" s="14"/>
      <c r="K474" s="14"/>
      <c r="L474" s="14"/>
      <c r="M474" s="14"/>
      <c r="N474" s="14"/>
      <c r="O474" s="14"/>
      <c r="P474" s="14"/>
      <c r="Q474" s="14"/>
      <c r="R474" s="60"/>
    </row>
    <row r="475" ht="28.5" customHeight="1">
      <c r="A475" s="14"/>
      <c r="B475" s="14"/>
      <c r="C475" s="14"/>
      <c r="D475" s="14"/>
      <c r="E475" s="14"/>
      <c r="F475" s="14"/>
      <c r="G475" s="14"/>
      <c r="H475" s="14"/>
      <c r="I475" s="14"/>
      <c r="J475" s="14"/>
      <c r="K475" s="14"/>
      <c r="L475" s="14"/>
      <c r="M475" s="14"/>
      <c r="N475" s="14"/>
      <c r="O475" s="14"/>
      <c r="P475" s="14"/>
      <c r="Q475" s="14"/>
      <c r="R475" s="60"/>
    </row>
    <row r="476" ht="28.5" customHeight="1">
      <c r="A476" s="14"/>
      <c r="B476" s="14"/>
      <c r="C476" s="14"/>
      <c r="D476" s="14"/>
      <c r="E476" s="14"/>
      <c r="F476" s="14"/>
      <c r="G476" s="14"/>
      <c r="H476" s="14"/>
      <c r="I476" s="14"/>
      <c r="J476" s="14"/>
      <c r="K476" s="14"/>
      <c r="L476" s="14"/>
      <c r="M476" s="14"/>
      <c r="N476" s="14"/>
      <c r="O476" s="14"/>
      <c r="P476" s="14"/>
      <c r="Q476" s="14"/>
      <c r="R476" s="60"/>
    </row>
    <row r="477" ht="28.5" customHeight="1">
      <c r="A477" s="14"/>
      <c r="B477" s="14"/>
      <c r="C477" s="14"/>
      <c r="D477" s="14"/>
      <c r="E477" s="14"/>
      <c r="F477" s="14"/>
      <c r="G477" s="14"/>
      <c r="H477" s="14"/>
      <c r="I477" s="14"/>
      <c r="J477" s="14"/>
      <c r="K477" s="14"/>
      <c r="L477" s="14"/>
      <c r="M477" s="14"/>
      <c r="N477" s="14"/>
      <c r="O477" s="14"/>
      <c r="P477" s="14"/>
      <c r="Q477" s="14"/>
      <c r="R477" s="60"/>
    </row>
    <row r="478" ht="28.5" customHeight="1">
      <c r="A478" s="14"/>
      <c r="B478" s="14"/>
      <c r="C478" s="14"/>
      <c r="D478" s="14"/>
      <c r="E478" s="14"/>
      <c r="F478" s="14"/>
      <c r="G478" s="14"/>
      <c r="H478" s="14"/>
      <c r="I478" s="14"/>
      <c r="J478" s="14"/>
      <c r="K478" s="14"/>
      <c r="L478" s="14"/>
      <c r="M478" s="14"/>
      <c r="N478" s="14"/>
      <c r="O478" s="14"/>
      <c r="P478" s="14"/>
      <c r="Q478" s="14"/>
      <c r="R478" s="60"/>
    </row>
    <row r="479" ht="28.5" customHeight="1">
      <c r="A479" s="14"/>
      <c r="B479" s="14"/>
      <c r="C479" s="14"/>
      <c r="D479" s="14"/>
      <c r="E479" s="14"/>
      <c r="F479" s="14"/>
      <c r="G479" s="14"/>
      <c r="H479" s="14"/>
      <c r="I479" s="14"/>
      <c r="J479" s="14"/>
      <c r="K479" s="14"/>
      <c r="L479" s="14"/>
      <c r="M479" s="14"/>
      <c r="N479" s="14"/>
      <c r="O479" s="14"/>
      <c r="P479" s="14"/>
      <c r="Q479" s="14"/>
      <c r="R479" s="60"/>
    </row>
    <row r="480" ht="28.5" customHeight="1">
      <c r="A480" s="14"/>
      <c r="B480" s="14"/>
      <c r="C480" s="14"/>
      <c r="D480" s="14"/>
      <c r="E480" s="14"/>
      <c r="F480" s="14"/>
      <c r="G480" s="14"/>
      <c r="H480" s="14"/>
      <c r="I480" s="14"/>
      <c r="J480" s="14"/>
      <c r="K480" s="14"/>
      <c r="L480" s="14"/>
      <c r="M480" s="14"/>
      <c r="N480" s="14"/>
      <c r="O480" s="14"/>
      <c r="P480" s="14"/>
      <c r="Q480" s="14"/>
      <c r="R480" s="60"/>
    </row>
    <row r="481" ht="28.5" customHeight="1">
      <c r="A481" s="14"/>
      <c r="B481" s="14"/>
      <c r="C481" s="14"/>
      <c r="D481" s="14"/>
      <c r="E481" s="14"/>
      <c r="F481" s="14"/>
      <c r="G481" s="14"/>
      <c r="H481" s="14"/>
      <c r="I481" s="14"/>
      <c r="J481" s="14"/>
      <c r="K481" s="14"/>
      <c r="L481" s="14"/>
      <c r="M481" s="14"/>
      <c r="N481" s="14"/>
      <c r="O481" s="14"/>
      <c r="P481" s="14"/>
      <c r="Q481" s="14"/>
      <c r="R481" s="60"/>
    </row>
    <row r="482" ht="28.5" customHeight="1">
      <c r="A482" s="14"/>
      <c r="B482" s="14"/>
      <c r="C482" s="14"/>
      <c r="D482" s="14"/>
      <c r="E482" s="14"/>
      <c r="F482" s="14"/>
      <c r="G482" s="14"/>
      <c r="H482" s="14"/>
      <c r="I482" s="14"/>
      <c r="J482" s="14"/>
      <c r="K482" s="14"/>
      <c r="L482" s="14"/>
      <c r="M482" s="14"/>
      <c r="N482" s="14"/>
      <c r="O482" s="14"/>
      <c r="P482" s="14"/>
      <c r="Q482" s="14"/>
      <c r="R482" s="60"/>
    </row>
    <row r="483" ht="28.5" customHeight="1">
      <c r="A483" s="14"/>
      <c r="B483" s="14"/>
      <c r="C483" s="14"/>
      <c r="D483" s="14"/>
      <c r="E483" s="14"/>
      <c r="F483" s="14"/>
      <c r="G483" s="14"/>
      <c r="H483" s="14"/>
      <c r="I483" s="14"/>
      <c r="J483" s="14"/>
      <c r="K483" s="14"/>
      <c r="L483" s="14"/>
      <c r="M483" s="14"/>
      <c r="N483" s="14"/>
      <c r="O483" s="14"/>
      <c r="P483" s="14"/>
      <c r="Q483" s="14"/>
      <c r="R483" s="60"/>
    </row>
    <row r="484" ht="28.5" customHeight="1">
      <c r="A484" s="14"/>
      <c r="B484" s="14"/>
      <c r="C484" s="14"/>
      <c r="D484" s="14"/>
      <c r="E484" s="14"/>
      <c r="F484" s="14"/>
      <c r="G484" s="14"/>
      <c r="H484" s="14"/>
      <c r="I484" s="14"/>
      <c r="J484" s="14"/>
      <c r="K484" s="14"/>
      <c r="L484" s="14"/>
      <c r="M484" s="14"/>
      <c r="N484" s="14"/>
      <c r="O484" s="14"/>
      <c r="P484" s="14"/>
      <c r="Q484" s="14"/>
      <c r="R484" s="60"/>
    </row>
    <row r="485" ht="28.5" customHeight="1">
      <c r="A485" s="14"/>
      <c r="B485" s="14"/>
      <c r="C485" s="14"/>
      <c r="D485" s="14"/>
      <c r="E485" s="14"/>
      <c r="F485" s="14"/>
      <c r="G485" s="14"/>
      <c r="H485" s="14"/>
      <c r="I485" s="14"/>
      <c r="J485" s="14"/>
      <c r="K485" s="14"/>
      <c r="L485" s="14"/>
      <c r="M485" s="14"/>
      <c r="N485" s="14"/>
      <c r="O485" s="14"/>
      <c r="P485" s="14"/>
      <c r="Q485" s="14"/>
      <c r="R485" s="60"/>
    </row>
    <row r="486" ht="28.5" customHeight="1">
      <c r="A486" s="14"/>
      <c r="B486" s="14"/>
      <c r="C486" s="14"/>
      <c r="D486" s="14"/>
      <c r="E486" s="14"/>
      <c r="F486" s="14"/>
      <c r="G486" s="14"/>
      <c r="H486" s="14"/>
      <c r="I486" s="14"/>
      <c r="J486" s="14"/>
      <c r="K486" s="14"/>
      <c r="L486" s="14"/>
      <c r="M486" s="14"/>
      <c r="N486" s="14"/>
      <c r="O486" s="14"/>
      <c r="P486" s="14"/>
      <c r="Q486" s="14"/>
      <c r="R486" s="60"/>
    </row>
    <row r="487" ht="28.5" customHeight="1">
      <c r="A487" s="14"/>
      <c r="B487" s="14"/>
      <c r="C487" s="14"/>
      <c r="D487" s="14"/>
      <c r="E487" s="14"/>
      <c r="F487" s="14"/>
      <c r="G487" s="14"/>
      <c r="H487" s="14"/>
      <c r="I487" s="14"/>
      <c r="J487" s="14"/>
      <c r="K487" s="14"/>
      <c r="L487" s="14"/>
      <c r="M487" s="14"/>
      <c r="N487" s="14"/>
      <c r="O487" s="14"/>
      <c r="P487" s="14"/>
      <c r="Q487" s="14"/>
      <c r="R487" s="60"/>
    </row>
    <row r="488" ht="28.5" customHeight="1">
      <c r="A488" s="14"/>
      <c r="B488" s="14"/>
      <c r="C488" s="14"/>
      <c r="D488" s="14"/>
      <c r="E488" s="14"/>
      <c r="F488" s="14"/>
      <c r="G488" s="14"/>
      <c r="H488" s="14"/>
      <c r="I488" s="14"/>
      <c r="J488" s="14"/>
      <c r="K488" s="14"/>
      <c r="L488" s="14"/>
      <c r="M488" s="14"/>
      <c r="N488" s="14"/>
      <c r="O488" s="14"/>
      <c r="P488" s="14"/>
      <c r="Q488" s="14"/>
      <c r="R488" s="60"/>
    </row>
    <row r="489" ht="28.5" customHeight="1">
      <c r="A489" s="14"/>
      <c r="B489" s="14"/>
      <c r="C489" s="14"/>
      <c r="D489" s="14"/>
      <c r="E489" s="14"/>
      <c r="F489" s="14"/>
      <c r="G489" s="14"/>
      <c r="H489" s="14"/>
      <c r="I489" s="14"/>
      <c r="J489" s="14"/>
      <c r="K489" s="14"/>
      <c r="L489" s="14"/>
      <c r="M489" s="14"/>
      <c r="N489" s="14"/>
      <c r="O489" s="14"/>
      <c r="P489" s="14"/>
      <c r="Q489" s="14"/>
      <c r="R489" s="60"/>
    </row>
    <row r="490" ht="28.5" customHeight="1">
      <c r="A490" s="14"/>
      <c r="B490" s="14"/>
      <c r="C490" s="14"/>
      <c r="D490" s="14"/>
      <c r="E490" s="14"/>
      <c r="F490" s="14"/>
      <c r="G490" s="14"/>
      <c r="H490" s="14"/>
      <c r="I490" s="14"/>
      <c r="J490" s="14"/>
      <c r="K490" s="14"/>
      <c r="L490" s="14"/>
      <c r="M490" s="14"/>
      <c r="N490" s="14"/>
      <c r="O490" s="14"/>
      <c r="P490" s="14"/>
      <c r="Q490" s="14"/>
      <c r="R490" s="60"/>
    </row>
    <row r="491" ht="28.5" customHeight="1">
      <c r="A491" s="14"/>
      <c r="B491" s="14"/>
      <c r="C491" s="14"/>
      <c r="D491" s="14"/>
      <c r="E491" s="14"/>
      <c r="F491" s="14"/>
      <c r="G491" s="14"/>
      <c r="H491" s="14"/>
      <c r="I491" s="14"/>
      <c r="J491" s="14"/>
      <c r="K491" s="14"/>
      <c r="L491" s="14"/>
      <c r="M491" s="14"/>
      <c r="N491" s="14"/>
      <c r="O491" s="14"/>
      <c r="P491" s="14"/>
      <c r="Q491" s="14"/>
      <c r="R491" s="60"/>
    </row>
    <row r="492" ht="28.5" customHeight="1">
      <c r="A492" s="14"/>
      <c r="B492" s="14"/>
      <c r="C492" s="14"/>
      <c r="D492" s="14"/>
      <c r="E492" s="14"/>
      <c r="F492" s="14"/>
      <c r="G492" s="14"/>
      <c r="H492" s="14"/>
      <c r="I492" s="14"/>
      <c r="J492" s="14"/>
      <c r="K492" s="14"/>
      <c r="L492" s="14"/>
      <c r="M492" s="14"/>
      <c r="N492" s="14"/>
      <c r="O492" s="14"/>
      <c r="P492" s="14"/>
      <c r="Q492" s="14"/>
      <c r="R492" s="60"/>
    </row>
    <row r="493" ht="28.5" customHeight="1">
      <c r="A493" s="14"/>
      <c r="B493" s="14"/>
      <c r="C493" s="14"/>
      <c r="D493" s="14"/>
      <c r="E493" s="14"/>
      <c r="F493" s="14"/>
      <c r="G493" s="14"/>
      <c r="H493" s="14"/>
      <c r="I493" s="14"/>
      <c r="J493" s="14"/>
      <c r="K493" s="14"/>
      <c r="L493" s="14"/>
      <c r="M493" s="14"/>
      <c r="N493" s="14"/>
      <c r="O493" s="14"/>
      <c r="P493" s="14"/>
      <c r="Q493" s="14"/>
      <c r="R493" s="60"/>
    </row>
    <row r="494" ht="28.5" customHeight="1">
      <c r="A494" s="14"/>
      <c r="B494" s="14"/>
      <c r="C494" s="14"/>
      <c r="D494" s="14"/>
      <c r="E494" s="14"/>
      <c r="F494" s="14"/>
      <c r="G494" s="14"/>
      <c r="H494" s="14"/>
      <c r="I494" s="14"/>
      <c r="J494" s="14"/>
      <c r="K494" s="14"/>
      <c r="L494" s="14"/>
      <c r="M494" s="14"/>
      <c r="N494" s="14"/>
      <c r="O494" s="14"/>
      <c r="P494" s="14"/>
      <c r="Q494" s="14"/>
      <c r="R494" s="60"/>
    </row>
    <row r="495" ht="28.5" customHeight="1">
      <c r="A495" s="14"/>
      <c r="B495" s="14"/>
      <c r="C495" s="14"/>
      <c r="D495" s="14"/>
      <c r="E495" s="14"/>
      <c r="F495" s="14"/>
      <c r="G495" s="14"/>
      <c r="H495" s="14"/>
      <c r="I495" s="14"/>
      <c r="J495" s="14"/>
      <c r="K495" s="14"/>
      <c r="L495" s="14"/>
      <c r="M495" s="14"/>
      <c r="N495" s="14"/>
      <c r="O495" s="14"/>
      <c r="P495" s="14"/>
      <c r="Q495" s="14"/>
      <c r="R495" s="60"/>
    </row>
    <row r="496" ht="28.5" customHeight="1">
      <c r="A496" s="14"/>
      <c r="B496" s="14"/>
      <c r="C496" s="14"/>
      <c r="D496" s="14"/>
      <c r="E496" s="14"/>
      <c r="F496" s="14"/>
      <c r="G496" s="14"/>
      <c r="H496" s="14"/>
      <c r="I496" s="14"/>
      <c r="J496" s="14"/>
      <c r="K496" s="14"/>
      <c r="L496" s="14"/>
      <c r="M496" s="14"/>
      <c r="N496" s="14"/>
      <c r="O496" s="14"/>
      <c r="P496" s="14"/>
      <c r="Q496" s="14"/>
      <c r="R496" s="60"/>
    </row>
    <row r="497" ht="28.5" customHeight="1">
      <c r="A497" s="14"/>
      <c r="B497" s="14"/>
      <c r="C497" s="14"/>
      <c r="D497" s="14"/>
      <c r="E497" s="14"/>
      <c r="F497" s="14"/>
      <c r="G497" s="14"/>
      <c r="H497" s="14"/>
      <c r="I497" s="14"/>
      <c r="J497" s="14"/>
      <c r="K497" s="14"/>
      <c r="L497" s="14"/>
      <c r="M497" s="14"/>
      <c r="N497" s="14"/>
      <c r="O497" s="14"/>
      <c r="P497" s="14"/>
      <c r="Q497" s="14"/>
      <c r="R497" s="60"/>
    </row>
    <row r="498" ht="28.5" customHeight="1">
      <c r="A498" s="14"/>
      <c r="B498" s="14"/>
      <c r="C498" s="14"/>
      <c r="D498" s="14"/>
      <c r="E498" s="14"/>
      <c r="F498" s="14"/>
      <c r="G498" s="14"/>
      <c r="H498" s="14"/>
      <c r="I498" s="14"/>
      <c r="J498" s="14"/>
      <c r="K498" s="14"/>
      <c r="L498" s="14"/>
      <c r="M498" s="14"/>
      <c r="N498" s="14"/>
      <c r="O498" s="14"/>
      <c r="P498" s="14"/>
      <c r="Q498" s="14"/>
      <c r="R498" s="60"/>
    </row>
    <row r="499" ht="28.5" customHeight="1">
      <c r="A499" s="14"/>
      <c r="B499" s="14"/>
      <c r="C499" s="14"/>
      <c r="D499" s="14"/>
      <c r="E499" s="14"/>
      <c r="F499" s="14"/>
      <c r="G499" s="14"/>
      <c r="H499" s="14"/>
      <c r="I499" s="14"/>
      <c r="J499" s="14"/>
      <c r="K499" s="14"/>
      <c r="L499" s="14"/>
      <c r="M499" s="14"/>
      <c r="N499" s="14"/>
      <c r="O499" s="14"/>
      <c r="P499" s="14"/>
      <c r="Q499" s="14"/>
      <c r="R499" s="60"/>
    </row>
    <row r="500" ht="28.5" customHeight="1">
      <c r="A500" s="14"/>
      <c r="B500" s="14"/>
      <c r="C500" s="14"/>
      <c r="D500" s="14"/>
      <c r="E500" s="14"/>
      <c r="F500" s="14"/>
      <c r="G500" s="14"/>
      <c r="H500" s="14"/>
      <c r="I500" s="14"/>
      <c r="J500" s="14"/>
      <c r="K500" s="14"/>
      <c r="L500" s="14"/>
      <c r="M500" s="14"/>
      <c r="N500" s="14"/>
      <c r="O500" s="14"/>
      <c r="P500" s="14"/>
      <c r="Q500" s="14"/>
      <c r="R500" s="60"/>
    </row>
    <row r="501" ht="28.5" customHeight="1">
      <c r="A501" s="14"/>
      <c r="B501" s="14"/>
      <c r="C501" s="14"/>
      <c r="D501" s="14"/>
      <c r="E501" s="14"/>
      <c r="F501" s="14"/>
      <c r="G501" s="14"/>
      <c r="H501" s="14"/>
      <c r="I501" s="14"/>
      <c r="J501" s="14"/>
      <c r="K501" s="14"/>
      <c r="L501" s="14"/>
      <c r="M501" s="14"/>
      <c r="N501" s="14"/>
      <c r="O501" s="14"/>
      <c r="P501" s="14"/>
      <c r="Q501" s="14"/>
      <c r="R501" s="60"/>
    </row>
    <row r="502" ht="28.5" customHeight="1">
      <c r="A502" s="14"/>
      <c r="B502" s="14"/>
      <c r="C502" s="14"/>
      <c r="D502" s="14"/>
      <c r="E502" s="14"/>
      <c r="F502" s="14"/>
      <c r="G502" s="14"/>
      <c r="H502" s="14"/>
      <c r="I502" s="14"/>
      <c r="J502" s="14"/>
      <c r="K502" s="14"/>
      <c r="L502" s="14"/>
      <c r="M502" s="14"/>
      <c r="N502" s="14"/>
      <c r="O502" s="14"/>
      <c r="P502" s="14"/>
      <c r="Q502" s="14"/>
      <c r="R502" s="60"/>
    </row>
    <row r="503" ht="28.5" customHeight="1">
      <c r="A503" s="14"/>
      <c r="B503" s="14"/>
      <c r="C503" s="14"/>
      <c r="D503" s="14"/>
      <c r="E503" s="14"/>
      <c r="F503" s="14"/>
      <c r="G503" s="14"/>
      <c r="H503" s="14"/>
      <c r="I503" s="14"/>
      <c r="J503" s="14"/>
      <c r="K503" s="14"/>
      <c r="L503" s="14"/>
      <c r="M503" s="14"/>
      <c r="N503" s="14"/>
      <c r="O503" s="14"/>
      <c r="P503" s="14"/>
      <c r="Q503" s="14"/>
      <c r="R503" s="60"/>
    </row>
    <row r="504" ht="28.5" customHeight="1">
      <c r="A504" s="14"/>
      <c r="B504" s="14"/>
      <c r="C504" s="14"/>
      <c r="D504" s="14"/>
      <c r="E504" s="14"/>
      <c r="F504" s="14"/>
      <c r="G504" s="14"/>
      <c r="H504" s="14"/>
      <c r="I504" s="14"/>
      <c r="J504" s="14"/>
      <c r="K504" s="14"/>
      <c r="L504" s="14"/>
      <c r="M504" s="14"/>
      <c r="N504" s="14"/>
      <c r="O504" s="14"/>
      <c r="P504" s="14"/>
      <c r="Q504" s="14"/>
      <c r="R504" s="60"/>
    </row>
    <row r="505" ht="28.5" customHeight="1">
      <c r="A505" s="14"/>
      <c r="B505" s="14"/>
      <c r="C505" s="14"/>
      <c r="D505" s="14"/>
      <c r="E505" s="14"/>
      <c r="F505" s="14"/>
      <c r="G505" s="14"/>
      <c r="H505" s="14"/>
      <c r="I505" s="14"/>
      <c r="J505" s="14"/>
      <c r="K505" s="14"/>
      <c r="L505" s="14"/>
      <c r="M505" s="14"/>
      <c r="N505" s="14"/>
      <c r="O505" s="14"/>
      <c r="P505" s="14"/>
      <c r="Q505" s="14"/>
      <c r="R505" s="60"/>
    </row>
    <row r="506" ht="28.5" customHeight="1">
      <c r="A506" s="14"/>
      <c r="B506" s="14"/>
      <c r="C506" s="14"/>
      <c r="D506" s="14"/>
      <c r="E506" s="14"/>
      <c r="F506" s="14"/>
      <c r="G506" s="14"/>
      <c r="H506" s="14"/>
      <c r="I506" s="14"/>
      <c r="J506" s="14"/>
      <c r="K506" s="14"/>
      <c r="L506" s="14"/>
      <c r="M506" s="14"/>
      <c r="N506" s="14"/>
      <c r="O506" s="14"/>
      <c r="P506" s="14"/>
      <c r="Q506" s="14"/>
      <c r="R506" s="60"/>
    </row>
    <row r="507" ht="28.5" customHeight="1">
      <c r="A507" s="14"/>
      <c r="B507" s="14"/>
      <c r="C507" s="14"/>
      <c r="D507" s="14"/>
      <c r="E507" s="14"/>
      <c r="F507" s="14"/>
      <c r="G507" s="14"/>
      <c r="H507" s="14"/>
      <c r="I507" s="14"/>
      <c r="J507" s="14"/>
      <c r="K507" s="14"/>
      <c r="L507" s="14"/>
      <c r="M507" s="14"/>
      <c r="N507" s="14"/>
      <c r="O507" s="14"/>
      <c r="P507" s="14"/>
      <c r="Q507" s="14"/>
      <c r="R507" s="60"/>
    </row>
    <row r="508" ht="28.5" customHeight="1">
      <c r="A508" s="14"/>
      <c r="B508" s="14"/>
      <c r="C508" s="14"/>
      <c r="D508" s="14"/>
      <c r="E508" s="14"/>
      <c r="F508" s="14"/>
      <c r="G508" s="14"/>
      <c r="H508" s="14"/>
      <c r="I508" s="14"/>
      <c r="J508" s="14"/>
      <c r="K508" s="14"/>
      <c r="L508" s="14"/>
      <c r="M508" s="14"/>
      <c r="N508" s="14"/>
      <c r="O508" s="14"/>
      <c r="P508" s="14"/>
      <c r="Q508" s="14"/>
      <c r="R508" s="60"/>
    </row>
    <row r="509" ht="28.5" customHeight="1">
      <c r="A509" s="14"/>
      <c r="B509" s="14"/>
      <c r="C509" s="14"/>
      <c r="D509" s="14"/>
      <c r="E509" s="14"/>
      <c r="F509" s="14"/>
      <c r="G509" s="14"/>
      <c r="H509" s="14"/>
      <c r="I509" s="14"/>
      <c r="J509" s="14"/>
      <c r="K509" s="14"/>
      <c r="L509" s="14"/>
      <c r="M509" s="14"/>
      <c r="N509" s="14"/>
      <c r="O509" s="14"/>
      <c r="P509" s="14"/>
      <c r="Q509" s="14"/>
      <c r="R509" s="60"/>
    </row>
    <row r="510" ht="28.5" customHeight="1">
      <c r="A510" s="14"/>
      <c r="B510" s="14"/>
      <c r="C510" s="14"/>
      <c r="D510" s="14"/>
      <c r="E510" s="14"/>
      <c r="F510" s="14"/>
      <c r="G510" s="14"/>
      <c r="H510" s="14"/>
      <c r="I510" s="14"/>
      <c r="J510" s="14"/>
      <c r="K510" s="14"/>
      <c r="L510" s="14"/>
      <c r="M510" s="14"/>
      <c r="N510" s="14"/>
      <c r="O510" s="14"/>
      <c r="P510" s="14"/>
      <c r="Q510" s="14"/>
      <c r="R510" s="60"/>
    </row>
    <row r="511" ht="28.5" customHeight="1">
      <c r="A511" s="14"/>
      <c r="B511" s="14"/>
      <c r="C511" s="14"/>
      <c r="D511" s="14"/>
      <c r="E511" s="14"/>
      <c r="F511" s="14"/>
      <c r="G511" s="14"/>
      <c r="H511" s="14"/>
      <c r="I511" s="14"/>
      <c r="J511" s="14"/>
      <c r="K511" s="14"/>
      <c r="L511" s="14"/>
      <c r="M511" s="14"/>
      <c r="N511" s="14"/>
      <c r="O511" s="14"/>
      <c r="P511" s="14"/>
      <c r="Q511" s="14"/>
      <c r="R511" s="60"/>
    </row>
    <row r="512" ht="28.5" customHeight="1">
      <c r="A512" s="14"/>
      <c r="B512" s="14"/>
      <c r="C512" s="14"/>
      <c r="D512" s="14"/>
      <c r="E512" s="14"/>
      <c r="F512" s="14"/>
      <c r="G512" s="14"/>
      <c r="H512" s="14"/>
      <c r="I512" s="14"/>
      <c r="J512" s="14"/>
      <c r="K512" s="14"/>
      <c r="L512" s="14"/>
      <c r="M512" s="14"/>
      <c r="N512" s="14"/>
      <c r="O512" s="14"/>
      <c r="P512" s="14"/>
      <c r="Q512" s="14"/>
      <c r="R512" s="60"/>
    </row>
    <row r="513" ht="28.5" customHeight="1">
      <c r="A513" s="14"/>
      <c r="B513" s="14"/>
      <c r="C513" s="14"/>
      <c r="D513" s="14"/>
      <c r="E513" s="14"/>
      <c r="F513" s="14"/>
      <c r="G513" s="14"/>
      <c r="H513" s="14"/>
      <c r="I513" s="14"/>
      <c r="J513" s="14"/>
      <c r="K513" s="14"/>
      <c r="L513" s="14"/>
      <c r="M513" s="14"/>
      <c r="N513" s="14"/>
      <c r="O513" s="14"/>
      <c r="P513" s="14"/>
      <c r="Q513" s="14"/>
      <c r="R513" s="60"/>
    </row>
    <row r="514" ht="28.5" customHeight="1">
      <c r="A514" s="14"/>
      <c r="B514" s="14"/>
      <c r="C514" s="14"/>
      <c r="D514" s="14"/>
      <c r="E514" s="14"/>
      <c r="F514" s="14"/>
      <c r="G514" s="14"/>
      <c r="H514" s="14"/>
      <c r="I514" s="14"/>
      <c r="J514" s="14"/>
      <c r="K514" s="14"/>
      <c r="L514" s="14"/>
      <c r="M514" s="14"/>
      <c r="N514" s="14"/>
      <c r="O514" s="14"/>
      <c r="P514" s="14"/>
      <c r="Q514" s="14"/>
      <c r="R514" s="60"/>
    </row>
    <row r="515" ht="28.5" customHeight="1">
      <c r="A515" s="14"/>
      <c r="B515" s="14"/>
      <c r="C515" s="14"/>
      <c r="D515" s="14"/>
      <c r="E515" s="14"/>
      <c r="F515" s="14"/>
      <c r="G515" s="14"/>
      <c r="H515" s="14"/>
      <c r="I515" s="14"/>
      <c r="J515" s="14"/>
      <c r="K515" s="14"/>
      <c r="L515" s="14"/>
      <c r="M515" s="14"/>
      <c r="N515" s="14"/>
      <c r="O515" s="14"/>
      <c r="P515" s="14"/>
      <c r="Q515" s="14"/>
      <c r="R515" s="60"/>
    </row>
    <row r="516" ht="28.5" customHeight="1">
      <c r="A516" s="14"/>
      <c r="B516" s="14"/>
      <c r="C516" s="14"/>
      <c r="D516" s="14"/>
      <c r="E516" s="14"/>
      <c r="F516" s="14"/>
      <c r="G516" s="14"/>
      <c r="H516" s="14"/>
      <c r="I516" s="14"/>
      <c r="J516" s="14"/>
      <c r="K516" s="14"/>
      <c r="L516" s="14"/>
      <c r="M516" s="14"/>
      <c r="N516" s="14"/>
      <c r="O516" s="14"/>
      <c r="P516" s="14"/>
      <c r="Q516" s="14"/>
      <c r="R516" s="60"/>
    </row>
    <row r="517" ht="28.5" customHeight="1">
      <c r="A517" s="14"/>
      <c r="B517" s="14"/>
      <c r="C517" s="14"/>
      <c r="D517" s="14"/>
      <c r="E517" s="14"/>
      <c r="F517" s="14"/>
      <c r="G517" s="14"/>
      <c r="H517" s="14"/>
      <c r="I517" s="14"/>
      <c r="J517" s="14"/>
      <c r="K517" s="14"/>
      <c r="L517" s="14"/>
      <c r="M517" s="14"/>
      <c r="N517" s="14"/>
      <c r="O517" s="14"/>
      <c r="P517" s="14"/>
      <c r="Q517" s="14"/>
      <c r="R517" s="60"/>
    </row>
    <row r="518" ht="28.5" customHeight="1">
      <c r="A518" s="14"/>
      <c r="B518" s="14"/>
      <c r="C518" s="14"/>
      <c r="D518" s="14"/>
      <c r="E518" s="14"/>
      <c r="F518" s="14"/>
      <c r="G518" s="14"/>
      <c r="H518" s="14"/>
      <c r="I518" s="14"/>
      <c r="J518" s="14"/>
      <c r="K518" s="14"/>
      <c r="L518" s="14"/>
      <c r="M518" s="14"/>
      <c r="N518" s="14"/>
      <c r="O518" s="14"/>
      <c r="P518" s="14"/>
      <c r="Q518" s="14"/>
      <c r="R518" s="60"/>
    </row>
    <row r="519" ht="28.5" customHeight="1">
      <c r="A519" s="14"/>
      <c r="B519" s="14"/>
      <c r="C519" s="14"/>
      <c r="D519" s="14"/>
      <c r="E519" s="14"/>
      <c r="F519" s="14"/>
      <c r="G519" s="14"/>
      <c r="H519" s="14"/>
      <c r="I519" s="14"/>
      <c r="J519" s="14"/>
      <c r="K519" s="14"/>
      <c r="L519" s="14"/>
      <c r="M519" s="14"/>
      <c r="N519" s="14"/>
      <c r="O519" s="14"/>
      <c r="P519" s="14"/>
      <c r="Q519" s="14"/>
      <c r="R519" s="60"/>
    </row>
    <row r="520" ht="28.5" customHeight="1">
      <c r="A520" s="14"/>
      <c r="B520" s="14"/>
      <c r="C520" s="14"/>
      <c r="D520" s="14"/>
      <c r="E520" s="14"/>
      <c r="F520" s="14"/>
      <c r="G520" s="14"/>
      <c r="H520" s="14"/>
      <c r="I520" s="14"/>
      <c r="J520" s="14"/>
      <c r="K520" s="14"/>
      <c r="L520" s="14"/>
      <c r="M520" s="14"/>
      <c r="N520" s="14"/>
      <c r="O520" s="14"/>
      <c r="P520" s="14"/>
      <c r="Q520" s="14"/>
      <c r="R520" s="60"/>
    </row>
    <row r="521" ht="28.5" customHeight="1">
      <c r="A521" s="14"/>
      <c r="B521" s="14"/>
      <c r="C521" s="14"/>
      <c r="D521" s="14"/>
      <c r="E521" s="14"/>
      <c r="F521" s="14"/>
      <c r="G521" s="14"/>
      <c r="H521" s="14"/>
      <c r="I521" s="14"/>
      <c r="J521" s="14"/>
      <c r="K521" s="14"/>
      <c r="L521" s="14"/>
      <c r="M521" s="14"/>
      <c r="N521" s="14"/>
      <c r="O521" s="14"/>
      <c r="P521" s="14"/>
      <c r="Q521" s="14"/>
      <c r="R521" s="60"/>
    </row>
    <row r="522" ht="28.5" customHeight="1">
      <c r="A522" s="14"/>
      <c r="B522" s="14"/>
      <c r="C522" s="14"/>
      <c r="D522" s="14"/>
      <c r="E522" s="14"/>
      <c r="F522" s="14"/>
      <c r="G522" s="14"/>
      <c r="H522" s="14"/>
      <c r="I522" s="14"/>
      <c r="J522" s="14"/>
      <c r="K522" s="14"/>
      <c r="L522" s="14"/>
      <c r="M522" s="14"/>
      <c r="N522" s="14"/>
      <c r="O522" s="14"/>
      <c r="P522" s="14"/>
      <c r="Q522" s="14"/>
      <c r="R522" s="60"/>
    </row>
    <row r="523" ht="28.5" customHeight="1">
      <c r="A523" s="14"/>
      <c r="B523" s="14"/>
      <c r="C523" s="14"/>
      <c r="D523" s="14"/>
      <c r="E523" s="14"/>
      <c r="F523" s="14"/>
      <c r="G523" s="14"/>
      <c r="H523" s="14"/>
      <c r="I523" s="14"/>
      <c r="J523" s="14"/>
      <c r="K523" s="14"/>
      <c r="L523" s="14"/>
      <c r="M523" s="14"/>
      <c r="N523" s="14"/>
      <c r="O523" s="14"/>
      <c r="P523" s="14"/>
      <c r="Q523" s="14"/>
      <c r="R523" s="60"/>
    </row>
    <row r="524" ht="28.5" customHeight="1">
      <c r="A524" s="14"/>
      <c r="B524" s="14"/>
      <c r="C524" s="14"/>
      <c r="D524" s="14"/>
      <c r="E524" s="14"/>
      <c r="F524" s="14"/>
      <c r="G524" s="14"/>
      <c r="H524" s="14"/>
      <c r="I524" s="14"/>
      <c r="J524" s="14"/>
      <c r="K524" s="14"/>
      <c r="L524" s="14"/>
      <c r="M524" s="14"/>
      <c r="N524" s="14"/>
      <c r="O524" s="14"/>
      <c r="P524" s="14"/>
      <c r="Q524" s="14"/>
      <c r="R524" s="60"/>
    </row>
    <row r="525" ht="28.5" customHeight="1">
      <c r="A525" s="14"/>
      <c r="B525" s="14"/>
      <c r="C525" s="14"/>
      <c r="D525" s="14"/>
      <c r="E525" s="14"/>
      <c r="F525" s="14"/>
      <c r="G525" s="14"/>
      <c r="H525" s="14"/>
      <c r="I525" s="14"/>
      <c r="J525" s="14"/>
      <c r="K525" s="14"/>
      <c r="L525" s="14"/>
      <c r="M525" s="14"/>
      <c r="N525" s="14"/>
      <c r="O525" s="14"/>
      <c r="P525" s="14"/>
      <c r="Q525" s="14"/>
      <c r="R525" s="60"/>
    </row>
    <row r="526" ht="28.5" customHeight="1">
      <c r="A526" s="14"/>
      <c r="B526" s="14"/>
      <c r="C526" s="14"/>
      <c r="D526" s="14"/>
      <c r="E526" s="14"/>
      <c r="F526" s="14"/>
      <c r="G526" s="14"/>
      <c r="H526" s="14"/>
      <c r="I526" s="14"/>
      <c r="J526" s="14"/>
      <c r="K526" s="14"/>
      <c r="L526" s="14"/>
      <c r="M526" s="14"/>
      <c r="N526" s="14"/>
      <c r="O526" s="14"/>
      <c r="P526" s="14"/>
      <c r="Q526" s="14"/>
      <c r="R526" s="60"/>
    </row>
    <row r="527" ht="28.5" customHeight="1">
      <c r="A527" s="14"/>
      <c r="B527" s="14"/>
      <c r="C527" s="14"/>
      <c r="D527" s="14"/>
      <c r="E527" s="14"/>
      <c r="F527" s="14"/>
      <c r="G527" s="14"/>
      <c r="H527" s="14"/>
      <c r="I527" s="14"/>
      <c r="J527" s="14"/>
      <c r="K527" s="14"/>
      <c r="L527" s="14"/>
      <c r="M527" s="14"/>
      <c r="N527" s="14"/>
      <c r="O527" s="14"/>
      <c r="P527" s="14"/>
      <c r="Q527" s="14"/>
      <c r="R527" s="60"/>
    </row>
    <row r="528" ht="28.5" customHeight="1">
      <c r="A528" s="14"/>
      <c r="B528" s="14"/>
      <c r="C528" s="14"/>
      <c r="D528" s="14"/>
      <c r="E528" s="14"/>
      <c r="F528" s="14"/>
      <c r="G528" s="14"/>
      <c r="H528" s="14"/>
      <c r="I528" s="14"/>
      <c r="J528" s="14"/>
      <c r="K528" s="14"/>
      <c r="L528" s="14"/>
      <c r="M528" s="14"/>
      <c r="N528" s="14"/>
      <c r="O528" s="14"/>
      <c r="P528" s="14"/>
      <c r="Q528" s="14"/>
      <c r="R528" s="60"/>
    </row>
    <row r="529" ht="28.5" customHeight="1">
      <c r="A529" s="14"/>
      <c r="B529" s="14"/>
      <c r="C529" s="14"/>
      <c r="D529" s="14"/>
      <c r="E529" s="14"/>
      <c r="F529" s="14"/>
      <c r="G529" s="14"/>
      <c r="H529" s="14"/>
      <c r="I529" s="14"/>
      <c r="J529" s="14"/>
      <c r="K529" s="14"/>
      <c r="L529" s="14"/>
      <c r="M529" s="14"/>
      <c r="N529" s="14"/>
      <c r="O529" s="14"/>
      <c r="P529" s="14"/>
      <c r="Q529" s="14"/>
      <c r="R529" s="60"/>
    </row>
    <row r="530" ht="28.5" customHeight="1">
      <c r="A530" s="14"/>
      <c r="B530" s="14"/>
      <c r="C530" s="14"/>
      <c r="D530" s="14"/>
      <c r="E530" s="14"/>
      <c r="F530" s="14"/>
      <c r="G530" s="14"/>
      <c r="H530" s="14"/>
      <c r="I530" s="14"/>
      <c r="J530" s="14"/>
      <c r="K530" s="14"/>
      <c r="L530" s="14"/>
      <c r="M530" s="14"/>
      <c r="N530" s="14"/>
      <c r="O530" s="14"/>
      <c r="P530" s="14"/>
      <c r="Q530" s="14"/>
      <c r="R530" s="60"/>
    </row>
    <row r="531" ht="28.5" customHeight="1">
      <c r="A531" s="14"/>
      <c r="B531" s="14"/>
      <c r="C531" s="14"/>
      <c r="D531" s="14"/>
      <c r="E531" s="14"/>
      <c r="F531" s="14"/>
      <c r="G531" s="14"/>
      <c r="H531" s="14"/>
      <c r="I531" s="14"/>
      <c r="J531" s="14"/>
      <c r="K531" s="14"/>
      <c r="L531" s="14"/>
      <c r="M531" s="14"/>
      <c r="N531" s="14"/>
      <c r="O531" s="14"/>
      <c r="P531" s="14"/>
      <c r="Q531" s="14"/>
      <c r="R531" s="60"/>
    </row>
    <row r="532" ht="28.5" customHeight="1">
      <c r="A532" s="14"/>
      <c r="B532" s="14"/>
      <c r="C532" s="14"/>
      <c r="D532" s="14"/>
      <c r="E532" s="14"/>
      <c r="F532" s="14"/>
      <c r="G532" s="14"/>
      <c r="H532" s="14"/>
      <c r="I532" s="14"/>
      <c r="J532" s="14"/>
      <c r="K532" s="14"/>
      <c r="L532" s="14"/>
      <c r="M532" s="14"/>
      <c r="N532" s="14"/>
      <c r="O532" s="14"/>
      <c r="P532" s="14"/>
      <c r="Q532" s="14"/>
      <c r="R532" s="60"/>
    </row>
    <row r="533" ht="28.5" customHeight="1">
      <c r="A533" s="14"/>
      <c r="B533" s="14"/>
      <c r="C533" s="14"/>
      <c r="D533" s="14"/>
      <c r="E533" s="14"/>
      <c r="F533" s="14"/>
      <c r="G533" s="14"/>
      <c r="H533" s="14"/>
      <c r="I533" s="14"/>
      <c r="J533" s="14"/>
      <c r="K533" s="14"/>
      <c r="L533" s="14"/>
      <c r="M533" s="14"/>
      <c r="N533" s="14"/>
      <c r="O533" s="14"/>
      <c r="P533" s="14"/>
      <c r="Q533" s="14"/>
      <c r="R533" s="60"/>
    </row>
    <row r="534" ht="28.5" customHeight="1">
      <c r="A534" s="14"/>
      <c r="B534" s="14"/>
      <c r="C534" s="14"/>
      <c r="D534" s="14"/>
      <c r="E534" s="14"/>
      <c r="F534" s="14"/>
      <c r="G534" s="14"/>
      <c r="H534" s="14"/>
      <c r="I534" s="14"/>
      <c r="J534" s="14"/>
      <c r="K534" s="14"/>
      <c r="L534" s="14"/>
      <c r="M534" s="14"/>
      <c r="N534" s="14"/>
      <c r="O534" s="14"/>
      <c r="P534" s="14"/>
      <c r="Q534" s="14"/>
      <c r="R534" s="60"/>
    </row>
    <row r="535" ht="28.5" customHeight="1">
      <c r="A535" s="14"/>
      <c r="B535" s="14"/>
      <c r="C535" s="14"/>
      <c r="D535" s="14"/>
      <c r="E535" s="14"/>
      <c r="F535" s="14"/>
      <c r="G535" s="14"/>
      <c r="H535" s="14"/>
      <c r="I535" s="14"/>
      <c r="J535" s="14"/>
      <c r="K535" s="14"/>
      <c r="L535" s="14"/>
      <c r="M535" s="14"/>
      <c r="N535" s="14"/>
      <c r="O535" s="14"/>
      <c r="P535" s="14"/>
      <c r="Q535" s="14"/>
      <c r="R535" s="60"/>
    </row>
    <row r="536" ht="28.5" customHeight="1">
      <c r="A536" s="14"/>
      <c r="B536" s="14"/>
      <c r="C536" s="14"/>
      <c r="D536" s="14"/>
      <c r="E536" s="14"/>
      <c r="F536" s="14"/>
      <c r="G536" s="14"/>
      <c r="H536" s="14"/>
      <c r="I536" s="14"/>
      <c r="J536" s="14"/>
      <c r="K536" s="14"/>
      <c r="L536" s="14"/>
      <c r="M536" s="14"/>
      <c r="N536" s="14"/>
      <c r="O536" s="14"/>
      <c r="P536" s="14"/>
      <c r="Q536" s="14"/>
      <c r="R536" s="60"/>
    </row>
    <row r="537" ht="28.5" customHeight="1">
      <c r="A537" s="14"/>
      <c r="B537" s="14"/>
      <c r="C537" s="14"/>
      <c r="D537" s="14"/>
      <c r="E537" s="14"/>
      <c r="F537" s="14"/>
      <c r="G537" s="14"/>
      <c r="H537" s="14"/>
      <c r="I537" s="14"/>
      <c r="J537" s="14"/>
      <c r="K537" s="14"/>
      <c r="L537" s="14"/>
      <c r="M537" s="14"/>
      <c r="N537" s="14"/>
      <c r="O537" s="14"/>
      <c r="P537" s="14"/>
      <c r="Q537" s="14"/>
      <c r="R537" s="60"/>
    </row>
    <row r="538" ht="28.5" customHeight="1">
      <c r="A538" s="14"/>
      <c r="B538" s="14"/>
      <c r="C538" s="14"/>
      <c r="D538" s="14"/>
      <c r="E538" s="14"/>
      <c r="F538" s="14"/>
      <c r="G538" s="14"/>
      <c r="H538" s="14"/>
      <c r="I538" s="14"/>
      <c r="J538" s="14"/>
      <c r="K538" s="14"/>
      <c r="L538" s="14"/>
      <c r="M538" s="14"/>
      <c r="N538" s="14"/>
      <c r="O538" s="14"/>
      <c r="P538" s="14"/>
      <c r="Q538" s="14"/>
      <c r="R538" s="60"/>
    </row>
    <row r="539" ht="28.5" customHeight="1">
      <c r="A539" s="14"/>
      <c r="B539" s="14"/>
      <c r="C539" s="14"/>
      <c r="D539" s="14"/>
      <c r="E539" s="14"/>
      <c r="F539" s="14"/>
      <c r="G539" s="14"/>
      <c r="H539" s="14"/>
      <c r="I539" s="14"/>
      <c r="J539" s="14"/>
      <c r="K539" s="14"/>
      <c r="L539" s="14"/>
      <c r="M539" s="14"/>
      <c r="N539" s="14"/>
      <c r="O539" s="14"/>
      <c r="P539" s="14"/>
      <c r="Q539" s="14"/>
      <c r="R539" s="60"/>
    </row>
    <row r="540" ht="28.5" customHeight="1">
      <c r="A540" s="14"/>
      <c r="B540" s="14"/>
      <c r="C540" s="14"/>
      <c r="D540" s="14"/>
      <c r="E540" s="14"/>
      <c r="F540" s="14"/>
      <c r="G540" s="14"/>
      <c r="H540" s="14"/>
      <c r="I540" s="14"/>
      <c r="J540" s="14"/>
      <c r="K540" s="14"/>
      <c r="L540" s="14"/>
      <c r="M540" s="14"/>
      <c r="N540" s="14"/>
      <c r="O540" s="14"/>
      <c r="P540" s="14"/>
      <c r="Q540" s="14"/>
      <c r="R540" s="60"/>
    </row>
    <row r="541" ht="28.5" customHeight="1">
      <c r="A541" s="14"/>
      <c r="B541" s="14"/>
      <c r="C541" s="14"/>
      <c r="D541" s="14"/>
      <c r="E541" s="14"/>
      <c r="F541" s="14"/>
      <c r="G541" s="14"/>
      <c r="H541" s="14"/>
      <c r="I541" s="14"/>
      <c r="J541" s="14"/>
      <c r="K541" s="14"/>
      <c r="L541" s="14"/>
      <c r="M541" s="14"/>
      <c r="N541" s="14"/>
      <c r="O541" s="14"/>
      <c r="P541" s="14"/>
      <c r="Q541" s="14"/>
      <c r="R541" s="60"/>
    </row>
    <row r="542" ht="28.5" customHeight="1">
      <c r="A542" s="14"/>
      <c r="B542" s="14"/>
      <c r="C542" s="14"/>
      <c r="D542" s="14"/>
      <c r="E542" s="14"/>
      <c r="F542" s="14"/>
      <c r="G542" s="14"/>
      <c r="H542" s="14"/>
      <c r="I542" s="14"/>
      <c r="J542" s="14"/>
      <c r="K542" s="14"/>
      <c r="L542" s="14"/>
      <c r="M542" s="14"/>
      <c r="N542" s="14"/>
      <c r="O542" s="14"/>
      <c r="P542" s="14"/>
      <c r="Q542" s="14"/>
      <c r="R542" s="60"/>
    </row>
    <row r="543" ht="28.5" customHeight="1">
      <c r="A543" s="14"/>
      <c r="B543" s="14"/>
      <c r="C543" s="14"/>
      <c r="D543" s="14"/>
      <c r="E543" s="14"/>
      <c r="F543" s="14"/>
      <c r="G543" s="14"/>
      <c r="H543" s="14"/>
      <c r="I543" s="14"/>
      <c r="J543" s="14"/>
      <c r="K543" s="14"/>
      <c r="L543" s="14"/>
      <c r="M543" s="14"/>
      <c r="N543" s="14"/>
      <c r="O543" s="14"/>
      <c r="P543" s="14"/>
      <c r="Q543" s="14"/>
      <c r="R543" s="60"/>
    </row>
    <row r="544" ht="28.5" customHeight="1">
      <c r="A544" s="14"/>
      <c r="B544" s="14"/>
      <c r="C544" s="14"/>
      <c r="D544" s="14"/>
      <c r="E544" s="14"/>
      <c r="F544" s="14"/>
      <c r="G544" s="14"/>
      <c r="H544" s="14"/>
      <c r="I544" s="14"/>
      <c r="J544" s="14"/>
      <c r="K544" s="14"/>
      <c r="L544" s="14"/>
      <c r="M544" s="14"/>
      <c r="N544" s="14"/>
      <c r="O544" s="14"/>
      <c r="P544" s="14"/>
      <c r="Q544" s="14"/>
      <c r="R544" s="60"/>
    </row>
    <row r="545" ht="28.5" customHeight="1">
      <c r="A545" s="14"/>
      <c r="B545" s="14"/>
      <c r="C545" s="14"/>
      <c r="D545" s="14"/>
      <c r="E545" s="14"/>
      <c r="F545" s="14"/>
      <c r="G545" s="14"/>
      <c r="H545" s="14"/>
      <c r="I545" s="14"/>
      <c r="J545" s="14"/>
      <c r="K545" s="14"/>
      <c r="L545" s="14"/>
      <c r="M545" s="14"/>
      <c r="N545" s="14"/>
      <c r="O545" s="14"/>
      <c r="P545" s="14"/>
      <c r="Q545" s="14"/>
      <c r="R545" s="60"/>
    </row>
    <row r="546" ht="28.5" customHeight="1">
      <c r="A546" s="14"/>
      <c r="B546" s="14"/>
      <c r="C546" s="14"/>
      <c r="D546" s="14"/>
      <c r="E546" s="14"/>
      <c r="F546" s="14"/>
      <c r="G546" s="14"/>
      <c r="H546" s="14"/>
      <c r="I546" s="14"/>
      <c r="J546" s="14"/>
      <c r="K546" s="14"/>
      <c r="L546" s="14"/>
      <c r="M546" s="14"/>
      <c r="N546" s="14"/>
      <c r="O546" s="14"/>
      <c r="P546" s="14"/>
      <c r="Q546" s="14"/>
      <c r="R546" s="60"/>
    </row>
    <row r="547" ht="28.5" customHeight="1">
      <c r="A547" s="14"/>
      <c r="B547" s="14"/>
      <c r="C547" s="14"/>
      <c r="D547" s="14"/>
      <c r="E547" s="14"/>
      <c r="F547" s="14"/>
      <c r="G547" s="14"/>
      <c r="H547" s="14"/>
      <c r="I547" s="14"/>
      <c r="J547" s="14"/>
      <c r="K547" s="14"/>
      <c r="L547" s="14"/>
      <c r="M547" s="14"/>
      <c r="N547" s="14"/>
      <c r="O547" s="14"/>
      <c r="P547" s="14"/>
      <c r="Q547" s="14"/>
      <c r="R547" s="60"/>
    </row>
    <row r="548" ht="28.5" customHeight="1">
      <c r="A548" s="14"/>
      <c r="B548" s="14"/>
      <c r="C548" s="14"/>
      <c r="D548" s="14"/>
      <c r="E548" s="14"/>
      <c r="F548" s="14"/>
      <c r="G548" s="14"/>
      <c r="H548" s="14"/>
      <c r="I548" s="14"/>
      <c r="J548" s="14"/>
      <c r="K548" s="14"/>
      <c r="L548" s="14"/>
      <c r="M548" s="14"/>
      <c r="N548" s="14"/>
      <c r="O548" s="14"/>
      <c r="P548" s="14"/>
      <c r="Q548" s="14"/>
      <c r="R548" s="60"/>
    </row>
    <row r="549" ht="28.5" customHeight="1">
      <c r="A549" s="14"/>
      <c r="B549" s="14"/>
      <c r="C549" s="14"/>
      <c r="D549" s="14"/>
      <c r="E549" s="14"/>
      <c r="F549" s="14"/>
      <c r="G549" s="14"/>
      <c r="H549" s="14"/>
      <c r="I549" s="14"/>
      <c r="J549" s="14"/>
      <c r="K549" s="14"/>
      <c r="L549" s="14"/>
      <c r="M549" s="14"/>
      <c r="N549" s="14"/>
      <c r="O549" s="14"/>
      <c r="P549" s="14"/>
      <c r="Q549" s="14"/>
      <c r="R549" s="60"/>
    </row>
    <row r="550" ht="28.5" customHeight="1">
      <c r="A550" s="14"/>
      <c r="B550" s="14"/>
      <c r="C550" s="14"/>
      <c r="D550" s="14"/>
      <c r="E550" s="14"/>
      <c r="F550" s="14"/>
      <c r="G550" s="14"/>
      <c r="H550" s="14"/>
      <c r="I550" s="14"/>
      <c r="J550" s="14"/>
      <c r="K550" s="14"/>
      <c r="L550" s="14"/>
      <c r="M550" s="14"/>
      <c r="N550" s="14"/>
      <c r="O550" s="14"/>
      <c r="P550" s="14"/>
      <c r="Q550" s="14"/>
      <c r="R550" s="60"/>
    </row>
    <row r="551" ht="28.5" customHeight="1">
      <c r="A551" s="14"/>
      <c r="B551" s="14"/>
      <c r="C551" s="14"/>
      <c r="D551" s="14"/>
      <c r="E551" s="14"/>
      <c r="F551" s="14"/>
      <c r="G551" s="14"/>
      <c r="H551" s="14"/>
      <c r="I551" s="14"/>
      <c r="J551" s="14"/>
      <c r="K551" s="14"/>
      <c r="L551" s="14"/>
      <c r="M551" s="14"/>
      <c r="N551" s="14"/>
      <c r="O551" s="14"/>
      <c r="P551" s="14"/>
      <c r="Q551" s="14"/>
      <c r="R551" s="60"/>
    </row>
    <row r="552" ht="28.5" customHeight="1">
      <c r="A552" s="14"/>
      <c r="B552" s="14"/>
      <c r="C552" s="14"/>
      <c r="D552" s="14"/>
      <c r="E552" s="14"/>
      <c r="F552" s="14"/>
      <c r="G552" s="14"/>
      <c r="H552" s="14"/>
      <c r="I552" s="14"/>
      <c r="J552" s="14"/>
      <c r="K552" s="14"/>
      <c r="L552" s="14"/>
      <c r="M552" s="14"/>
      <c r="N552" s="14"/>
      <c r="O552" s="14"/>
      <c r="P552" s="14"/>
      <c r="Q552" s="14"/>
      <c r="R552" s="60"/>
    </row>
    <row r="553" ht="28.5" customHeight="1">
      <c r="A553" s="14"/>
      <c r="B553" s="14"/>
      <c r="C553" s="14"/>
      <c r="D553" s="14"/>
      <c r="E553" s="14"/>
      <c r="F553" s="14"/>
      <c r="G553" s="14"/>
      <c r="H553" s="14"/>
      <c r="I553" s="14"/>
      <c r="J553" s="14"/>
      <c r="K553" s="14"/>
      <c r="L553" s="14"/>
      <c r="M553" s="14"/>
      <c r="N553" s="14"/>
      <c r="O553" s="14"/>
      <c r="P553" s="14"/>
      <c r="Q553" s="14"/>
      <c r="R553" s="60"/>
    </row>
    <row r="554" ht="28.5" customHeight="1">
      <c r="A554" s="14"/>
      <c r="B554" s="14"/>
      <c r="C554" s="14"/>
      <c r="D554" s="14"/>
      <c r="E554" s="14"/>
      <c r="F554" s="14"/>
      <c r="G554" s="14"/>
      <c r="H554" s="14"/>
      <c r="I554" s="14"/>
      <c r="J554" s="14"/>
      <c r="K554" s="14"/>
      <c r="L554" s="14"/>
      <c r="M554" s="14"/>
      <c r="N554" s="14"/>
      <c r="O554" s="14"/>
      <c r="P554" s="14"/>
      <c r="Q554" s="14"/>
      <c r="R554" s="60"/>
    </row>
    <row r="555" ht="28.5" customHeight="1">
      <c r="A555" s="14"/>
      <c r="B555" s="14"/>
      <c r="C555" s="14"/>
      <c r="D555" s="14"/>
      <c r="E555" s="14"/>
      <c r="F555" s="14"/>
      <c r="G555" s="14"/>
      <c r="H555" s="14"/>
      <c r="I555" s="14"/>
      <c r="J555" s="14"/>
      <c r="K555" s="14"/>
      <c r="L555" s="14"/>
      <c r="M555" s="14"/>
      <c r="N555" s="14"/>
      <c r="O555" s="14"/>
      <c r="P555" s="14"/>
      <c r="Q555" s="14"/>
      <c r="R555" s="60"/>
    </row>
    <row r="556" ht="28.5" customHeight="1">
      <c r="A556" s="14"/>
      <c r="B556" s="14"/>
      <c r="C556" s="14"/>
      <c r="D556" s="14"/>
      <c r="E556" s="14"/>
      <c r="F556" s="14"/>
      <c r="G556" s="14"/>
      <c r="H556" s="14"/>
      <c r="I556" s="14"/>
      <c r="J556" s="14"/>
      <c r="K556" s="14"/>
      <c r="L556" s="14"/>
      <c r="M556" s="14"/>
      <c r="N556" s="14"/>
      <c r="O556" s="14"/>
      <c r="P556" s="14"/>
      <c r="Q556" s="14"/>
      <c r="R556" s="60"/>
    </row>
    <row r="557" ht="28.5" customHeight="1">
      <c r="A557" s="14"/>
      <c r="B557" s="14"/>
      <c r="C557" s="14"/>
      <c r="D557" s="14"/>
      <c r="E557" s="14"/>
      <c r="F557" s="14"/>
      <c r="G557" s="14"/>
      <c r="H557" s="14"/>
      <c r="I557" s="14"/>
      <c r="J557" s="14"/>
      <c r="K557" s="14"/>
      <c r="L557" s="14"/>
      <c r="M557" s="14"/>
      <c r="N557" s="14"/>
      <c r="O557" s="14"/>
      <c r="P557" s="14"/>
      <c r="Q557" s="14"/>
      <c r="R557" s="60"/>
    </row>
    <row r="558" ht="28.5" customHeight="1">
      <c r="A558" s="14"/>
      <c r="B558" s="14"/>
      <c r="C558" s="14"/>
      <c r="D558" s="14"/>
      <c r="E558" s="14"/>
      <c r="F558" s="14"/>
      <c r="G558" s="14"/>
      <c r="H558" s="14"/>
      <c r="I558" s="14"/>
      <c r="J558" s="14"/>
      <c r="K558" s="14"/>
      <c r="L558" s="14"/>
      <c r="M558" s="14"/>
      <c r="N558" s="14"/>
      <c r="O558" s="14"/>
      <c r="P558" s="14"/>
      <c r="Q558" s="14"/>
      <c r="R558" s="60"/>
    </row>
    <row r="559" ht="28.5" customHeight="1">
      <c r="A559" s="14"/>
      <c r="B559" s="14"/>
      <c r="C559" s="14"/>
      <c r="D559" s="14"/>
      <c r="E559" s="14"/>
      <c r="F559" s="14"/>
      <c r="G559" s="14"/>
      <c r="H559" s="14"/>
      <c r="I559" s="14"/>
      <c r="J559" s="14"/>
      <c r="K559" s="14"/>
      <c r="L559" s="14"/>
      <c r="M559" s="14"/>
      <c r="N559" s="14"/>
      <c r="O559" s="14"/>
      <c r="P559" s="14"/>
      <c r="Q559" s="14"/>
      <c r="R559" s="60"/>
    </row>
    <row r="560" ht="28.5" customHeight="1">
      <c r="A560" s="14"/>
      <c r="B560" s="14"/>
      <c r="C560" s="14"/>
      <c r="D560" s="14"/>
      <c r="E560" s="14"/>
      <c r="F560" s="14"/>
      <c r="G560" s="14"/>
      <c r="H560" s="14"/>
      <c r="I560" s="14"/>
      <c r="J560" s="14"/>
      <c r="K560" s="14"/>
      <c r="L560" s="14"/>
      <c r="M560" s="14"/>
      <c r="N560" s="14"/>
      <c r="O560" s="14"/>
      <c r="P560" s="14"/>
      <c r="Q560" s="14"/>
      <c r="R560" s="60"/>
    </row>
    <row r="561" ht="28.5" customHeight="1">
      <c r="A561" s="14"/>
      <c r="B561" s="14"/>
      <c r="C561" s="14"/>
      <c r="D561" s="14"/>
      <c r="E561" s="14"/>
      <c r="F561" s="14"/>
      <c r="G561" s="14"/>
      <c r="H561" s="14"/>
      <c r="I561" s="14"/>
      <c r="J561" s="14"/>
      <c r="K561" s="14"/>
      <c r="L561" s="14"/>
      <c r="M561" s="14"/>
      <c r="N561" s="14"/>
      <c r="O561" s="14"/>
      <c r="P561" s="14"/>
      <c r="Q561" s="14"/>
      <c r="R561" s="60"/>
    </row>
    <row r="562" ht="28.5" customHeight="1">
      <c r="A562" s="14"/>
      <c r="B562" s="14"/>
      <c r="C562" s="14"/>
      <c r="D562" s="14"/>
      <c r="E562" s="14"/>
      <c r="F562" s="14"/>
      <c r="G562" s="14"/>
      <c r="H562" s="14"/>
      <c r="I562" s="14"/>
      <c r="J562" s="14"/>
      <c r="K562" s="14"/>
      <c r="L562" s="14"/>
      <c r="M562" s="14"/>
      <c r="N562" s="14"/>
      <c r="O562" s="14"/>
      <c r="P562" s="14"/>
      <c r="Q562" s="14"/>
      <c r="R562" s="60"/>
    </row>
    <row r="563" ht="28.5" customHeight="1">
      <c r="A563" s="14"/>
      <c r="B563" s="14"/>
      <c r="C563" s="14"/>
      <c r="D563" s="14"/>
      <c r="E563" s="14"/>
      <c r="F563" s="14"/>
      <c r="G563" s="14"/>
      <c r="H563" s="14"/>
      <c r="I563" s="14"/>
      <c r="J563" s="14"/>
      <c r="K563" s="14"/>
      <c r="L563" s="14"/>
      <c r="M563" s="14"/>
      <c r="N563" s="14"/>
      <c r="O563" s="14"/>
      <c r="P563" s="14"/>
      <c r="Q563" s="14"/>
      <c r="R563" s="60"/>
    </row>
    <row r="564" ht="28.5" customHeight="1">
      <c r="A564" s="14"/>
      <c r="B564" s="14"/>
      <c r="C564" s="14"/>
      <c r="D564" s="14"/>
      <c r="E564" s="14"/>
      <c r="F564" s="14"/>
      <c r="G564" s="14"/>
      <c r="H564" s="14"/>
      <c r="I564" s="14"/>
      <c r="J564" s="14"/>
      <c r="K564" s="14"/>
      <c r="L564" s="14"/>
      <c r="M564" s="14"/>
      <c r="N564" s="14"/>
      <c r="O564" s="14"/>
      <c r="P564" s="14"/>
      <c r="Q564" s="14"/>
      <c r="R564" s="60"/>
    </row>
    <row r="565" ht="28.5" customHeight="1">
      <c r="A565" s="14"/>
      <c r="B565" s="14"/>
      <c r="C565" s="14"/>
      <c r="D565" s="14"/>
      <c r="E565" s="14"/>
      <c r="F565" s="14"/>
      <c r="G565" s="14"/>
      <c r="H565" s="14"/>
      <c r="I565" s="14"/>
      <c r="J565" s="14"/>
      <c r="K565" s="14"/>
      <c r="L565" s="14"/>
      <c r="M565" s="14"/>
      <c r="N565" s="14"/>
      <c r="O565" s="14"/>
      <c r="P565" s="14"/>
      <c r="Q565" s="14"/>
      <c r="R565" s="60"/>
    </row>
    <row r="566" ht="28.5" customHeight="1">
      <c r="A566" s="14"/>
      <c r="B566" s="14"/>
      <c r="C566" s="14"/>
      <c r="D566" s="14"/>
      <c r="E566" s="14"/>
      <c r="F566" s="14"/>
      <c r="G566" s="14"/>
      <c r="H566" s="14"/>
      <c r="I566" s="14"/>
      <c r="J566" s="14"/>
      <c r="K566" s="14"/>
      <c r="L566" s="14"/>
      <c r="M566" s="14"/>
      <c r="N566" s="14"/>
      <c r="O566" s="14"/>
      <c r="P566" s="14"/>
      <c r="Q566" s="14"/>
      <c r="R566" s="60"/>
    </row>
    <row r="567" ht="28.5" customHeight="1">
      <c r="A567" s="14"/>
      <c r="B567" s="14"/>
      <c r="C567" s="14"/>
      <c r="D567" s="14"/>
      <c r="E567" s="14"/>
      <c r="F567" s="14"/>
      <c r="G567" s="14"/>
      <c r="H567" s="14"/>
      <c r="I567" s="14"/>
      <c r="J567" s="14"/>
      <c r="K567" s="14"/>
      <c r="L567" s="14"/>
      <c r="M567" s="14"/>
      <c r="N567" s="14"/>
      <c r="O567" s="14"/>
      <c r="P567" s="14"/>
      <c r="Q567" s="14"/>
      <c r="R567" s="60"/>
    </row>
    <row r="568" ht="28.5" customHeight="1">
      <c r="A568" s="14"/>
      <c r="B568" s="14"/>
      <c r="C568" s="14"/>
      <c r="D568" s="14"/>
      <c r="E568" s="14"/>
      <c r="F568" s="14"/>
      <c r="G568" s="14"/>
      <c r="H568" s="14"/>
      <c r="I568" s="14"/>
      <c r="J568" s="14"/>
      <c r="K568" s="14"/>
      <c r="L568" s="14"/>
      <c r="M568" s="14"/>
      <c r="N568" s="14"/>
      <c r="O568" s="14"/>
      <c r="P568" s="14"/>
      <c r="Q568" s="14"/>
      <c r="R568" s="60"/>
    </row>
    <row r="569" ht="28.5" customHeight="1">
      <c r="A569" s="14"/>
      <c r="B569" s="14"/>
      <c r="C569" s="14"/>
      <c r="D569" s="14"/>
      <c r="E569" s="14"/>
      <c r="F569" s="14"/>
      <c r="G569" s="14"/>
      <c r="H569" s="14"/>
      <c r="I569" s="14"/>
      <c r="J569" s="14"/>
      <c r="K569" s="14"/>
      <c r="L569" s="14"/>
      <c r="M569" s="14"/>
      <c r="N569" s="14"/>
      <c r="O569" s="14"/>
      <c r="P569" s="14"/>
      <c r="Q569" s="14"/>
      <c r="R569" s="60"/>
    </row>
    <row r="570" ht="28.5" customHeight="1">
      <c r="A570" s="14"/>
      <c r="B570" s="14"/>
      <c r="C570" s="14"/>
      <c r="D570" s="14"/>
      <c r="E570" s="14"/>
      <c r="F570" s="14"/>
      <c r="G570" s="14"/>
      <c r="H570" s="14"/>
      <c r="I570" s="14"/>
      <c r="J570" s="14"/>
      <c r="K570" s="14"/>
      <c r="L570" s="14"/>
      <c r="M570" s="14"/>
      <c r="N570" s="14"/>
      <c r="O570" s="14"/>
      <c r="P570" s="14"/>
      <c r="Q570" s="14"/>
      <c r="R570" s="60"/>
    </row>
    <row r="571" ht="28.5" customHeight="1">
      <c r="A571" s="14"/>
      <c r="B571" s="14"/>
      <c r="C571" s="14"/>
      <c r="D571" s="14"/>
      <c r="E571" s="14"/>
      <c r="F571" s="14"/>
      <c r="G571" s="14"/>
      <c r="H571" s="14"/>
      <c r="I571" s="14"/>
      <c r="J571" s="14"/>
      <c r="K571" s="14"/>
      <c r="L571" s="14"/>
      <c r="M571" s="14"/>
      <c r="N571" s="14"/>
      <c r="O571" s="14"/>
      <c r="P571" s="14"/>
      <c r="Q571" s="14"/>
      <c r="R571" s="60"/>
    </row>
    <row r="572" ht="28.5" customHeight="1">
      <c r="A572" s="14"/>
      <c r="B572" s="14"/>
      <c r="C572" s="14"/>
      <c r="D572" s="14"/>
      <c r="E572" s="14"/>
      <c r="F572" s="14"/>
      <c r="G572" s="14"/>
      <c r="H572" s="14"/>
      <c r="I572" s="14"/>
      <c r="J572" s="14"/>
      <c r="K572" s="14"/>
      <c r="L572" s="14"/>
      <c r="M572" s="14"/>
      <c r="N572" s="14"/>
      <c r="O572" s="14"/>
      <c r="P572" s="14"/>
      <c r="Q572" s="14"/>
      <c r="R572" s="60"/>
    </row>
    <row r="573" ht="28.5" customHeight="1">
      <c r="A573" s="14"/>
      <c r="B573" s="14"/>
      <c r="C573" s="14"/>
      <c r="D573" s="14"/>
      <c r="E573" s="14"/>
      <c r="F573" s="14"/>
      <c r="G573" s="14"/>
      <c r="H573" s="14"/>
      <c r="I573" s="14"/>
      <c r="J573" s="14"/>
      <c r="K573" s="14"/>
      <c r="L573" s="14"/>
      <c r="M573" s="14"/>
      <c r="N573" s="14"/>
      <c r="O573" s="14"/>
      <c r="P573" s="14"/>
      <c r="Q573" s="14"/>
      <c r="R573" s="60"/>
    </row>
    <row r="574" ht="28.5" customHeight="1">
      <c r="A574" s="14"/>
      <c r="B574" s="14"/>
      <c r="C574" s="14"/>
      <c r="D574" s="14"/>
      <c r="E574" s="14"/>
      <c r="F574" s="14"/>
      <c r="G574" s="14"/>
      <c r="H574" s="14"/>
      <c r="I574" s="14"/>
      <c r="J574" s="14"/>
      <c r="K574" s="14"/>
      <c r="L574" s="14"/>
      <c r="M574" s="14"/>
      <c r="N574" s="14"/>
      <c r="O574" s="14"/>
      <c r="P574" s="14"/>
      <c r="Q574" s="14"/>
      <c r="R574" s="60"/>
    </row>
    <row r="575" ht="28.5" customHeight="1">
      <c r="A575" s="14"/>
      <c r="B575" s="14"/>
      <c r="C575" s="14"/>
      <c r="D575" s="14"/>
      <c r="E575" s="14"/>
      <c r="F575" s="14"/>
      <c r="G575" s="14"/>
      <c r="H575" s="14"/>
      <c r="I575" s="14"/>
      <c r="J575" s="14"/>
      <c r="K575" s="14"/>
      <c r="L575" s="14"/>
      <c r="M575" s="14"/>
      <c r="N575" s="14"/>
      <c r="O575" s="14"/>
      <c r="P575" s="14"/>
      <c r="Q575" s="14"/>
      <c r="R575" s="60"/>
    </row>
    <row r="576" ht="28.5" customHeight="1">
      <c r="A576" s="14"/>
      <c r="B576" s="14"/>
      <c r="C576" s="14"/>
      <c r="D576" s="14"/>
      <c r="E576" s="14"/>
      <c r="F576" s="14"/>
      <c r="G576" s="14"/>
      <c r="H576" s="14"/>
      <c r="I576" s="14"/>
      <c r="J576" s="14"/>
      <c r="K576" s="14"/>
      <c r="L576" s="14"/>
      <c r="M576" s="14"/>
      <c r="N576" s="14"/>
      <c r="O576" s="14"/>
      <c r="P576" s="14"/>
      <c r="Q576" s="14"/>
      <c r="R576" s="60"/>
    </row>
    <row r="577" ht="28.5" customHeight="1">
      <c r="A577" s="14"/>
      <c r="B577" s="14"/>
      <c r="C577" s="14"/>
      <c r="D577" s="14"/>
      <c r="E577" s="14"/>
      <c r="F577" s="14"/>
      <c r="G577" s="14"/>
      <c r="H577" s="14"/>
      <c r="I577" s="14"/>
      <c r="J577" s="14"/>
      <c r="K577" s="14"/>
      <c r="L577" s="14"/>
      <c r="M577" s="14"/>
      <c r="N577" s="14"/>
      <c r="O577" s="14"/>
      <c r="P577" s="14"/>
      <c r="Q577" s="14"/>
      <c r="R577" s="60"/>
    </row>
    <row r="578" ht="28.5" customHeight="1">
      <c r="A578" s="14"/>
      <c r="B578" s="14"/>
      <c r="C578" s="14"/>
      <c r="D578" s="14"/>
      <c r="E578" s="14"/>
      <c r="F578" s="14"/>
      <c r="G578" s="14"/>
      <c r="H578" s="14"/>
      <c r="I578" s="14"/>
      <c r="J578" s="14"/>
      <c r="K578" s="14"/>
      <c r="L578" s="14"/>
      <c r="M578" s="14"/>
      <c r="N578" s="14"/>
      <c r="O578" s="14"/>
      <c r="P578" s="14"/>
      <c r="Q578" s="14"/>
      <c r="R578" s="60"/>
    </row>
    <row r="579" ht="28.5" customHeight="1">
      <c r="A579" s="14"/>
      <c r="B579" s="14"/>
      <c r="C579" s="14"/>
      <c r="D579" s="14"/>
      <c r="E579" s="14"/>
      <c r="F579" s="14"/>
      <c r="G579" s="14"/>
      <c r="H579" s="14"/>
      <c r="I579" s="14"/>
      <c r="J579" s="14"/>
      <c r="K579" s="14"/>
      <c r="L579" s="14"/>
      <c r="M579" s="14"/>
      <c r="N579" s="14"/>
      <c r="O579" s="14"/>
      <c r="P579" s="14"/>
      <c r="Q579" s="14"/>
      <c r="R579" s="60"/>
    </row>
    <row r="580" ht="28.5" customHeight="1">
      <c r="A580" s="14"/>
      <c r="B580" s="14"/>
      <c r="C580" s="14"/>
      <c r="D580" s="14"/>
      <c r="E580" s="14"/>
      <c r="F580" s="14"/>
      <c r="G580" s="14"/>
      <c r="H580" s="14"/>
      <c r="I580" s="14"/>
      <c r="J580" s="14"/>
      <c r="K580" s="14"/>
      <c r="L580" s="14"/>
      <c r="M580" s="14"/>
      <c r="N580" s="14"/>
      <c r="O580" s="14"/>
      <c r="P580" s="14"/>
      <c r="Q580" s="14"/>
      <c r="R580" s="60"/>
    </row>
    <row r="581" ht="28.5" customHeight="1">
      <c r="A581" s="14"/>
      <c r="B581" s="14"/>
      <c r="C581" s="14"/>
      <c r="D581" s="14"/>
      <c r="E581" s="14"/>
      <c r="F581" s="14"/>
      <c r="G581" s="14"/>
      <c r="H581" s="14"/>
      <c r="I581" s="14"/>
      <c r="J581" s="14"/>
      <c r="K581" s="14"/>
      <c r="L581" s="14"/>
      <c r="M581" s="14"/>
      <c r="N581" s="14"/>
      <c r="O581" s="14"/>
      <c r="P581" s="14"/>
      <c r="Q581" s="14"/>
      <c r="R581" s="60"/>
    </row>
    <row r="582" ht="28.5" customHeight="1">
      <c r="A582" s="14"/>
      <c r="B582" s="14"/>
      <c r="C582" s="14"/>
      <c r="D582" s="14"/>
      <c r="E582" s="14"/>
      <c r="F582" s="14"/>
      <c r="G582" s="14"/>
      <c r="H582" s="14"/>
      <c r="I582" s="14"/>
      <c r="J582" s="14"/>
      <c r="K582" s="14"/>
      <c r="L582" s="14"/>
      <c r="M582" s="14"/>
      <c r="N582" s="14"/>
      <c r="O582" s="14"/>
      <c r="P582" s="14"/>
      <c r="Q582" s="14"/>
      <c r="R582" s="60"/>
    </row>
    <row r="583" ht="28.5" customHeight="1">
      <c r="A583" s="14"/>
      <c r="B583" s="14"/>
      <c r="C583" s="14"/>
      <c r="D583" s="14"/>
      <c r="E583" s="14"/>
      <c r="F583" s="14"/>
      <c r="G583" s="14"/>
      <c r="H583" s="14"/>
      <c r="I583" s="14"/>
      <c r="J583" s="14"/>
      <c r="K583" s="14"/>
      <c r="L583" s="14"/>
      <c r="M583" s="14"/>
      <c r="N583" s="14"/>
      <c r="O583" s="14"/>
      <c r="P583" s="14"/>
      <c r="Q583" s="14"/>
      <c r="R583" s="60"/>
    </row>
    <row r="584" ht="28.5" customHeight="1">
      <c r="A584" s="14"/>
      <c r="B584" s="14"/>
      <c r="C584" s="14"/>
      <c r="D584" s="14"/>
      <c r="E584" s="14"/>
      <c r="F584" s="14"/>
      <c r="G584" s="14"/>
      <c r="H584" s="14"/>
      <c r="I584" s="14"/>
      <c r="J584" s="14"/>
      <c r="K584" s="14"/>
      <c r="L584" s="14"/>
      <c r="M584" s="14"/>
      <c r="N584" s="14"/>
      <c r="O584" s="14"/>
      <c r="P584" s="14"/>
      <c r="Q584" s="14"/>
      <c r="R584" s="60"/>
    </row>
    <row r="585" ht="28.5" customHeight="1">
      <c r="A585" s="14"/>
      <c r="B585" s="14"/>
      <c r="C585" s="14"/>
      <c r="D585" s="14"/>
      <c r="E585" s="14"/>
      <c r="F585" s="14"/>
      <c r="G585" s="14"/>
      <c r="H585" s="14"/>
      <c r="I585" s="14"/>
      <c r="J585" s="14"/>
      <c r="K585" s="14"/>
      <c r="L585" s="14"/>
      <c r="M585" s="14"/>
      <c r="N585" s="14"/>
      <c r="O585" s="14"/>
      <c r="P585" s="14"/>
      <c r="Q585" s="14"/>
      <c r="R585" s="60"/>
    </row>
    <row r="586" ht="28.5" customHeight="1">
      <c r="A586" s="14"/>
      <c r="B586" s="14"/>
      <c r="C586" s="14"/>
      <c r="D586" s="14"/>
      <c r="E586" s="14"/>
      <c r="F586" s="14"/>
      <c r="G586" s="14"/>
      <c r="H586" s="14"/>
      <c r="I586" s="14"/>
      <c r="J586" s="14"/>
      <c r="K586" s="14"/>
      <c r="L586" s="14"/>
      <c r="M586" s="14"/>
      <c r="N586" s="14"/>
      <c r="O586" s="14"/>
      <c r="P586" s="14"/>
      <c r="Q586" s="14"/>
      <c r="R586" s="60"/>
    </row>
    <row r="587" ht="28.5" customHeight="1">
      <c r="A587" s="14"/>
      <c r="B587" s="14"/>
      <c r="C587" s="14"/>
      <c r="D587" s="14"/>
      <c r="E587" s="14"/>
      <c r="F587" s="14"/>
      <c r="G587" s="14"/>
      <c r="H587" s="14"/>
      <c r="I587" s="14"/>
      <c r="J587" s="14"/>
      <c r="K587" s="14"/>
      <c r="L587" s="14"/>
      <c r="M587" s="14"/>
      <c r="N587" s="14"/>
      <c r="O587" s="14"/>
      <c r="P587" s="14"/>
      <c r="Q587" s="14"/>
      <c r="R587" s="60"/>
    </row>
    <row r="588" ht="28.5" customHeight="1">
      <c r="A588" s="14"/>
      <c r="B588" s="14"/>
      <c r="C588" s="14"/>
      <c r="D588" s="14"/>
      <c r="E588" s="14"/>
      <c r="F588" s="14"/>
      <c r="G588" s="14"/>
      <c r="H588" s="14"/>
      <c r="I588" s="14"/>
      <c r="J588" s="14"/>
      <c r="K588" s="14"/>
      <c r="L588" s="14"/>
      <c r="M588" s="14"/>
      <c r="N588" s="14"/>
      <c r="O588" s="14"/>
      <c r="P588" s="14"/>
      <c r="Q588" s="14"/>
      <c r="R588" s="60"/>
    </row>
    <row r="589" ht="28.5" customHeight="1">
      <c r="A589" s="14"/>
      <c r="B589" s="14"/>
      <c r="C589" s="14"/>
      <c r="D589" s="14"/>
      <c r="E589" s="14"/>
      <c r="F589" s="14"/>
      <c r="G589" s="14"/>
      <c r="H589" s="14"/>
      <c r="I589" s="14"/>
      <c r="J589" s="14"/>
      <c r="K589" s="14"/>
      <c r="L589" s="14"/>
      <c r="M589" s="14"/>
      <c r="N589" s="14"/>
      <c r="O589" s="14"/>
      <c r="P589" s="14"/>
      <c r="Q589" s="14"/>
      <c r="R589" s="60"/>
    </row>
    <row r="590" ht="28.5" customHeight="1">
      <c r="A590" s="14"/>
      <c r="B590" s="14"/>
      <c r="C590" s="14"/>
      <c r="D590" s="14"/>
      <c r="E590" s="14"/>
      <c r="F590" s="14"/>
      <c r="G590" s="14"/>
      <c r="H590" s="14"/>
      <c r="I590" s="14"/>
      <c r="J590" s="14"/>
      <c r="K590" s="14"/>
      <c r="L590" s="14"/>
      <c r="M590" s="14"/>
      <c r="N590" s="14"/>
      <c r="O590" s="14"/>
      <c r="P590" s="14"/>
      <c r="Q590" s="14"/>
      <c r="R590" s="60"/>
    </row>
    <row r="591" ht="28.5" customHeight="1">
      <c r="A591" s="14"/>
      <c r="B591" s="14"/>
      <c r="C591" s="14"/>
      <c r="D591" s="14"/>
      <c r="E591" s="14"/>
      <c r="F591" s="14"/>
      <c r="G591" s="14"/>
      <c r="H591" s="14"/>
      <c r="I591" s="14"/>
      <c r="J591" s="14"/>
      <c r="K591" s="14"/>
      <c r="L591" s="14"/>
      <c r="M591" s="14"/>
      <c r="N591" s="14"/>
      <c r="O591" s="14"/>
      <c r="P591" s="14"/>
      <c r="Q591" s="14"/>
      <c r="R591" s="60"/>
    </row>
    <row r="592" ht="28.5" customHeight="1">
      <c r="A592" s="14"/>
      <c r="B592" s="14"/>
      <c r="C592" s="14"/>
      <c r="D592" s="14"/>
      <c r="E592" s="14"/>
      <c r="F592" s="14"/>
      <c r="G592" s="14"/>
      <c r="H592" s="14"/>
      <c r="I592" s="14"/>
      <c r="J592" s="14"/>
      <c r="K592" s="14"/>
      <c r="L592" s="14"/>
      <c r="M592" s="14"/>
      <c r="N592" s="14"/>
      <c r="O592" s="14"/>
      <c r="P592" s="14"/>
      <c r="Q592" s="14"/>
      <c r="R592" s="60"/>
    </row>
    <row r="593" ht="28.5" customHeight="1">
      <c r="A593" s="14"/>
      <c r="B593" s="14"/>
      <c r="C593" s="14"/>
      <c r="D593" s="14"/>
      <c r="E593" s="14"/>
      <c r="F593" s="14"/>
      <c r="G593" s="14"/>
      <c r="H593" s="14"/>
      <c r="I593" s="14"/>
      <c r="J593" s="14"/>
      <c r="K593" s="14"/>
      <c r="L593" s="14"/>
      <c r="M593" s="14"/>
      <c r="N593" s="14"/>
      <c r="O593" s="14"/>
      <c r="P593" s="14"/>
      <c r="Q593" s="14"/>
      <c r="R593" s="60"/>
    </row>
    <row r="594" ht="28.5" customHeight="1">
      <c r="A594" s="14"/>
      <c r="B594" s="14"/>
      <c r="C594" s="14"/>
      <c r="D594" s="14"/>
      <c r="E594" s="14"/>
      <c r="F594" s="14"/>
      <c r="G594" s="14"/>
      <c r="H594" s="14"/>
      <c r="I594" s="14"/>
      <c r="J594" s="14"/>
      <c r="K594" s="14"/>
      <c r="L594" s="14"/>
      <c r="M594" s="14"/>
      <c r="N594" s="14"/>
      <c r="O594" s="14"/>
      <c r="P594" s="14"/>
      <c r="Q594" s="14"/>
      <c r="R594" s="60"/>
    </row>
    <row r="595" ht="28.5" customHeight="1">
      <c r="A595" s="14"/>
      <c r="B595" s="14"/>
      <c r="C595" s="14"/>
      <c r="D595" s="14"/>
      <c r="E595" s="14"/>
      <c r="F595" s="14"/>
      <c r="G595" s="14"/>
      <c r="H595" s="14"/>
      <c r="I595" s="14"/>
      <c r="J595" s="14"/>
      <c r="K595" s="14"/>
      <c r="L595" s="14"/>
      <c r="M595" s="14"/>
      <c r="N595" s="14"/>
      <c r="O595" s="14"/>
      <c r="P595" s="14"/>
      <c r="Q595" s="14"/>
      <c r="R595" s="60"/>
    </row>
    <row r="596" ht="28.5" customHeight="1">
      <c r="A596" s="14"/>
      <c r="B596" s="14"/>
      <c r="C596" s="14"/>
      <c r="D596" s="14"/>
      <c r="E596" s="14"/>
      <c r="F596" s="14"/>
      <c r="G596" s="14"/>
      <c r="H596" s="14"/>
      <c r="I596" s="14"/>
      <c r="J596" s="14"/>
      <c r="K596" s="14"/>
      <c r="L596" s="14"/>
      <c r="M596" s="14"/>
      <c r="N596" s="14"/>
      <c r="O596" s="14"/>
      <c r="P596" s="14"/>
      <c r="Q596" s="14"/>
      <c r="R596" s="60"/>
    </row>
    <row r="597" ht="28.5" customHeight="1">
      <c r="A597" s="14"/>
      <c r="B597" s="14"/>
      <c r="C597" s="14"/>
      <c r="D597" s="14"/>
      <c r="E597" s="14"/>
      <c r="F597" s="14"/>
      <c r="G597" s="14"/>
      <c r="H597" s="14"/>
      <c r="I597" s="14"/>
      <c r="J597" s="14"/>
      <c r="K597" s="14"/>
      <c r="L597" s="14"/>
      <c r="M597" s="14"/>
      <c r="N597" s="14"/>
      <c r="O597" s="14"/>
      <c r="P597" s="14"/>
      <c r="Q597" s="14"/>
      <c r="R597" s="60"/>
    </row>
    <row r="598" ht="28.5" customHeight="1">
      <c r="A598" s="14"/>
      <c r="B598" s="14"/>
      <c r="C598" s="14"/>
      <c r="D598" s="14"/>
      <c r="E598" s="14"/>
      <c r="F598" s="14"/>
      <c r="G598" s="14"/>
      <c r="H598" s="14"/>
      <c r="I598" s="14"/>
      <c r="J598" s="14"/>
      <c r="K598" s="14"/>
      <c r="L598" s="14"/>
      <c r="M598" s="14"/>
      <c r="N598" s="14"/>
      <c r="O598" s="14"/>
      <c r="P598" s="14"/>
      <c r="Q598" s="14"/>
      <c r="R598" s="60"/>
    </row>
    <row r="599" ht="28.5" customHeight="1">
      <c r="A599" s="14"/>
      <c r="B599" s="14"/>
      <c r="C599" s="14"/>
      <c r="D599" s="14"/>
      <c r="E599" s="14"/>
      <c r="F599" s="14"/>
      <c r="G599" s="14"/>
      <c r="H599" s="14"/>
      <c r="I599" s="14"/>
      <c r="J599" s="14"/>
      <c r="K599" s="14"/>
      <c r="L599" s="14"/>
      <c r="M599" s="14"/>
      <c r="N599" s="14"/>
      <c r="O599" s="14"/>
      <c r="P599" s="14"/>
      <c r="Q599" s="14"/>
      <c r="R599" s="60"/>
    </row>
    <row r="600" ht="28.5" customHeight="1">
      <c r="A600" s="14"/>
      <c r="B600" s="14"/>
      <c r="C600" s="14"/>
      <c r="D600" s="14"/>
      <c r="E600" s="14"/>
      <c r="F600" s="14"/>
      <c r="G600" s="14"/>
      <c r="H600" s="14"/>
      <c r="I600" s="14"/>
      <c r="J600" s="14"/>
      <c r="K600" s="14"/>
      <c r="L600" s="14"/>
      <c r="M600" s="14"/>
      <c r="N600" s="14"/>
      <c r="O600" s="14"/>
      <c r="P600" s="14"/>
      <c r="Q600" s="14"/>
      <c r="R600" s="60"/>
    </row>
    <row r="601" ht="28.5" customHeight="1">
      <c r="A601" s="14"/>
      <c r="B601" s="14"/>
      <c r="C601" s="14"/>
      <c r="D601" s="14"/>
      <c r="E601" s="14"/>
      <c r="F601" s="14"/>
      <c r="G601" s="14"/>
      <c r="H601" s="14"/>
      <c r="I601" s="14"/>
      <c r="J601" s="14"/>
      <c r="K601" s="14"/>
      <c r="L601" s="14"/>
      <c r="M601" s="14"/>
      <c r="N601" s="14"/>
      <c r="O601" s="14"/>
      <c r="P601" s="14"/>
      <c r="Q601" s="14"/>
      <c r="R601" s="60"/>
    </row>
    <row r="602" ht="28.5" customHeight="1">
      <c r="A602" s="14"/>
      <c r="B602" s="14"/>
      <c r="C602" s="14"/>
      <c r="D602" s="14"/>
      <c r="E602" s="14"/>
      <c r="F602" s="14"/>
      <c r="G602" s="14"/>
      <c r="H602" s="14"/>
      <c r="I602" s="14"/>
      <c r="J602" s="14"/>
      <c r="K602" s="14"/>
      <c r="L602" s="14"/>
      <c r="M602" s="14"/>
      <c r="N602" s="14"/>
      <c r="O602" s="14"/>
      <c r="P602" s="14"/>
      <c r="Q602" s="14"/>
      <c r="R602" s="60"/>
    </row>
    <row r="603" ht="28.5" customHeight="1">
      <c r="A603" s="14"/>
      <c r="B603" s="14"/>
      <c r="C603" s="14"/>
      <c r="D603" s="14"/>
      <c r="E603" s="14"/>
      <c r="F603" s="14"/>
      <c r="G603" s="14"/>
      <c r="H603" s="14"/>
      <c r="I603" s="14"/>
      <c r="J603" s="14"/>
      <c r="K603" s="14"/>
      <c r="L603" s="14"/>
      <c r="M603" s="14"/>
      <c r="N603" s="14"/>
      <c r="O603" s="14"/>
      <c r="P603" s="14"/>
      <c r="Q603" s="14"/>
      <c r="R603" s="60"/>
    </row>
    <row r="604" ht="28.5" customHeight="1">
      <c r="A604" s="14"/>
      <c r="B604" s="14"/>
      <c r="C604" s="14"/>
      <c r="D604" s="14"/>
      <c r="E604" s="14"/>
      <c r="F604" s="14"/>
      <c r="G604" s="14"/>
      <c r="H604" s="14"/>
      <c r="I604" s="14"/>
      <c r="J604" s="14"/>
      <c r="K604" s="14"/>
      <c r="L604" s="14"/>
      <c r="M604" s="14"/>
      <c r="N604" s="14"/>
      <c r="O604" s="14"/>
      <c r="P604" s="14"/>
      <c r="Q604" s="14"/>
      <c r="R604" s="60"/>
    </row>
    <row r="605" ht="28.5" customHeight="1">
      <c r="A605" s="14"/>
      <c r="B605" s="14"/>
      <c r="C605" s="14"/>
      <c r="D605" s="14"/>
      <c r="E605" s="14"/>
      <c r="F605" s="14"/>
      <c r="G605" s="14"/>
      <c r="H605" s="14"/>
      <c r="I605" s="14"/>
      <c r="J605" s="14"/>
      <c r="K605" s="14"/>
      <c r="L605" s="14"/>
      <c r="M605" s="14"/>
      <c r="N605" s="14"/>
      <c r="O605" s="14"/>
      <c r="P605" s="14"/>
      <c r="Q605" s="14"/>
      <c r="R605" s="60"/>
    </row>
    <row r="606" ht="28.5" customHeight="1">
      <c r="A606" s="14"/>
      <c r="B606" s="14"/>
      <c r="C606" s="14"/>
      <c r="D606" s="14"/>
      <c r="E606" s="14"/>
      <c r="F606" s="14"/>
      <c r="G606" s="14"/>
      <c r="H606" s="14"/>
      <c r="I606" s="14"/>
      <c r="J606" s="14"/>
      <c r="K606" s="14"/>
      <c r="L606" s="14"/>
      <c r="M606" s="14"/>
      <c r="N606" s="14"/>
      <c r="O606" s="14"/>
      <c r="P606" s="14"/>
      <c r="Q606" s="14"/>
      <c r="R606" s="60"/>
    </row>
    <row r="607" ht="28.5" customHeight="1">
      <c r="A607" s="14"/>
      <c r="B607" s="14"/>
      <c r="C607" s="14"/>
      <c r="D607" s="14"/>
      <c r="E607" s="14"/>
      <c r="F607" s="14"/>
      <c r="G607" s="14"/>
      <c r="H607" s="14"/>
      <c r="I607" s="14"/>
      <c r="J607" s="14"/>
      <c r="K607" s="14"/>
      <c r="L607" s="14"/>
      <c r="M607" s="14"/>
      <c r="N607" s="14"/>
      <c r="O607" s="14"/>
      <c r="P607" s="14"/>
      <c r="Q607" s="14"/>
      <c r="R607" s="60"/>
    </row>
    <row r="608" ht="28.5" customHeight="1">
      <c r="A608" s="14"/>
      <c r="B608" s="14"/>
      <c r="C608" s="14"/>
      <c r="D608" s="14"/>
      <c r="E608" s="14"/>
      <c r="F608" s="14"/>
      <c r="G608" s="14"/>
      <c r="H608" s="14"/>
      <c r="I608" s="14"/>
      <c r="J608" s="14"/>
      <c r="K608" s="14"/>
      <c r="L608" s="14"/>
      <c r="M608" s="14"/>
      <c r="N608" s="14"/>
      <c r="O608" s="14"/>
      <c r="P608" s="14"/>
      <c r="Q608" s="14"/>
      <c r="R608" s="60"/>
    </row>
    <row r="609" ht="28.5" customHeight="1">
      <c r="A609" s="14"/>
      <c r="B609" s="14"/>
      <c r="C609" s="14"/>
      <c r="D609" s="14"/>
      <c r="E609" s="14"/>
      <c r="F609" s="14"/>
      <c r="G609" s="14"/>
      <c r="H609" s="14"/>
      <c r="I609" s="14"/>
      <c r="J609" s="14"/>
      <c r="K609" s="14"/>
      <c r="L609" s="14"/>
      <c r="M609" s="14"/>
      <c r="N609" s="14"/>
      <c r="O609" s="14"/>
      <c r="P609" s="14"/>
      <c r="Q609" s="14"/>
      <c r="R609" s="60"/>
    </row>
    <row r="610" ht="28.5" customHeight="1">
      <c r="A610" s="14"/>
      <c r="B610" s="14"/>
      <c r="C610" s="14"/>
      <c r="D610" s="14"/>
      <c r="E610" s="14"/>
      <c r="F610" s="14"/>
      <c r="G610" s="14"/>
      <c r="H610" s="14"/>
      <c r="I610" s="14"/>
      <c r="J610" s="14"/>
      <c r="K610" s="14"/>
      <c r="L610" s="14"/>
      <c r="M610" s="14"/>
      <c r="N610" s="14"/>
      <c r="O610" s="14"/>
      <c r="P610" s="14"/>
      <c r="Q610" s="14"/>
      <c r="R610" s="60"/>
    </row>
    <row r="611" ht="28.5" customHeight="1">
      <c r="A611" s="14"/>
      <c r="B611" s="14"/>
      <c r="C611" s="14"/>
      <c r="D611" s="14"/>
      <c r="E611" s="14"/>
      <c r="F611" s="14"/>
      <c r="G611" s="14"/>
      <c r="H611" s="14"/>
      <c r="I611" s="14"/>
      <c r="J611" s="14"/>
      <c r="K611" s="14"/>
      <c r="L611" s="14"/>
      <c r="M611" s="14"/>
      <c r="N611" s="14"/>
      <c r="O611" s="14"/>
      <c r="P611" s="14"/>
      <c r="Q611" s="14"/>
      <c r="R611" s="60"/>
    </row>
    <row r="612" ht="28.5" customHeight="1">
      <c r="A612" s="14"/>
      <c r="B612" s="14"/>
      <c r="C612" s="14"/>
      <c r="D612" s="14"/>
      <c r="E612" s="14"/>
      <c r="F612" s="14"/>
      <c r="G612" s="14"/>
      <c r="H612" s="14"/>
      <c r="I612" s="14"/>
      <c r="J612" s="14"/>
      <c r="K612" s="14"/>
      <c r="L612" s="14"/>
      <c r="M612" s="14"/>
      <c r="N612" s="14"/>
      <c r="O612" s="14"/>
      <c r="P612" s="14"/>
      <c r="Q612" s="14"/>
      <c r="R612" s="60"/>
    </row>
    <row r="613" ht="28.5" customHeight="1">
      <c r="A613" s="14"/>
      <c r="B613" s="14"/>
      <c r="C613" s="14"/>
      <c r="D613" s="14"/>
      <c r="E613" s="14"/>
      <c r="F613" s="14"/>
      <c r="G613" s="14"/>
      <c r="H613" s="14"/>
      <c r="I613" s="14"/>
      <c r="J613" s="14"/>
      <c r="K613" s="14"/>
      <c r="L613" s="14"/>
      <c r="M613" s="14"/>
      <c r="N613" s="14"/>
      <c r="O613" s="14"/>
      <c r="P613" s="14"/>
      <c r="Q613" s="14"/>
      <c r="R613" s="60"/>
    </row>
    <row r="614" ht="28.5" customHeight="1">
      <c r="A614" s="14"/>
      <c r="B614" s="14"/>
      <c r="C614" s="14"/>
      <c r="D614" s="14"/>
      <c r="E614" s="14"/>
      <c r="F614" s="14"/>
      <c r="G614" s="14"/>
      <c r="H614" s="14"/>
      <c r="I614" s="14"/>
      <c r="J614" s="14"/>
      <c r="K614" s="14"/>
      <c r="L614" s="14"/>
      <c r="M614" s="14"/>
      <c r="N614" s="14"/>
      <c r="O614" s="14"/>
      <c r="P614" s="14"/>
      <c r="Q614" s="14"/>
      <c r="R614" s="60"/>
    </row>
    <row r="615" ht="28.5" customHeight="1">
      <c r="A615" s="14"/>
      <c r="B615" s="14"/>
      <c r="C615" s="14"/>
      <c r="D615" s="14"/>
      <c r="E615" s="14"/>
      <c r="F615" s="14"/>
      <c r="G615" s="14"/>
      <c r="H615" s="14"/>
      <c r="I615" s="14"/>
      <c r="J615" s="14"/>
      <c r="K615" s="14"/>
      <c r="L615" s="14"/>
      <c r="M615" s="14"/>
      <c r="N615" s="14"/>
      <c r="O615" s="14"/>
      <c r="P615" s="14"/>
      <c r="Q615" s="14"/>
      <c r="R615" s="60"/>
    </row>
    <row r="616" ht="28.5" customHeight="1">
      <c r="A616" s="14"/>
      <c r="B616" s="14"/>
      <c r="C616" s="14"/>
      <c r="D616" s="14"/>
      <c r="E616" s="14"/>
      <c r="F616" s="14"/>
      <c r="G616" s="14"/>
      <c r="H616" s="14"/>
      <c r="I616" s="14"/>
      <c r="J616" s="14"/>
      <c r="K616" s="14"/>
      <c r="L616" s="14"/>
      <c r="M616" s="14"/>
      <c r="N616" s="14"/>
      <c r="O616" s="14"/>
      <c r="P616" s="14"/>
      <c r="Q616" s="14"/>
      <c r="R616" s="60"/>
    </row>
    <row r="617" ht="28.5" customHeight="1">
      <c r="A617" s="14"/>
      <c r="B617" s="14"/>
      <c r="C617" s="14"/>
      <c r="D617" s="14"/>
      <c r="E617" s="14"/>
      <c r="F617" s="14"/>
      <c r="G617" s="14"/>
      <c r="H617" s="14"/>
      <c r="I617" s="14"/>
      <c r="J617" s="14"/>
      <c r="K617" s="14"/>
      <c r="L617" s="14"/>
      <c r="M617" s="14"/>
      <c r="N617" s="14"/>
      <c r="O617" s="14"/>
      <c r="P617" s="14"/>
      <c r="Q617" s="14"/>
      <c r="R617" s="60"/>
    </row>
    <row r="618" ht="28.5" customHeight="1">
      <c r="A618" s="14"/>
      <c r="B618" s="14"/>
      <c r="C618" s="14"/>
      <c r="D618" s="14"/>
      <c r="E618" s="14"/>
      <c r="F618" s="14"/>
      <c r="G618" s="14"/>
      <c r="H618" s="14"/>
      <c r="I618" s="14"/>
      <c r="J618" s="14"/>
      <c r="K618" s="14"/>
      <c r="L618" s="14"/>
      <c r="M618" s="14"/>
      <c r="N618" s="14"/>
      <c r="O618" s="14"/>
      <c r="P618" s="14"/>
      <c r="Q618" s="14"/>
      <c r="R618" s="60"/>
    </row>
    <row r="619" ht="28.5" customHeight="1">
      <c r="A619" s="14"/>
      <c r="B619" s="14"/>
      <c r="C619" s="14"/>
      <c r="D619" s="14"/>
      <c r="E619" s="14"/>
      <c r="F619" s="14"/>
      <c r="G619" s="14"/>
      <c r="H619" s="14"/>
      <c r="I619" s="14"/>
      <c r="J619" s="14"/>
      <c r="K619" s="14"/>
      <c r="L619" s="14"/>
      <c r="M619" s="14"/>
      <c r="N619" s="14"/>
      <c r="O619" s="14"/>
      <c r="P619" s="14"/>
      <c r="Q619" s="14"/>
      <c r="R619" s="60"/>
    </row>
    <row r="620" ht="28.5" customHeight="1">
      <c r="A620" s="14"/>
      <c r="B620" s="14"/>
      <c r="C620" s="14"/>
      <c r="D620" s="14"/>
      <c r="E620" s="14"/>
      <c r="F620" s="14"/>
      <c r="G620" s="14"/>
      <c r="H620" s="14"/>
      <c r="I620" s="14"/>
      <c r="J620" s="14"/>
      <c r="K620" s="14"/>
      <c r="L620" s="14"/>
      <c r="M620" s="14"/>
      <c r="N620" s="14"/>
      <c r="O620" s="14"/>
      <c r="P620" s="14"/>
      <c r="Q620" s="14"/>
      <c r="R620" s="60"/>
    </row>
    <row r="621" ht="28.5" customHeight="1">
      <c r="A621" s="14"/>
      <c r="B621" s="14"/>
      <c r="C621" s="14"/>
      <c r="D621" s="14"/>
      <c r="E621" s="14"/>
      <c r="F621" s="14"/>
      <c r="G621" s="14"/>
      <c r="H621" s="14"/>
      <c r="I621" s="14"/>
      <c r="J621" s="14"/>
      <c r="K621" s="14"/>
      <c r="L621" s="14"/>
      <c r="M621" s="14"/>
      <c r="N621" s="14"/>
      <c r="O621" s="14"/>
      <c r="P621" s="14"/>
      <c r="Q621" s="14"/>
      <c r="R621" s="60"/>
    </row>
    <row r="622" ht="28.5" customHeight="1">
      <c r="A622" s="14"/>
      <c r="B622" s="14"/>
      <c r="C622" s="14"/>
      <c r="D622" s="14"/>
      <c r="E622" s="14"/>
      <c r="F622" s="14"/>
      <c r="G622" s="14"/>
      <c r="H622" s="14"/>
      <c r="I622" s="14"/>
      <c r="J622" s="14"/>
      <c r="K622" s="14"/>
      <c r="L622" s="14"/>
      <c r="M622" s="14"/>
      <c r="N622" s="14"/>
      <c r="O622" s="14"/>
      <c r="P622" s="14"/>
      <c r="Q622" s="14"/>
      <c r="R622" s="60"/>
    </row>
    <row r="623" ht="28.5" customHeight="1">
      <c r="A623" s="14"/>
      <c r="B623" s="14"/>
      <c r="C623" s="14"/>
      <c r="D623" s="14"/>
      <c r="E623" s="14"/>
      <c r="F623" s="14"/>
      <c r="G623" s="14"/>
      <c r="H623" s="14"/>
      <c r="I623" s="14"/>
      <c r="J623" s="14"/>
      <c r="K623" s="14"/>
      <c r="L623" s="14"/>
      <c r="M623" s="14"/>
      <c r="N623" s="14"/>
      <c r="O623" s="14"/>
      <c r="P623" s="14"/>
      <c r="Q623" s="14"/>
      <c r="R623" s="60"/>
    </row>
    <row r="624" ht="28.5" customHeight="1">
      <c r="A624" s="14"/>
      <c r="B624" s="14"/>
      <c r="C624" s="14"/>
      <c r="D624" s="14"/>
      <c r="E624" s="14"/>
      <c r="F624" s="14"/>
      <c r="G624" s="14"/>
      <c r="H624" s="14"/>
      <c r="I624" s="14"/>
      <c r="J624" s="14"/>
      <c r="K624" s="14"/>
      <c r="L624" s="14"/>
      <c r="M624" s="14"/>
      <c r="N624" s="14"/>
      <c r="O624" s="14"/>
      <c r="P624" s="14"/>
      <c r="Q624" s="14"/>
      <c r="R624" s="60"/>
    </row>
    <row r="625" ht="28.5" customHeight="1">
      <c r="A625" s="14"/>
      <c r="B625" s="14"/>
      <c r="C625" s="14"/>
      <c r="D625" s="14"/>
      <c r="E625" s="14"/>
      <c r="F625" s="14"/>
      <c r="G625" s="14"/>
      <c r="H625" s="14"/>
      <c r="I625" s="14"/>
      <c r="J625" s="14"/>
      <c r="K625" s="14"/>
      <c r="L625" s="14"/>
      <c r="M625" s="14"/>
      <c r="N625" s="14"/>
      <c r="O625" s="14"/>
      <c r="P625" s="14"/>
      <c r="Q625" s="14"/>
      <c r="R625" s="60"/>
    </row>
    <row r="626" ht="28.5" customHeight="1">
      <c r="A626" s="14"/>
      <c r="B626" s="14"/>
      <c r="C626" s="14"/>
      <c r="D626" s="14"/>
      <c r="E626" s="14"/>
      <c r="F626" s="14"/>
      <c r="G626" s="14"/>
      <c r="H626" s="14"/>
      <c r="I626" s="14"/>
      <c r="J626" s="14"/>
      <c r="K626" s="14"/>
      <c r="L626" s="14"/>
      <c r="M626" s="14"/>
      <c r="N626" s="14"/>
      <c r="O626" s="14"/>
      <c r="P626" s="14"/>
      <c r="Q626" s="14"/>
      <c r="R626" s="60"/>
    </row>
    <row r="627" ht="28.5" customHeight="1">
      <c r="A627" s="14"/>
      <c r="B627" s="14"/>
      <c r="C627" s="14"/>
      <c r="D627" s="14"/>
      <c r="E627" s="14"/>
      <c r="F627" s="14"/>
      <c r="G627" s="14"/>
      <c r="H627" s="14"/>
      <c r="I627" s="14"/>
      <c r="J627" s="14"/>
      <c r="K627" s="14"/>
      <c r="L627" s="14"/>
      <c r="M627" s="14"/>
      <c r="N627" s="14"/>
      <c r="O627" s="14"/>
      <c r="P627" s="14"/>
      <c r="Q627" s="14"/>
      <c r="R627" s="60"/>
    </row>
    <row r="628" ht="28.5" customHeight="1">
      <c r="A628" s="14"/>
      <c r="B628" s="14"/>
      <c r="C628" s="14"/>
      <c r="D628" s="14"/>
      <c r="E628" s="14"/>
      <c r="F628" s="14"/>
      <c r="G628" s="14"/>
      <c r="H628" s="14"/>
      <c r="I628" s="14"/>
      <c r="J628" s="14"/>
      <c r="K628" s="14"/>
      <c r="L628" s="14"/>
      <c r="M628" s="14"/>
      <c r="N628" s="14"/>
      <c r="O628" s="14"/>
      <c r="P628" s="14"/>
      <c r="Q628" s="14"/>
      <c r="R628" s="60"/>
    </row>
    <row r="629" ht="28.5" customHeight="1">
      <c r="A629" s="14"/>
      <c r="B629" s="14"/>
      <c r="C629" s="14"/>
      <c r="D629" s="14"/>
      <c r="E629" s="14"/>
      <c r="F629" s="14"/>
      <c r="G629" s="14"/>
      <c r="H629" s="14"/>
      <c r="I629" s="14"/>
      <c r="J629" s="14"/>
      <c r="K629" s="14"/>
      <c r="L629" s="14"/>
      <c r="M629" s="14"/>
      <c r="N629" s="14"/>
      <c r="O629" s="14"/>
      <c r="P629" s="14"/>
      <c r="Q629" s="14"/>
      <c r="R629" s="60"/>
    </row>
    <row r="630" ht="28.5" customHeight="1">
      <c r="A630" s="14"/>
      <c r="B630" s="14"/>
      <c r="C630" s="14"/>
      <c r="D630" s="14"/>
      <c r="E630" s="14"/>
      <c r="F630" s="14"/>
      <c r="G630" s="14"/>
      <c r="H630" s="14"/>
      <c r="I630" s="14"/>
      <c r="J630" s="14"/>
      <c r="K630" s="14"/>
      <c r="L630" s="14"/>
      <c r="M630" s="14"/>
      <c r="N630" s="14"/>
      <c r="O630" s="14"/>
      <c r="P630" s="14"/>
      <c r="Q630" s="14"/>
      <c r="R630" s="60"/>
    </row>
    <row r="631" ht="28.5" customHeight="1">
      <c r="A631" s="14"/>
      <c r="B631" s="14"/>
      <c r="C631" s="14"/>
      <c r="D631" s="14"/>
      <c r="E631" s="14"/>
      <c r="F631" s="14"/>
      <c r="G631" s="14"/>
      <c r="H631" s="14"/>
      <c r="I631" s="14"/>
      <c r="J631" s="14"/>
      <c r="K631" s="14"/>
      <c r="L631" s="14"/>
      <c r="M631" s="14"/>
      <c r="N631" s="14"/>
      <c r="O631" s="14"/>
      <c r="P631" s="14"/>
      <c r="Q631" s="14"/>
      <c r="R631" s="60"/>
    </row>
    <row r="632" ht="28.5" customHeight="1">
      <c r="A632" s="14"/>
      <c r="B632" s="14"/>
      <c r="C632" s="14"/>
      <c r="D632" s="14"/>
      <c r="E632" s="14"/>
      <c r="F632" s="14"/>
      <c r="G632" s="14"/>
      <c r="H632" s="14"/>
      <c r="I632" s="14"/>
      <c r="J632" s="14"/>
      <c r="K632" s="14"/>
      <c r="L632" s="14"/>
      <c r="M632" s="14"/>
      <c r="N632" s="14"/>
      <c r="O632" s="14"/>
      <c r="P632" s="14"/>
      <c r="Q632" s="14"/>
      <c r="R632" s="60"/>
    </row>
    <row r="633" ht="28.5" customHeight="1">
      <c r="A633" s="14"/>
      <c r="B633" s="14"/>
      <c r="C633" s="14"/>
      <c r="D633" s="14"/>
      <c r="E633" s="14"/>
      <c r="F633" s="14"/>
      <c r="G633" s="14"/>
      <c r="H633" s="14"/>
      <c r="I633" s="14"/>
      <c r="J633" s="14"/>
      <c r="K633" s="14"/>
      <c r="L633" s="14"/>
      <c r="M633" s="14"/>
      <c r="N633" s="14"/>
      <c r="O633" s="14"/>
      <c r="P633" s="14"/>
      <c r="Q633" s="14"/>
      <c r="R633" s="60"/>
    </row>
    <row r="634" ht="28.5" customHeight="1">
      <c r="A634" s="14"/>
      <c r="B634" s="14"/>
      <c r="C634" s="14"/>
      <c r="D634" s="14"/>
      <c r="E634" s="14"/>
      <c r="F634" s="14"/>
      <c r="G634" s="14"/>
      <c r="H634" s="14"/>
      <c r="I634" s="14"/>
      <c r="J634" s="14"/>
      <c r="K634" s="14"/>
      <c r="L634" s="14"/>
      <c r="M634" s="14"/>
      <c r="N634" s="14"/>
      <c r="O634" s="14"/>
      <c r="P634" s="14"/>
      <c r="Q634" s="14"/>
      <c r="R634" s="60"/>
    </row>
    <row r="635" ht="28.5" customHeight="1">
      <c r="A635" s="14"/>
      <c r="B635" s="14"/>
      <c r="C635" s="14"/>
      <c r="D635" s="14"/>
      <c r="E635" s="14"/>
      <c r="F635" s="14"/>
      <c r="G635" s="14"/>
      <c r="H635" s="14"/>
      <c r="I635" s="14"/>
      <c r="J635" s="14"/>
      <c r="K635" s="14"/>
      <c r="L635" s="14"/>
      <c r="M635" s="14"/>
      <c r="N635" s="14"/>
      <c r="O635" s="14"/>
      <c r="P635" s="14"/>
      <c r="Q635" s="14"/>
      <c r="R635" s="60"/>
    </row>
    <row r="636" ht="28.5" customHeight="1">
      <c r="A636" s="14"/>
      <c r="B636" s="14"/>
      <c r="C636" s="14"/>
      <c r="D636" s="14"/>
      <c r="E636" s="14"/>
      <c r="F636" s="14"/>
      <c r="G636" s="14"/>
      <c r="H636" s="14"/>
      <c r="I636" s="14"/>
      <c r="J636" s="14"/>
      <c r="K636" s="14"/>
      <c r="L636" s="14"/>
      <c r="M636" s="14"/>
      <c r="N636" s="14"/>
      <c r="O636" s="14"/>
      <c r="P636" s="14"/>
      <c r="Q636" s="14"/>
      <c r="R636" s="60"/>
    </row>
    <row r="637" ht="28.5" customHeight="1">
      <c r="A637" s="14"/>
      <c r="B637" s="14"/>
      <c r="C637" s="14"/>
      <c r="D637" s="14"/>
      <c r="E637" s="14"/>
      <c r="F637" s="14"/>
      <c r="G637" s="14"/>
      <c r="H637" s="14"/>
      <c r="I637" s="14"/>
      <c r="J637" s="14"/>
      <c r="K637" s="14"/>
      <c r="L637" s="14"/>
      <c r="M637" s="14"/>
      <c r="N637" s="14"/>
      <c r="O637" s="14"/>
      <c r="P637" s="14"/>
      <c r="Q637" s="14"/>
      <c r="R637" s="60"/>
    </row>
    <row r="638" ht="28.5" customHeight="1">
      <c r="A638" s="14"/>
      <c r="B638" s="14"/>
      <c r="C638" s="14"/>
      <c r="D638" s="14"/>
      <c r="E638" s="14"/>
      <c r="F638" s="14"/>
      <c r="G638" s="14"/>
      <c r="H638" s="14"/>
      <c r="I638" s="14"/>
      <c r="J638" s="14"/>
      <c r="K638" s="14"/>
      <c r="L638" s="14"/>
      <c r="M638" s="14"/>
      <c r="N638" s="14"/>
      <c r="O638" s="14"/>
      <c r="P638" s="14"/>
      <c r="Q638" s="14"/>
      <c r="R638" s="60"/>
    </row>
    <row r="639" ht="28.5" customHeight="1">
      <c r="A639" s="14"/>
      <c r="B639" s="14"/>
      <c r="C639" s="14"/>
      <c r="D639" s="14"/>
      <c r="E639" s="14"/>
      <c r="F639" s="14"/>
      <c r="G639" s="14"/>
      <c r="H639" s="14"/>
      <c r="I639" s="14"/>
      <c r="J639" s="14"/>
      <c r="K639" s="14"/>
      <c r="L639" s="14"/>
      <c r="M639" s="14"/>
      <c r="N639" s="14"/>
      <c r="O639" s="14"/>
      <c r="P639" s="14"/>
      <c r="Q639" s="14"/>
      <c r="R639" s="60"/>
    </row>
    <row r="640" ht="28.5" customHeight="1">
      <c r="A640" s="14"/>
      <c r="B640" s="14"/>
      <c r="C640" s="14"/>
      <c r="D640" s="14"/>
      <c r="E640" s="14"/>
      <c r="F640" s="14"/>
      <c r="G640" s="14"/>
      <c r="H640" s="14"/>
      <c r="I640" s="14"/>
      <c r="J640" s="14"/>
      <c r="K640" s="14"/>
      <c r="L640" s="14"/>
      <c r="M640" s="14"/>
      <c r="N640" s="14"/>
      <c r="O640" s="14"/>
      <c r="P640" s="14"/>
      <c r="Q640" s="14"/>
      <c r="R640" s="60"/>
    </row>
    <row r="641" ht="28.5" customHeight="1">
      <c r="A641" s="14"/>
      <c r="B641" s="14"/>
      <c r="C641" s="14"/>
      <c r="D641" s="14"/>
      <c r="E641" s="14"/>
      <c r="F641" s="14"/>
      <c r="G641" s="14"/>
      <c r="H641" s="14"/>
      <c r="I641" s="14"/>
      <c r="J641" s="14"/>
      <c r="K641" s="14"/>
      <c r="L641" s="14"/>
      <c r="M641" s="14"/>
      <c r="N641" s="14"/>
      <c r="O641" s="14"/>
      <c r="P641" s="14"/>
      <c r="Q641" s="14"/>
      <c r="R641" s="60"/>
    </row>
    <row r="642" ht="28.5" customHeight="1">
      <c r="A642" s="14"/>
      <c r="B642" s="14"/>
      <c r="C642" s="14"/>
      <c r="D642" s="14"/>
      <c r="E642" s="14"/>
      <c r="F642" s="14"/>
      <c r="G642" s="14"/>
      <c r="H642" s="14"/>
      <c r="I642" s="14"/>
      <c r="J642" s="14"/>
      <c r="K642" s="14"/>
      <c r="L642" s="14"/>
      <c r="M642" s="14"/>
      <c r="N642" s="14"/>
      <c r="O642" s="14"/>
      <c r="P642" s="14"/>
      <c r="Q642" s="14"/>
      <c r="R642" s="60"/>
    </row>
    <row r="643" ht="28.5" customHeight="1">
      <c r="A643" s="14"/>
      <c r="B643" s="14"/>
      <c r="C643" s="14"/>
      <c r="D643" s="14"/>
      <c r="E643" s="14"/>
      <c r="F643" s="14"/>
      <c r="G643" s="14"/>
      <c r="H643" s="14"/>
      <c r="I643" s="14"/>
      <c r="J643" s="14"/>
      <c r="K643" s="14"/>
      <c r="L643" s="14"/>
      <c r="M643" s="14"/>
      <c r="N643" s="14"/>
      <c r="O643" s="14"/>
      <c r="P643" s="14"/>
      <c r="Q643" s="14"/>
      <c r="R643" s="60"/>
    </row>
    <row r="644" ht="28.5" customHeight="1">
      <c r="A644" s="14"/>
      <c r="B644" s="14"/>
      <c r="C644" s="14"/>
      <c r="D644" s="14"/>
      <c r="E644" s="14"/>
      <c r="F644" s="14"/>
      <c r="G644" s="14"/>
      <c r="H644" s="14"/>
      <c r="I644" s="14"/>
      <c r="J644" s="14"/>
      <c r="K644" s="14"/>
      <c r="L644" s="14"/>
      <c r="M644" s="14"/>
      <c r="N644" s="14"/>
      <c r="O644" s="14"/>
      <c r="P644" s="14"/>
      <c r="Q644" s="14"/>
      <c r="R644" s="60"/>
    </row>
    <row r="645" ht="28.5" customHeight="1">
      <c r="A645" s="14"/>
      <c r="B645" s="14"/>
      <c r="C645" s="14"/>
      <c r="D645" s="14"/>
      <c r="E645" s="14"/>
      <c r="F645" s="14"/>
      <c r="G645" s="14"/>
      <c r="H645" s="14"/>
      <c r="I645" s="14"/>
      <c r="J645" s="14"/>
      <c r="K645" s="14"/>
      <c r="L645" s="14"/>
      <c r="M645" s="14"/>
      <c r="N645" s="14"/>
      <c r="O645" s="14"/>
      <c r="P645" s="14"/>
      <c r="Q645" s="14"/>
      <c r="R645" s="60"/>
    </row>
    <row r="646" ht="28.5" customHeight="1">
      <c r="A646" s="14"/>
      <c r="B646" s="14"/>
      <c r="C646" s="14"/>
      <c r="D646" s="14"/>
      <c r="E646" s="14"/>
      <c r="F646" s="14"/>
      <c r="G646" s="14"/>
      <c r="H646" s="14"/>
      <c r="I646" s="14"/>
      <c r="J646" s="14"/>
      <c r="K646" s="14"/>
      <c r="L646" s="14"/>
      <c r="M646" s="14"/>
      <c r="N646" s="14"/>
      <c r="O646" s="14"/>
      <c r="P646" s="14"/>
      <c r="Q646" s="14"/>
      <c r="R646" s="60"/>
    </row>
    <row r="647" ht="28.5" customHeight="1">
      <c r="A647" s="14"/>
      <c r="B647" s="14"/>
      <c r="C647" s="14"/>
      <c r="D647" s="14"/>
      <c r="E647" s="14"/>
      <c r="F647" s="14"/>
      <c r="G647" s="14"/>
      <c r="H647" s="14"/>
      <c r="I647" s="14"/>
      <c r="J647" s="14"/>
      <c r="K647" s="14"/>
      <c r="L647" s="14"/>
      <c r="M647" s="14"/>
      <c r="N647" s="14"/>
      <c r="O647" s="14"/>
      <c r="P647" s="14"/>
      <c r="Q647" s="14"/>
      <c r="R647" s="60"/>
    </row>
    <row r="648" ht="28.5" customHeight="1">
      <c r="A648" s="14"/>
      <c r="B648" s="14"/>
      <c r="C648" s="14"/>
      <c r="D648" s="14"/>
      <c r="E648" s="14"/>
      <c r="F648" s="14"/>
      <c r="G648" s="14"/>
      <c r="H648" s="14"/>
      <c r="I648" s="14"/>
      <c r="J648" s="14"/>
      <c r="K648" s="14"/>
      <c r="L648" s="14"/>
      <c r="M648" s="14"/>
      <c r="N648" s="14"/>
      <c r="O648" s="14"/>
      <c r="P648" s="14"/>
      <c r="Q648" s="14"/>
      <c r="R648" s="60"/>
    </row>
    <row r="649" ht="28.5" customHeight="1">
      <c r="A649" s="14"/>
      <c r="B649" s="14"/>
      <c r="C649" s="14"/>
      <c r="D649" s="14"/>
      <c r="E649" s="14"/>
      <c r="F649" s="14"/>
      <c r="G649" s="14"/>
      <c r="H649" s="14"/>
      <c r="I649" s="14"/>
      <c r="J649" s="14"/>
      <c r="K649" s="14"/>
      <c r="L649" s="14"/>
      <c r="M649" s="14"/>
      <c r="N649" s="14"/>
      <c r="O649" s="14"/>
      <c r="P649" s="14"/>
      <c r="Q649" s="14"/>
      <c r="R649" s="60"/>
    </row>
    <row r="650" ht="28.5" customHeight="1">
      <c r="A650" s="14"/>
      <c r="B650" s="14"/>
      <c r="C650" s="14"/>
      <c r="D650" s="14"/>
      <c r="E650" s="14"/>
      <c r="F650" s="14"/>
      <c r="G650" s="14"/>
      <c r="H650" s="14"/>
      <c r="I650" s="14"/>
      <c r="J650" s="14"/>
      <c r="K650" s="14"/>
      <c r="L650" s="14"/>
      <c r="M650" s="14"/>
      <c r="N650" s="14"/>
      <c r="O650" s="14"/>
      <c r="P650" s="14"/>
      <c r="Q650" s="14"/>
      <c r="R650" s="60"/>
    </row>
    <row r="651" ht="28.5" customHeight="1">
      <c r="A651" s="14"/>
      <c r="B651" s="14"/>
      <c r="C651" s="14"/>
      <c r="D651" s="14"/>
      <c r="E651" s="14"/>
      <c r="F651" s="14"/>
      <c r="G651" s="14"/>
      <c r="H651" s="14"/>
      <c r="I651" s="14"/>
      <c r="J651" s="14"/>
      <c r="K651" s="14"/>
      <c r="L651" s="14"/>
      <c r="M651" s="14"/>
      <c r="N651" s="14"/>
      <c r="O651" s="14"/>
      <c r="P651" s="14"/>
      <c r="Q651" s="14"/>
      <c r="R651" s="60"/>
    </row>
    <row r="652" ht="28.5" customHeight="1">
      <c r="A652" s="14"/>
      <c r="B652" s="14"/>
      <c r="C652" s="14"/>
      <c r="D652" s="14"/>
      <c r="E652" s="14"/>
      <c r="F652" s="14"/>
      <c r="G652" s="14"/>
      <c r="H652" s="14"/>
      <c r="I652" s="14"/>
      <c r="J652" s="14"/>
      <c r="K652" s="14"/>
      <c r="L652" s="14"/>
      <c r="M652" s="14"/>
      <c r="N652" s="14"/>
      <c r="O652" s="14"/>
      <c r="P652" s="14"/>
      <c r="Q652" s="14"/>
      <c r="R652" s="60"/>
    </row>
    <row r="653" ht="28.5" customHeight="1">
      <c r="A653" s="14"/>
      <c r="B653" s="14"/>
      <c r="C653" s="14"/>
      <c r="D653" s="14"/>
      <c r="E653" s="14"/>
      <c r="F653" s="14"/>
      <c r="G653" s="14"/>
      <c r="H653" s="14"/>
      <c r="I653" s="14"/>
      <c r="J653" s="14"/>
      <c r="K653" s="14"/>
      <c r="L653" s="14"/>
      <c r="M653" s="14"/>
      <c r="N653" s="14"/>
      <c r="O653" s="14"/>
      <c r="P653" s="14"/>
      <c r="Q653" s="14"/>
      <c r="R653" s="60"/>
    </row>
    <row r="654" ht="28.5" customHeight="1">
      <c r="A654" s="14"/>
      <c r="B654" s="14"/>
      <c r="C654" s="14"/>
      <c r="D654" s="14"/>
      <c r="E654" s="14"/>
      <c r="F654" s="14"/>
      <c r="G654" s="14"/>
      <c r="H654" s="14"/>
      <c r="I654" s="14"/>
      <c r="J654" s="14"/>
      <c r="K654" s="14"/>
      <c r="L654" s="14"/>
      <c r="M654" s="14"/>
      <c r="N654" s="14"/>
      <c r="O654" s="14"/>
      <c r="P654" s="14"/>
      <c r="Q654" s="14"/>
      <c r="R654" s="60"/>
    </row>
    <row r="655" ht="28.5" customHeight="1">
      <c r="A655" s="14"/>
      <c r="B655" s="14"/>
      <c r="C655" s="14"/>
      <c r="D655" s="14"/>
      <c r="E655" s="14"/>
      <c r="F655" s="14"/>
      <c r="G655" s="14"/>
      <c r="H655" s="14"/>
      <c r="I655" s="14"/>
      <c r="J655" s="14"/>
      <c r="K655" s="14"/>
      <c r="L655" s="14"/>
      <c r="M655" s="14"/>
      <c r="N655" s="14"/>
      <c r="O655" s="14"/>
      <c r="P655" s="14"/>
      <c r="Q655" s="14"/>
      <c r="R655" s="60"/>
    </row>
    <row r="656" ht="28.5" customHeight="1">
      <c r="A656" s="14"/>
      <c r="B656" s="14"/>
      <c r="C656" s="14"/>
      <c r="D656" s="14"/>
      <c r="E656" s="14"/>
      <c r="F656" s="14"/>
      <c r="G656" s="14"/>
      <c r="H656" s="14"/>
      <c r="I656" s="14"/>
      <c r="J656" s="14"/>
      <c r="K656" s="14"/>
      <c r="L656" s="14"/>
      <c r="M656" s="14"/>
      <c r="N656" s="14"/>
      <c r="O656" s="14"/>
      <c r="P656" s="14"/>
      <c r="Q656" s="14"/>
      <c r="R656" s="60"/>
    </row>
    <row r="657" ht="28.5" customHeight="1">
      <c r="A657" s="14"/>
      <c r="B657" s="14"/>
      <c r="C657" s="14"/>
      <c r="D657" s="14"/>
      <c r="E657" s="14"/>
      <c r="F657" s="14"/>
      <c r="G657" s="14"/>
      <c r="H657" s="14"/>
      <c r="I657" s="14"/>
      <c r="J657" s="14"/>
      <c r="K657" s="14"/>
      <c r="L657" s="14"/>
      <c r="M657" s="14"/>
      <c r="N657" s="14"/>
      <c r="O657" s="14"/>
      <c r="P657" s="14"/>
      <c r="Q657" s="14"/>
      <c r="R657" s="60"/>
    </row>
    <row r="658" ht="28.5" customHeight="1">
      <c r="A658" s="14"/>
      <c r="B658" s="14"/>
      <c r="C658" s="14"/>
      <c r="D658" s="14"/>
      <c r="E658" s="14"/>
      <c r="F658" s="14"/>
      <c r="G658" s="14"/>
      <c r="H658" s="14"/>
      <c r="I658" s="14"/>
      <c r="J658" s="14"/>
      <c r="K658" s="14"/>
      <c r="L658" s="14"/>
      <c r="M658" s="14"/>
      <c r="N658" s="14"/>
      <c r="O658" s="14"/>
      <c r="P658" s="14"/>
      <c r="Q658" s="14"/>
      <c r="R658" s="60"/>
    </row>
    <row r="659" ht="28.5" customHeight="1">
      <c r="A659" s="14"/>
      <c r="B659" s="14"/>
      <c r="C659" s="14"/>
      <c r="D659" s="14"/>
      <c r="E659" s="14"/>
      <c r="F659" s="14"/>
      <c r="G659" s="14"/>
      <c r="H659" s="14"/>
      <c r="I659" s="14"/>
      <c r="J659" s="14"/>
      <c r="K659" s="14"/>
      <c r="L659" s="14"/>
      <c r="M659" s="14"/>
      <c r="N659" s="14"/>
      <c r="O659" s="14"/>
      <c r="P659" s="14"/>
      <c r="Q659" s="14"/>
      <c r="R659" s="60"/>
    </row>
    <row r="660" ht="28.5" customHeight="1">
      <c r="A660" s="14"/>
      <c r="B660" s="14"/>
      <c r="C660" s="14"/>
      <c r="D660" s="14"/>
      <c r="E660" s="14"/>
      <c r="F660" s="14"/>
      <c r="G660" s="14"/>
      <c r="H660" s="14"/>
      <c r="I660" s="14"/>
      <c r="J660" s="14"/>
      <c r="K660" s="14"/>
      <c r="L660" s="14"/>
      <c r="M660" s="14"/>
      <c r="N660" s="14"/>
      <c r="O660" s="14"/>
      <c r="P660" s="14"/>
      <c r="Q660" s="14"/>
      <c r="R660" s="60"/>
    </row>
    <row r="661" ht="28.5" customHeight="1">
      <c r="A661" s="14"/>
      <c r="B661" s="14"/>
      <c r="C661" s="14"/>
      <c r="D661" s="14"/>
      <c r="E661" s="14"/>
      <c r="F661" s="14"/>
      <c r="G661" s="14"/>
      <c r="H661" s="14"/>
      <c r="I661" s="14"/>
      <c r="J661" s="14"/>
      <c r="K661" s="14"/>
      <c r="L661" s="14"/>
      <c r="M661" s="14"/>
      <c r="N661" s="14"/>
      <c r="O661" s="14"/>
      <c r="P661" s="14"/>
      <c r="Q661" s="14"/>
      <c r="R661" s="60"/>
    </row>
    <row r="662" ht="28.5" customHeight="1">
      <c r="A662" s="14"/>
      <c r="B662" s="14"/>
      <c r="C662" s="14"/>
      <c r="D662" s="14"/>
      <c r="E662" s="14"/>
      <c r="F662" s="14"/>
      <c r="G662" s="14"/>
      <c r="H662" s="14"/>
      <c r="I662" s="14"/>
      <c r="J662" s="14"/>
      <c r="K662" s="14"/>
      <c r="L662" s="14"/>
      <c r="M662" s="14"/>
      <c r="N662" s="14"/>
      <c r="O662" s="14"/>
      <c r="P662" s="14"/>
      <c r="Q662" s="14"/>
      <c r="R662" s="60"/>
    </row>
    <row r="663" ht="28.5" customHeight="1">
      <c r="A663" s="14"/>
      <c r="B663" s="14"/>
      <c r="C663" s="14"/>
      <c r="D663" s="14"/>
      <c r="E663" s="14"/>
      <c r="F663" s="14"/>
      <c r="G663" s="14"/>
      <c r="H663" s="14"/>
      <c r="I663" s="14"/>
      <c r="J663" s="14"/>
      <c r="K663" s="14"/>
      <c r="L663" s="14"/>
      <c r="M663" s="14"/>
      <c r="N663" s="14"/>
      <c r="O663" s="14"/>
      <c r="P663" s="14"/>
      <c r="Q663" s="14"/>
      <c r="R663" s="60"/>
    </row>
    <row r="664" ht="28.5" customHeight="1">
      <c r="A664" s="14"/>
      <c r="B664" s="14"/>
      <c r="C664" s="14"/>
      <c r="D664" s="14"/>
      <c r="E664" s="14"/>
      <c r="F664" s="14"/>
      <c r="G664" s="14"/>
      <c r="H664" s="14"/>
      <c r="I664" s="14"/>
      <c r="J664" s="14"/>
      <c r="K664" s="14"/>
      <c r="L664" s="14"/>
      <c r="M664" s="14"/>
      <c r="N664" s="14"/>
      <c r="O664" s="14"/>
      <c r="P664" s="14"/>
      <c r="Q664" s="14"/>
      <c r="R664" s="60"/>
    </row>
    <row r="665" ht="28.5" customHeight="1">
      <c r="A665" s="14"/>
      <c r="B665" s="14"/>
      <c r="C665" s="14"/>
      <c r="D665" s="14"/>
      <c r="E665" s="14"/>
      <c r="F665" s="14"/>
      <c r="G665" s="14"/>
      <c r="H665" s="14"/>
      <c r="I665" s="14"/>
      <c r="J665" s="14"/>
      <c r="K665" s="14"/>
      <c r="L665" s="14"/>
      <c r="M665" s="14"/>
      <c r="N665" s="14"/>
      <c r="O665" s="14"/>
      <c r="P665" s="14"/>
      <c r="Q665" s="14"/>
      <c r="R665" s="60"/>
    </row>
    <row r="666" ht="28.5" customHeight="1">
      <c r="A666" s="14"/>
      <c r="B666" s="14"/>
      <c r="C666" s="14"/>
      <c r="D666" s="14"/>
      <c r="E666" s="14"/>
      <c r="F666" s="14"/>
      <c r="G666" s="14"/>
      <c r="H666" s="14"/>
      <c r="I666" s="14"/>
      <c r="J666" s="14"/>
      <c r="K666" s="14"/>
      <c r="L666" s="14"/>
      <c r="M666" s="14"/>
      <c r="N666" s="14"/>
      <c r="O666" s="14"/>
      <c r="P666" s="14"/>
      <c r="Q666" s="14"/>
      <c r="R666" s="60"/>
    </row>
    <row r="667" ht="28.5" customHeight="1">
      <c r="A667" s="14"/>
      <c r="B667" s="14"/>
      <c r="C667" s="14"/>
      <c r="D667" s="14"/>
      <c r="E667" s="14"/>
      <c r="F667" s="14"/>
      <c r="G667" s="14"/>
      <c r="H667" s="14"/>
      <c r="I667" s="14"/>
      <c r="J667" s="14"/>
      <c r="K667" s="14"/>
      <c r="L667" s="14"/>
      <c r="M667" s="14"/>
      <c r="N667" s="14"/>
      <c r="O667" s="14"/>
      <c r="P667" s="14"/>
      <c r="Q667" s="14"/>
      <c r="R667" s="60"/>
    </row>
    <row r="668" ht="28.5" customHeight="1">
      <c r="A668" s="14"/>
      <c r="B668" s="14"/>
      <c r="C668" s="14"/>
      <c r="D668" s="14"/>
      <c r="E668" s="14"/>
      <c r="F668" s="14"/>
      <c r="G668" s="14"/>
      <c r="H668" s="14"/>
      <c r="I668" s="14"/>
      <c r="J668" s="14"/>
      <c r="K668" s="14"/>
      <c r="L668" s="14"/>
      <c r="M668" s="14"/>
      <c r="N668" s="14"/>
      <c r="O668" s="14"/>
      <c r="P668" s="14"/>
      <c r="Q668" s="14"/>
      <c r="R668" s="60"/>
    </row>
    <row r="669" ht="28.5" customHeight="1">
      <c r="A669" s="14"/>
      <c r="B669" s="14"/>
      <c r="C669" s="14"/>
      <c r="D669" s="14"/>
      <c r="E669" s="14"/>
      <c r="F669" s="14"/>
      <c r="G669" s="14"/>
      <c r="H669" s="14"/>
      <c r="I669" s="14"/>
      <c r="J669" s="14"/>
      <c r="K669" s="14"/>
      <c r="L669" s="14"/>
      <c r="M669" s="14"/>
      <c r="N669" s="14"/>
      <c r="O669" s="14"/>
      <c r="P669" s="14"/>
      <c r="Q669" s="14"/>
      <c r="R669" s="60"/>
    </row>
    <row r="670" ht="28.5" customHeight="1">
      <c r="A670" s="14"/>
      <c r="B670" s="14"/>
      <c r="C670" s="14"/>
      <c r="D670" s="14"/>
      <c r="E670" s="14"/>
      <c r="F670" s="14"/>
      <c r="G670" s="14"/>
      <c r="H670" s="14"/>
      <c r="I670" s="14"/>
      <c r="J670" s="14"/>
      <c r="K670" s="14"/>
      <c r="L670" s="14"/>
      <c r="M670" s="14"/>
      <c r="N670" s="14"/>
      <c r="O670" s="14"/>
      <c r="P670" s="14"/>
      <c r="Q670" s="14"/>
      <c r="R670" s="60"/>
    </row>
    <row r="671" ht="28.5" customHeight="1">
      <c r="A671" s="14"/>
      <c r="B671" s="14"/>
      <c r="C671" s="14"/>
      <c r="D671" s="14"/>
      <c r="E671" s="14"/>
      <c r="F671" s="14"/>
      <c r="G671" s="14"/>
      <c r="H671" s="14"/>
      <c r="I671" s="14"/>
      <c r="J671" s="14"/>
      <c r="K671" s="14"/>
      <c r="L671" s="14"/>
      <c r="M671" s="14"/>
      <c r="N671" s="14"/>
      <c r="O671" s="14"/>
      <c r="P671" s="14"/>
      <c r="Q671" s="14"/>
      <c r="R671" s="60"/>
    </row>
    <row r="672" ht="28.5" customHeight="1">
      <c r="A672" s="14"/>
      <c r="B672" s="14"/>
      <c r="C672" s="14"/>
      <c r="D672" s="14"/>
      <c r="E672" s="14"/>
      <c r="F672" s="14"/>
      <c r="G672" s="14"/>
      <c r="H672" s="14"/>
      <c r="I672" s="14"/>
      <c r="J672" s="14"/>
      <c r="K672" s="14"/>
      <c r="L672" s="14"/>
      <c r="M672" s="14"/>
      <c r="N672" s="14"/>
      <c r="O672" s="14"/>
      <c r="P672" s="14"/>
      <c r="Q672" s="14"/>
      <c r="R672" s="60"/>
    </row>
    <row r="673" ht="28.5" customHeight="1">
      <c r="A673" s="14"/>
      <c r="B673" s="14"/>
      <c r="C673" s="14"/>
      <c r="D673" s="14"/>
      <c r="E673" s="14"/>
      <c r="F673" s="14"/>
      <c r="G673" s="14"/>
      <c r="H673" s="14"/>
      <c r="I673" s="14"/>
      <c r="J673" s="14"/>
      <c r="K673" s="14"/>
      <c r="L673" s="14"/>
      <c r="M673" s="14"/>
      <c r="N673" s="14"/>
      <c r="O673" s="14"/>
      <c r="P673" s="14"/>
      <c r="Q673" s="14"/>
      <c r="R673" s="60"/>
    </row>
    <row r="674" ht="28.5" customHeight="1">
      <c r="A674" s="14"/>
      <c r="B674" s="14"/>
      <c r="C674" s="14"/>
      <c r="D674" s="14"/>
      <c r="E674" s="14"/>
      <c r="F674" s="14"/>
      <c r="G674" s="14"/>
      <c r="H674" s="14"/>
      <c r="I674" s="14"/>
      <c r="J674" s="14"/>
      <c r="K674" s="14"/>
      <c r="L674" s="14"/>
      <c r="M674" s="14"/>
      <c r="N674" s="14"/>
      <c r="O674" s="14"/>
      <c r="P674" s="14"/>
      <c r="Q674" s="14"/>
      <c r="R674" s="60"/>
    </row>
    <row r="675" ht="28.5" customHeight="1">
      <c r="A675" s="14"/>
      <c r="B675" s="14"/>
      <c r="C675" s="14"/>
      <c r="D675" s="14"/>
      <c r="E675" s="14"/>
      <c r="F675" s="14"/>
      <c r="G675" s="14"/>
      <c r="H675" s="14"/>
      <c r="I675" s="14"/>
      <c r="J675" s="14"/>
      <c r="K675" s="14"/>
      <c r="L675" s="14"/>
      <c r="M675" s="14"/>
      <c r="N675" s="14"/>
      <c r="O675" s="14"/>
      <c r="P675" s="14"/>
      <c r="Q675" s="14"/>
      <c r="R675" s="60"/>
    </row>
    <row r="676" ht="28.5" customHeight="1">
      <c r="A676" s="14"/>
      <c r="B676" s="14"/>
      <c r="C676" s="14"/>
      <c r="D676" s="14"/>
      <c r="E676" s="14"/>
      <c r="F676" s="14"/>
      <c r="G676" s="14"/>
      <c r="H676" s="14"/>
      <c r="I676" s="14"/>
      <c r="J676" s="14"/>
      <c r="K676" s="14"/>
      <c r="L676" s="14"/>
      <c r="M676" s="14"/>
      <c r="N676" s="14"/>
      <c r="O676" s="14"/>
      <c r="P676" s="14"/>
      <c r="Q676" s="14"/>
      <c r="R676" s="60"/>
    </row>
    <row r="677" ht="28.5" customHeight="1">
      <c r="A677" s="14"/>
      <c r="B677" s="14"/>
      <c r="C677" s="14"/>
      <c r="D677" s="14"/>
      <c r="E677" s="14"/>
      <c r="F677" s="14"/>
      <c r="G677" s="14"/>
      <c r="H677" s="14"/>
      <c r="I677" s="14"/>
      <c r="J677" s="14"/>
      <c r="K677" s="14"/>
      <c r="L677" s="14"/>
      <c r="M677" s="14"/>
      <c r="N677" s="14"/>
      <c r="O677" s="14"/>
      <c r="P677" s="14"/>
      <c r="Q677" s="14"/>
      <c r="R677" s="60"/>
    </row>
    <row r="678" ht="28.5" customHeight="1">
      <c r="A678" s="14"/>
      <c r="B678" s="14"/>
      <c r="C678" s="14"/>
      <c r="D678" s="14"/>
      <c r="E678" s="14"/>
      <c r="F678" s="14"/>
      <c r="G678" s="14"/>
      <c r="H678" s="14"/>
      <c r="I678" s="14"/>
      <c r="J678" s="14"/>
      <c r="K678" s="14"/>
      <c r="L678" s="14"/>
      <c r="M678" s="14"/>
      <c r="N678" s="14"/>
      <c r="O678" s="14"/>
      <c r="P678" s="14"/>
      <c r="Q678" s="14"/>
      <c r="R678" s="60"/>
    </row>
    <row r="679" ht="28.5" customHeight="1">
      <c r="A679" s="14"/>
      <c r="B679" s="14"/>
      <c r="C679" s="14"/>
      <c r="D679" s="14"/>
      <c r="E679" s="14"/>
      <c r="F679" s="14"/>
      <c r="G679" s="14"/>
      <c r="H679" s="14"/>
      <c r="I679" s="14"/>
      <c r="J679" s="14"/>
      <c r="K679" s="14"/>
      <c r="L679" s="14"/>
      <c r="M679" s="14"/>
      <c r="N679" s="14"/>
      <c r="O679" s="14"/>
      <c r="P679" s="14"/>
      <c r="Q679" s="14"/>
      <c r="R679" s="60"/>
    </row>
    <row r="680" ht="28.5" customHeight="1">
      <c r="A680" s="14"/>
      <c r="B680" s="14"/>
      <c r="C680" s="14"/>
      <c r="D680" s="14"/>
      <c r="E680" s="14"/>
      <c r="F680" s="14"/>
      <c r="G680" s="14"/>
      <c r="H680" s="14"/>
      <c r="I680" s="14"/>
      <c r="J680" s="14"/>
      <c r="K680" s="14"/>
      <c r="L680" s="14"/>
      <c r="M680" s="14"/>
      <c r="N680" s="14"/>
      <c r="O680" s="14"/>
      <c r="P680" s="14"/>
      <c r="Q680" s="14"/>
      <c r="R680" s="60"/>
    </row>
    <row r="681" ht="28.5" customHeight="1">
      <c r="A681" s="14"/>
      <c r="B681" s="14"/>
      <c r="C681" s="14"/>
      <c r="D681" s="14"/>
      <c r="E681" s="14"/>
      <c r="F681" s="14"/>
      <c r="G681" s="14"/>
      <c r="H681" s="14"/>
      <c r="I681" s="14"/>
      <c r="J681" s="14"/>
      <c r="K681" s="14"/>
      <c r="L681" s="14"/>
      <c r="M681" s="14"/>
      <c r="N681" s="14"/>
      <c r="O681" s="14"/>
      <c r="P681" s="14"/>
      <c r="Q681" s="14"/>
      <c r="R681" s="60"/>
    </row>
    <row r="682" ht="28.5" customHeight="1">
      <c r="A682" s="14"/>
      <c r="B682" s="14"/>
      <c r="C682" s="14"/>
      <c r="D682" s="14"/>
      <c r="E682" s="14"/>
      <c r="F682" s="14"/>
      <c r="G682" s="14"/>
      <c r="H682" s="14"/>
      <c r="I682" s="14"/>
      <c r="J682" s="14"/>
      <c r="K682" s="14"/>
      <c r="L682" s="14"/>
      <c r="M682" s="14"/>
      <c r="N682" s="14"/>
      <c r="O682" s="14"/>
      <c r="P682" s="14"/>
      <c r="Q682" s="14"/>
      <c r="R682" s="60"/>
    </row>
    <row r="683" ht="28.5" customHeight="1">
      <c r="A683" s="14"/>
      <c r="B683" s="14"/>
      <c r="C683" s="14"/>
      <c r="D683" s="14"/>
      <c r="E683" s="14"/>
      <c r="F683" s="14"/>
      <c r="G683" s="14"/>
      <c r="H683" s="14"/>
      <c r="I683" s="14"/>
      <c r="J683" s="14"/>
      <c r="K683" s="14"/>
      <c r="L683" s="14"/>
      <c r="M683" s="14"/>
      <c r="N683" s="14"/>
      <c r="O683" s="14"/>
      <c r="P683" s="14"/>
      <c r="Q683" s="14"/>
      <c r="R683" s="60"/>
    </row>
    <row r="684" ht="28.5" customHeight="1">
      <c r="A684" s="14"/>
      <c r="B684" s="14"/>
      <c r="C684" s="14"/>
      <c r="D684" s="14"/>
      <c r="E684" s="14"/>
      <c r="F684" s="14"/>
      <c r="G684" s="14"/>
      <c r="H684" s="14"/>
      <c r="I684" s="14"/>
      <c r="J684" s="14"/>
      <c r="K684" s="14"/>
      <c r="L684" s="14"/>
      <c r="M684" s="14"/>
      <c r="N684" s="14"/>
      <c r="O684" s="14"/>
      <c r="P684" s="14"/>
      <c r="Q684" s="14"/>
      <c r="R684" s="60"/>
    </row>
    <row r="685" ht="28.5" customHeight="1">
      <c r="A685" s="14"/>
      <c r="B685" s="14"/>
      <c r="C685" s="14"/>
      <c r="D685" s="14"/>
      <c r="E685" s="14"/>
      <c r="F685" s="14"/>
      <c r="G685" s="14"/>
      <c r="H685" s="14"/>
      <c r="I685" s="14"/>
      <c r="J685" s="14"/>
      <c r="K685" s="14"/>
      <c r="L685" s="14"/>
      <c r="M685" s="14"/>
      <c r="N685" s="14"/>
      <c r="O685" s="14"/>
      <c r="P685" s="14"/>
      <c r="Q685" s="14"/>
      <c r="R685" s="60"/>
    </row>
    <row r="686" ht="28.5" customHeight="1">
      <c r="A686" s="14"/>
      <c r="B686" s="14"/>
      <c r="C686" s="14"/>
      <c r="D686" s="14"/>
      <c r="E686" s="14"/>
      <c r="F686" s="14"/>
      <c r="G686" s="14"/>
      <c r="H686" s="14"/>
      <c r="I686" s="14"/>
      <c r="J686" s="14"/>
      <c r="K686" s="14"/>
      <c r="L686" s="14"/>
      <c r="M686" s="14"/>
      <c r="N686" s="14"/>
      <c r="O686" s="14"/>
      <c r="P686" s="14"/>
      <c r="Q686" s="14"/>
      <c r="R686" s="60"/>
    </row>
    <row r="687" ht="28.5" customHeight="1">
      <c r="A687" s="14"/>
      <c r="B687" s="14"/>
      <c r="C687" s="14"/>
      <c r="D687" s="14"/>
      <c r="E687" s="14"/>
      <c r="F687" s="14"/>
      <c r="G687" s="14"/>
      <c r="H687" s="14"/>
      <c r="I687" s="14"/>
      <c r="J687" s="14"/>
      <c r="K687" s="14"/>
      <c r="L687" s="14"/>
      <c r="M687" s="14"/>
      <c r="N687" s="14"/>
      <c r="O687" s="14"/>
      <c r="P687" s="14"/>
      <c r="Q687" s="14"/>
      <c r="R687" s="60"/>
    </row>
    <row r="688" ht="28.5" customHeight="1">
      <c r="A688" s="14"/>
      <c r="B688" s="14"/>
      <c r="C688" s="14"/>
      <c r="D688" s="14"/>
      <c r="E688" s="14"/>
      <c r="F688" s="14"/>
      <c r="G688" s="14"/>
      <c r="H688" s="14"/>
      <c r="I688" s="14"/>
      <c r="J688" s="14"/>
      <c r="K688" s="14"/>
      <c r="L688" s="14"/>
      <c r="M688" s="14"/>
      <c r="N688" s="14"/>
      <c r="O688" s="14"/>
      <c r="P688" s="14"/>
      <c r="Q688" s="14"/>
      <c r="R688" s="60"/>
    </row>
    <row r="689" ht="28.5" customHeight="1">
      <c r="A689" s="14"/>
      <c r="B689" s="14"/>
      <c r="C689" s="14"/>
      <c r="D689" s="14"/>
      <c r="E689" s="14"/>
      <c r="F689" s="14"/>
      <c r="G689" s="14"/>
      <c r="H689" s="14"/>
      <c r="I689" s="14"/>
      <c r="J689" s="14"/>
      <c r="K689" s="14"/>
      <c r="L689" s="14"/>
      <c r="M689" s="14"/>
      <c r="N689" s="14"/>
      <c r="O689" s="14"/>
      <c r="P689" s="14"/>
      <c r="Q689" s="14"/>
      <c r="R689" s="60"/>
    </row>
    <row r="690" ht="28.5" customHeight="1">
      <c r="A690" s="14"/>
      <c r="B690" s="14"/>
      <c r="C690" s="14"/>
      <c r="D690" s="14"/>
      <c r="E690" s="14"/>
      <c r="F690" s="14"/>
      <c r="G690" s="14"/>
      <c r="H690" s="14"/>
      <c r="I690" s="14"/>
      <c r="J690" s="14"/>
      <c r="K690" s="14"/>
      <c r="L690" s="14"/>
      <c r="M690" s="14"/>
      <c r="N690" s="14"/>
      <c r="O690" s="14"/>
      <c r="P690" s="14"/>
      <c r="Q690" s="14"/>
      <c r="R690" s="60"/>
    </row>
    <row r="691" ht="28.5" customHeight="1">
      <c r="A691" s="14"/>
      <c r="B691" s="14"/>
      <c r="C691" s="14"/>
      <c r="D691" s="14"/>
      <c r="E691" s="14"/>
      <c r="F691" s="14"/>
      <c r="G691" s="14"/>
      <c r="H691" s="14"/>
      <c r="I691" s="14"/>
      <c r="J691" s="14"/>
      <c r="K691" s="14"/>
      <c r="L691" s="14"/>
      <c r="M691" s="14"/>
      <c r="N691" s="14"/>
      <c r="O691" s="14"/>
      <c r="P691" s="14"/>
      <c r="Q691" s="14"/>
      <c r="R691" s="60"/>
    </row>
    <row r="692" ht="28.5" customHeight="1">
      <c r="A692" s="14"/>
      <c r="B692" s="14"/>
      <c r="C692" s="14"/>
      <c r="D692" s="14"/>
      <c r="E692" s="14"/>
      <c r="F692" s="14"/>
      <c r="G692" s="14"/>
      <c r="H692" s="14"/>
      <c r="I692" s="14"/>
      <c r="J692" s="14"/>
      <c r="K692" s="14"/>
      <c r="L692" s="14"/>
      <c r="M692" s="14"/>
      <c r="N692" s="14"/>
      <c r="O692" s="14"/>
      <c r="P692" s="14"/>
      <c r="Q692" s="14"/>
      <c r="R692" s="60"/>
    </row>
    <row r="693" ht="28.5" customHeight="1">
      <c r="A693" s="14"/>
      <c r="B693" s="14"/>
      <c r="C693" s="14"/>
      <c r="D693" s="14"/>
      <c r="E693" s="14"/>
      <c r="F693" s="14"/>
      <c r="G693" s="14"/>
      <c r="H693" s="14"/>
      <c r="I693" s="14"/>
      <c r="J693" s="14"/>
      <c r="K693" s="14"/>
      <c r="L693" s="14"/>
      <c r="M693" s="14"/>
      <c r="N693" s="14"/>
      <c r="O693" s="14"/>
      <c r="P693" s="14"/>
      <c r="Q693" s="14"/>
      <c r="R693" s="60"/>
    </row>
    <row r="694" ht="28.5" customHeight="1">
      <c r="A694" s="14"/>
      <c r="B694" s="14"/>
      <c r="C694" s="14"/>
      <c r="D694" s="14"/>
      <c r="E694" s="14"/>
      <c r="F694" s="14"/>
      <c r="G694" s="14"/>
      <c r="H694" s="14"/>
      <c r="I694" s="14"/>
      <c r="J694" s="14"/>
      <c r="K694" s="14"/>
      <c r="L694" s="14"/>
      <c r="M694" s="14"/>
      <c r="N694" s="14"/>
      <c r="O694" s="14"/>
      <c r="P694" s="14"/>
      <c r="Q694" s="14"/>
      <c r="R694" s="60"/>
    </row>
    <row r="695" ht="28.5" customHeight="1">
      <c r="A695" s="14"/>
      <c r="B695" s="14"/>
      <c r="C695" s="14"/>
      <c r="D695" s="14"/>
      <c r="E695" s="14"/>
      <c r="F695" s="14"/>
      <c r="G695" s="14"/>
      <c r="H695" s="14"/>
      <c r="I695" s="14"/>
      <c r="J695" s="14"/>
      <c r="K695" s="14"/>
      <c r="L695" s="14"/>
      <c r="M695" s="14"/>
      <c r="N695" s="14"/>
      <c r="O695" s="14"/>
      <c r="P695" s="14"/>
      <c r="Q695" s="14"/>
      <c r="R695" s="60"/>
    </row>
    <row r="696" ht="28.5" customHeight="1">
      <c r="A696" s="14"/>
      <c r="B696" s="14"/>
      <c r="C696" s="14"/>
      <c r="D696" s="14"/>
      <c r="E696" s="14"/>
      <c r="F696" s="14"/>
      <c r="G696" s="14"/>
      <c r="H696" s="14"/>
      <c r="I696" s="14"/>
      <c r="J696" s="14"/>
      <c r="K696" s="14"/>
      <c r="L696" s="14"/>
      <c r="M696" s="14"/>
      <c r="N696" s="14"/>
      <c r="O696" s="14"/>
      <c r="P696" s="14"/>
      <c r="Q696" s="14"/>
      <c r="R696" s="60"/>
    </row>
    <row r="697" ht="28.5" customHeight="1">
      <c r="A697" s="14"/>
      <c r="B697" s="14"/>
      <c r="C697" s="14"/>
      <c r="D697" s="14"/>
      <c r="E697" s="14"/>
      <c r="F697" s="14"/>
      <c r="G697" s="14"/>
      <c r="H697" s="14"/>
      <c r="I697" s="14"/>
      <c r="J697" s="14"/>
      <c r="K697" s="14"/>
      <c r="L697" s="14"/>
      <c r="M697" s="14"/>
      <c r="N697" s="14"/>
      <c r="O697" s="14"/>
      <c r="P697" s="14"/>
      <c r="Q697" s="14"/>
      <c r="R697" s="60"/>
    </row>
    <row r="698" ht="28.5" customHeight="1">
      <c r="A698" s="14"/>
      <c r="B698" s="14"/>
      <c r="C698" s="14"/>
      <c r="D698" s="14"/>
      <c r="E698" s="14"/>
      <c r="F698" s="14"/>
      <c r="G698" s="14"/>
      <c r="H698" s="14"/>
      <c r="I698" s="14"/>
      <c r="J698" s="14"/>
      <c r="K698" s="14"/>
      <c r="L698" s="14"/>
      <c r="M698" s="14"/>
      <c r="N698" s="14"/>
      <c r="O698" s="14"/>
      <c r="P698" s="14"/>
      <c r="Q698" s="14"/>
      <c r="R698" s="60"/>
    </row>
    <row r="699" ht="28.5" customHeight="1">
      <c r="A699" s="14"/>
      <c r="B699" s="14"/>
      <c r="C699" s="14"/>
      <c r="D699" s="14"/>
      <c r="E699" s="14"/>
      <c r="F699" s="14"/>
      <c r="G699" s="14"/>
      <c r="H699" s="14"/>
      <c r="I699" s="14"/>
      <c r="J699" s="14"/>
      <c r="K699" s="14"/>
      <c r="L699" s="14"/>
      <c r="M699" s="14"/>
      <c r="N699" s="14"/>
      <c r="O699" s="14"/>
      <c r="P699" s="14"/>
      <c r="Q699" s="14"/>
      <c r="R699" s="60"/>
    </row>
    <row r="700" ht="28.5" customHeight="1">
      <c r="A700" s="14"/>
      <c r="B700" s="14"/>
      <c r="C700" s="14"/>
      <c r="D700" s="14"/>
      <c r="E700" s="14"/>
      <c r="F700" s="14"/>
      <c r="G700" s="14"/>
      <c r="H700" s="14"/>
      <c r="I700" s="14"/>
      <c r="J700" s="14"/>
      <c r="K700" s="14"/>
      <c r="L700" s="14"/>
      <c r="M700" s="14"/>
      <c r="N700" s="14"/>
      <c r="O700" s="14"/>
      <c r="P700" s="14"/>
      <c r="Q700" s="14"/>
      <c r="R700" s="60"/>
    </row>
    <row r="701" ht="28.5" customHeight="1">
      <c r="A701" s="14"/>
      <c r="B701" s="14"/>
      <c r="C701" s="14"/>
      <c r="D701" s="14"/>
      <c r="E701" s="14"/>
      <c r="F701" s="14"/>
      <c r="G701" s="14"/>
      <c r="H701" s="14"/>
      <c r="I701" s="14"/>
      <c r="J701" s="14"/>
      <c r="K701" s="14"/>
      <c r="L701" s="14"/>
      <c r="M701" s="14"/>
      <c r="N701" s="14"/>
      <c r="O701" s="14"/>
      <c r="P701" s="14"/>
      <c r="Q701" s="14"/>
      <c r="R701" s="60"/>
    </row>
    <row r="702" ht="28.5" customHeight="1">
      <c r="A702" s="14"/>
      <c r="B702" s="14"/>
      <c r="C702" s="14"/>
      <c r="D702" s="14"/>
      <c r="E702" s="14"/>
      <c r="F702" s="14"/>
      <c r="G702" s="14"/>
      <c r="H702" s="14"/>
      <c r="I702" s="14"/>
      <c r="J702" s="14"/>
      <c r="K702" s="14"/>
      <c r="L702" s="14"/>
      <c r="M702" s="14"/>
      <c r="N702" s="14"/>
      <c r="O702" s="14"/>
      <c r="P702" s="14"/>
      <c r="Q702" s="14"/>
      <c r="R702" s="60"/>
    </row>
    <row r="703" ht="28.5" customHeight="1">
      <c r="A703" s="14"/>
      <c r="B703" s="14"/>
      <c r="C703" s="14"/>
      <c r="D703" s="14"/>
      <c r="E703" s="14"/>
      <c r="F703" s="14"/>
      <c r="G703" s="14"/>
      <c r="H703" s="14"/>
      <c r="I703" s="14"/>
      <c r="J703" s="14"/>
      <c r="K703" s="14"/>
      <c r="L703" s="14"/>
      <c r="M703" s="14"/>
      <c r="N703" s="14"/>
      <c r="O703" s="14"/>
      <c r="P703" s="14"/>
      <c r="Q703" s="14"/>
      <c r="R703" s="60"/>
    </row>
    <row r="704" ht="28.5" customHeight="1">
      <c r="A704" s="14"/>
      <c r="B704" s="14"/>
      <c r="C704" s="14"/>
      <c r="D704" s="14"/>
      <c r="E704" s="14"/>
      <c r="F704" s="14"/>
      <c r="G704" s="14"/>
      <c r="H704" s="14"/>
      <c r="I704" s="14"/>
      <c r="J704" s="14"/>
      <c r="K704" s="14"/>
      <c r="L704" s="14"/>
      <c r="M704" s="14"/>
      <c r="N704" s="14"/>
      <c r="O704" s="14"/>
      <c r="P704" s="14"/>
      <c r="Q704" s="14"/>
      <c r="R704" s="60"/>
    </row>
    <row r="705" ht="28.5" customHeight="1">
      <c r="A705" s="14"/>
      <c r="B705" s="14"/>
      <c r="C705" s="14"/>
      <c r="D705" s="14"/>
      <c r="E705" s="14"/>
      <c r="F705" s="14"/>
      <c r="G705" s="14"/>
      <c r="H705" s="14"/>
      <c r="I705" s="14"/>
      <c r="J705" s="14"/>
      <c r="K705" s="14"/>
      <c r="L705" s="14"/>
      <c r="M705" s="14"/>
      <c r="N705" s="14"/>
      <c r="O705" s="14"/>
      <c r="P705" s="14"/>
      <c r="Q705" s="14"/>
      <c r="R705" s="60"/>
    </row>
    <row r="706" ht="28.5" customHeight="1">
      <c r="A706" s="14"/>
      <c r="B706" s="14"/>
      <c r="C706" s="14"/>
      <c r="D706" s="14"/>
      <c r="E706" s="14"/>
      <c r="F706" s="14"/>
      <c r="G706" s="14"/>
      <c r="H706" s="14"/>
      <c r="I706" s="14"/>
      <c r="J706" s="14"/>
      <c r="K706" s="14"/>
      <c r="L706" s="14"/>
      <c r="M706" s="14"/>
      <c r="N706" s="14"/>
      <c r="O706" s="14"/>
      <c r="P706" s="14"/>
      <c r="Q706" s="14"/>
      <c r="R706" s="60"/>
    </row>
    <row r="707" ht="28.5" customHeight="1">
      <c r="A707" s="14"/>
      <c r="B707" s="14"/>
      <c r="C707" s="14"/>
      <c r="D707" s="14"/>
      <c r="E707" s="14"/>
      <c r="F707" s="14"/>
      <c r="G707" s="14"/>
      <c r="H707" s="14"/>
      <c r="I707" s="14"/>
      <c r="J707" s="14"/>
      <c r="K707" s="14"/>
      <c r="L707" s="14"/>
      <c r="M707" s="14"/>
      <c r="N707" s="14"/>
      <c r="O707" s="14"/>
      <c r="P707" s="14"/>
      <c r="Q707" s="14"/>
      <c r="R707" s="60"/>
    </row>
    <row r="708" ht="28.5" customHeight="1">
      <c r="A708" s="14"/>
      <c r="B708" s="14"/>
      <c r="C708" s="14"/>
      <c r="D708" s="14"/>
      <c r="E708" s="14"/>
      <c r="F708" s="14"/>
      <c r="G708" s="14"/>
      <c r="H708" s="14"/>
      <c r="I708" s="14"/>
      <c r="J708" s="14"/>
      <c r="K708" s="14"/>
      <c r="L708" s="14"/>
      <c r="M708" s="14"/>
      <c r="N708" s="14"/>
      <c r="O708" s="14"/>
      <c r="P708" s="14"/>
      <c r="Q708" s="14"/>
      <c r="R708" s="60"/>
    </row>
    <row r="709" ht="28.5" customHeight="1">
      <c r="A709" s="14"/>
      <c r="B709" s="14"/>
      <c r="C709" s="14"/>
      <c r="D709" s="14"/>
      <c r="E709" s="14"/>
      <c r="F709" s="14"/>
      <c r="G709" s="14"/>
      <c r="H709" s="14"/>
      <c r="I709" s="14"/>
      <c r="J709" s="14"/>
      <c r="K709" s="14"/>
      <c r="L709" s="14"/>
      <c r="M709" s="14"/>
      <c r="N709" s="14"/>
      <c r="O709" s="14"/>
      <c r="P709" s="14"/>
      <c r="Q709" s="14"/>
      <c r="R709" s="60"/>
    </row>
    <row r="710" ht="28.5" customHeight="1">
      <c r="A710" s="14"/>
      <c r="B710" s="14"/>
      <c r="C710" s="14"/>
      <c r="D710" s="14"/>
      <c r="E710" s="14"/>
      <c r="F710" s="14"/>
      <c r="G710" s="14"/>
      <c r="H710" s="14"/>
      <c r="I710" s="14"/>
      <c r="J710" s="14"/>
      <c r="K710" s="14"/>
      <c r="L710" s="14"/>
      <c r="M710" s="14"/>
      <c r="N710" s="14"/>
      <c r="O710" s="14"/>
      <c r="P710" s="14"/>
      <c r="Q710" s="14"/>
      <c r="R710" s="60"/>
    </row>
    <row r="711" ht="28.5" customHeight="1">
      <c r="A711" s="14"/>
      <c r="B711" s="14"/>
      <c r="C711" s="14"/>
      <c r="D711" s="14"/>
      <c r="E711" s="14"/>
      <c r="F711" s="14"/>
      <c r="G711" s="14"/>
      <c r="H711" s="14"/>
      <c r="I711" s="14"/>
      <c r="J711" s="14"/>
      <c r="K711" s="14"/>
      <c r="L711" s="14"/>
      <c r="M711" s="14"/>
      <c r="N711" s="14"/>
      <c r="O711" s="14"/>
      <c r="P711" s="14"/>
      <c r="Q711" s="14"/>
      <c r="R711" s="60"/>
    </row>
    <row r="712" ht="28.5" customHeight="1">
      <c r="A712" s="14"/>
      <c r="B712" s="14"/>
      <c r="C712" s="14"/>
      <c r="D712" s="14"/>
      <c r="E712" s="14"/>
      <c r="F712" s="14"/>
      <c r="G712" s="14"/>
      <c r="H712" s="14"/>
      <c r="I712" s="14"/>
      <c r="J712" s="14"/>
      <c r="K712" s="14"/>
      <c r="L712" s="14"/>
      <c r="M712" s="14"/>
      <c r="N712" s="14"/>
      <c r="O712" s="14"/>
      <c r="P712" s="14"/>
      <c r="Q712" s="14"/>
      <c r="R712" s="60"/>
    </row>
    <row r="713" ht="28.5" customHeight="1">
      <c r="A713" s="14"/>
      <c r="B713" s="14"/>
      <c r="C713" s="14"/>
      <c r="D713" s="14"/>
      <c r="E713" s="14"/>
      <c r="F713" s="14"/>
      <c r="G713" s="14"/>
      <c r="H713" s="14"/>
      <c r="I713" s="14"/>
      <c r="J713" s="14"/>
      <c r="K713" s="14"/>
      <c r="L713" s="14"/>
      <c r="M713" s="14"/>
      <c r="N713" s="14"/>
      <c r="O713" s="14"/>
      <c r="P713" s="14"/>
      <c r="Q713" s="14"/>
      <c r="R713" s="60"/>
    </row>
    <row r="714" ht="28.5" customHeight="1">
      <c r="A714" s="14"/>
      <c r="B714" s="14"/>
      <c r="C714" s="14"/>
      <c r="D714" s="14"/>
      <c r="E714" s="14"/>
      <c r="F714" s="14"/>
      <c r="G714" s="14"/>
      <c r="H714" s="14"/>
      <c r="I714" s="14"/>
      <c r="J714" s="14"/>
      <c r="K714" s="14"/>
      <c r="L714" s="14"/>
      <c r="M714" s="14"/>
      <c r="N714" s="14"/>
      <c r="O714" s="14"/>
      <c r="P714" s="14"/>
      <c r="Q714" s="14"/>
      <c r="R714" s="60"/>
    </row>
    <row r="715" ht="28.5" customHeight="1">
      <c r="A715" s="14"/>
      <c r="B715" s="14"/>
      <c r="C715" s="14"/>
      <c r="D715" s="14"/>
      <c r="E715" s="14"/>
      <c r="F715" s="14"/>
      <c r="G715" s="14"/>
      <c r="H715" s="14"/>
      <c r="I715" s="14"/>
      <c r="J715" s="14"/>
      <c r="K715" s="14"/>
      <c r="L715" s="14"/>
      <c r="M715" s="14"/>
      <c r="N715" s="14"/>
      <c r="O715" s="14"/>
      <c r="P715" s="14"/>
      <c r="Q715" s="14"/>
      <c r="R715" s="60"/>
    </row>
    <row r="716" ht="28.5" customHeight="1">
      <c r="A716" s="14"/>
      <c r="B716" s="14"/>
      <c r="C716" s="14"/>
      <c r="D716" s="14"/>
      <c r="E716" s="14"/>
      <c r="F716" s="14"/>
      <c r="G716" s="14"/>
      <c r="H716" s="14"/>
      <c r="I716" s="14"/>
      <c r="J716" s="14"/>
      <c r="K716" s="14"/>
      <c r="L716" s="14"/>
      <c r="M716" s="14"/>
      <c r="N716" s="14"/>
      <c r="O716" s="14"/>
      <c r="P716" s="14"/>
      <c r="Q716" s="14"/>
      <c r="R716" s="60"/>
    </row>
    <row r="717" ht="28.5" customHeight="1">
      <c r="A717" s="14"/>
      <c r="B717" s="14"/>
      <c r="C717" s="14"/>
      <c r="D717" s="14"/>
      <c r="E717" s="14"/>
      <c r="F717" s="14"/>
      <c r="G717" s="14"/>
      <c r="H717" s="14"/>
      <c r="I717" s="14"/>
      <c r="J717" s="14"/>
      <c r="K717" s="14"/>
      <c r="L717" s="14"/>
      <c r="M717" s="14"/>
      <c r="N717" s="14"/>
      <c r="O717" s="14"/>
      <c r="P717" s="14"/>
      <c r="Q717" s="14"/>
      <c r="R717" s="60"/>
    </row>
    <row r="718" ht="28.5" customHeight="1">
      <c r="A718" s="14"/>
      <c r="B718" s="14"/>
      <c r="C718" s="14"/>
      <c r="D718" s="14"/>
      <c r="E718" s="14"/>
      <c r="F718" s="14"/>
      <c r="G718" s="14"/>
      <c r="H718" s="14"/>
      <c r="I718" s="14"/>
      <c r="J718" s="14"/>
      <c r="K718" s="14"/>
      <c r="L718" s="14"/>
      <c r="M718" s="14"/>
      <c r="N718" s="14"/>
      <c r="O718" s="14"/>
      <c r="P718" s="14"/>
      <c r="Q718" s="14"/>
      <c r="R718" s="60"/>
    </row>
    <row r="719" ht="28.5" customHeight="1">
      <c r="A719" s="14"/>
      <c r="B719" s="14"/>
      <c r="C719" s="14"/>
      <c r="D719" s="14"/>
      <c r="E719" s="14"/>
      <c r="F719" s="14"/>
      <c r="G719" s="14"/>
      <c r="H719" s="14"/>
      <c r="I719" s="14"/>
      <c r="J719" s="14"/>
      <c r="K719" s="14"/>
      <c r="L719" s="14"/>
      <c r="M719" s="14"/>
      <c r="N719" s="14"/>
      <c r="O719" s="14"/>
      <c r="P719" s="14"/>
      <c r="Q719" s="14"/>
      <c r="R719" s="60"/>
    </row>
    <row r="720" ht="28.5" customHeight="1">
      <c r="A720" s="14"/>
      <c r="B720" s="14"/>
      <c r="C720" s="14"/>
      <c r="D720" s="14"/>
      <c r="E720" s="14"/>
      <c r="F720" s="14"/>
      <c r="G720" s="14"/>
      <c r="H720" s="14"/>
      <c r="I720" s="14"/>
      <c r="J720" s="14"/>
      <c r="K720" s="14"/>
      <c r="L720" s="14"/>
      <c r="M720" s="14"/>
      <c r="N720" s="14"/>
      <c r="O720" s="14"/>
      <c r="P720" s="14"/>
      <c r="Q720" s="14"/>
      <c r="R720" s="60"/>
    </row>
    <row r="721" ht="28.5" customHeight="1">
      <c r="A721" s="14"/>
      <c r="B721" s="14"/>
      <c r="C721" s="14"/>
      <c r="D721" s="14"/>
      <c r="E721" s="14"/>
      <c r="F721" s="14"/>
      <c r="G721" s="14"/>
      <c r="H721" s="14"/>
      <c r="I721" s="14"/>
      <c r="J721" s="14"/>
      <c r="K721" s="14"/>
      <c r="L721" s="14"/>
      <c r="M721" s="14"/>
      <c r="N721" s="14"/>
      <c r="O721" s="14"/>
      <c r="P721" s="14"/>
      <c r="Q721" s="14"/>
      <c r="R721" s="60"/>
    </row>
    <row r="722" ht="28.5" customHeight="1">
      <c r="A722" s="14"/>
      <c r="B722" s="14"/>
      <c r="C722" s="14"/>
      <c r="D722" s="14"/>
      <c r="E722" s="14"/>
      <c r="F722" s="14"/>
      <c r="G722" s="14"/>
      <c r="H722" s="14"/>
      <c r="I722" s="14"/>
      <c r="J722" s="14"/>
      <c r="K722" s="14"/>
      <c r="L722" s="14"/>
      <c r="M722" s="14"/>
      <c r="N722" s="14"/>
      <c r="O722" s="14"/>
      <c r="P722" s="14"/>
      <c r="Q722" s="14"/>
      <c r="R722" s="60"/>
    </row>
    <row r="723" ht="28.5" customHeight="1">
      <c r="A723" s="14"/>
      <c r="B723" s="14"/>
      <c r="C723" s="14"/>
      <c r="D723" s="14"/>
      <c r="E723" s="14"/>
      <c r="F723" s="14"/>
      <c r="G723" s="14"/>
      <c r="H723" s="14"/>
      <c r="I723" s="14"/>
      <c r="J723" s="14"/>
      <c r="K723" s="14"/>
      <c r="L723" s="14"/>
      <c r="M723" s="14"/>
      <c r="N723" s="14"/>
      <c r="O723" s="14"/>
      <c r="P723" s="14"/>
      <c r="Q723" s="14"/>
      <c r="R723" s="60"/>
    </row>
    <row r="724" ht="28.5" customHeight="1">
      <c r="A724" s="14"/>
      <c r="B724" s="14"/>
      <c r="C724" s="14"/>
      <c r="D724" s="14"/>
      <c r="E724" s="14"/>
      <c r="F724" s="14"/>
      <c r="G724" s="14"/>
      <c r="H724" s="14"/>
      <c r="I724" s="14"/>
      <c r="J724" s="14"/>
      <c r="K724" s="14"/>
      <c r="L724" s="14"/>
      <c r="M724" s="14"/>
      <c r="N724" s="14"/>
      <c r="O724" s="14"/>
      <c r="P724" s="14"/>
      <c r="Q724" s="14"/>
      <c r="R724" s="60"/>
    </row>
    <row r="725" ht="28.5" customHeight="1">
      <c r="A725" s="14"/>
      <c r="B725" s="14"/>
      <c r="C725" s="14"/>
      <c r="D725" s="14"/>
      <c r="E725" s="14"/>
      <c r="F725" s="14"/>
      <c r="G725" s="14"/>
      <c r="H725" s="14"/>
      <c r="I725" s="14"/>
      <c r="J725" s="14"/>
      <c r="K725" s="14"/>
      <c r="L725" s="14"/>
      <c r="M725" s="14"/>
      <c r="N725" s="14"/>
      <c r="O725" s="14"/>
      <c r="P725" s="14"/>
      <c r="Q725" s="14"/>
      <c r="R725" s="60"/>
    </row>
    <row r="726" ht="28.5" customHeight="1">
      <c r="A726" s="14"/>
      <c r="B726" s="14"/>
      <c r="C726" s="14"/>
      <c r="D726" s="14"/>
      <c r="E726" s="14"/>
      <c r="F726" s="14"/>
      <c r="G726" s="14"/>
      <c r="H726" s="14"/>
      <c r="I726" s="14"/>
      <c r="J726" s="14"/>
      <c r="K726" s="14"/>
      <c r="L726" s="14"/>
      <c r="M726" s="14"/>
      <c r="N726" s="14"/>
      <c r="O726" s="14"/>
      <c r="P726" s="14"/>
      <c r="Q726" s="14"/>
      <c r="R726" s="60"/>
    </row>
    <row r="727" ht="28.5" customHeight="1">
      <c r="A727" s="14"/>
      <c r="B727" s="14"/>
      <c r="C727" s="14"/>
      <c r="D727" s="14"/>
      <c r="E727" s="14"/>
      <c r="F727" s="14"/>
      <c r="G727" s="14"/>
      <c r="H727" s="14"/>
      <c r="I727" s="14"/>
      <c r="J727" s="14"/>
      <c r="K727" s="14"/>
      <c r="L727" s="14"/>
      <c r="M727" s="14"/>
      <c r="N727" s="14"/>
      <c r="O727" s="14"/>
      <c r="P727" s="14"/>
      <c r="Q727" s="14"/>
      <c r="R727" s="60"/>
    </row>
    <row r="728" ht="28.5" customHeight="1">
      <c r="A728" s="14"/>
      <c r="B728" s="14"/>
      <c r="C728" s="14"/>
      <c r="D728" s="14"/>
      <c r="E728" s="14"/>
      <c r="F728" s="14"/>
      <c r="G728" s="14"/>
      <c r="H728" s="14"/>
      <c r="I728" s="14"/>
      <c r="J728" s="14"/>
      <c r="K728" s="14"/>
      <c r="L728" s="14"/>
      <c r="M728" s="14"/>
      <c r="N728" s="14"/>
      <c r="O728" s="14"/>
      <c r="P728" s="14"/>
      <c r="Q728" s="14"/>
      <c r="R728" s="60"/>
    </row>
    <row r="729" ht="28.5" customHeight="1">
      <c r="A729" s="14"/>
      <c r="B729" s="14"/>
      <c r="C729" s="14"/>
      <c r="D729" s="14"/>
      <c r="E729" s="14"/>
      <c r="F729" s="14"/>
      <c r="G729" s="14"/>
      <c r="H729" s="14"/>
      <c r="I729" s="14"/>
      <c r="J729" s="14"/>
      <c r="K729" s="14"/>
      <c r="L729" s="14"/>
      <c r="M729" s="14"/>
      <c r="N729" s="14"/>
      <c r="O729" s="14"/>
      <c r="P729" s="14"/>
      <c r="Q729" s="14"/>
      <c r="R729" s="60"/>
    </row>
    <row r="730" ht="28.5" customHeight="1">
      <c r="A730" s="14"/>
      <c r="B730" s="14"/>
      <c r="C730" s="14"/>
      <c r="D730" s="14"/>
      <c r="E730" s="14"/>
      <c r="F730" s="14"/>
      <c r="G730" s="14"/>
      <c r="H730" s="14"/>
      <c r="I730" s="14"/>
      <c r="J730" s="14"/>
      <c r="K730" s="14"/>
      <c r="L730" s="14"/>
      <c r="M730" s="14"/>
      <c r="N730" s="14"/>
      <c r="O730" s="14"/>
      <c r="P730" s="14"/>
      <c r="Q730" s="14"/>
      <c r="R730" s="60"/>
    </row>
    <row r="731" ht="28.5" customHeight="1">
      <c r="A731" s="14"/>
      <c r="B731" s="14"/>
      <c r="C731" s="14"/>
      <c r="D731" s="14"/>
      <c r="E731" s="14"/>
      <c r="F731" s="14"/>
      <c r="G731" s="14"/>
      <c r="H731" s="14"/>
      <c r="I731" s="14"/>
      <c r="J731" s="14"/>
      <c r="K731" s="14"/>
      <c r="L731" s="14"/>
      <c r="M731" s="14"/>
      <c r="N731" s="14"/>
      <c r="O731" s="14"/>
      <c r="P731" s="14"/>
      <c r="Q731" s="14"/>
      <c r="R731" s="60"/>
    </row>
    <row r="732" ht="28.5" customHeight="1">
      <c r="A732" s="14"/>
      <c r="B732" s="14"/>
      <c r="C732" s="14"/>
      <c r="D732" s="14"/>
      <c r="E732" s="14"/>
      <c r="F732" s="14"/>
      <c r="G732" s="14"/>
      <c r="H732" s="14"/>
      <c r="I732" s="14"/>
      <c r="J732" s="14"/>
      <c r="K732" s="14"/>
      <c r="L732" s="14"/>
      <c r="M732" s="14"/>
      <c r="N732" s="14"/>
      <c r="O732" s="14"/>
      <c r="P732" s="14"/>
      <c r="Q732" s="14"/>
      <c r="R732" s="60"/>
    </row>
    <row r="733" ht="28.5" customHeight="1">
      <c r="A733" s="14"/>
      <c r="B733" s="14"/>
      <c r="C733" s="14"/>
      <c r="D733" s="14"/>
      <c r="E733" s="14"/>
      <c r="F733" s="14"/>
      <c r="G733" s="14"/>
      <c r="H733" s="14"/>
      <c r="I733" s="14"/>
      <c r="J733" s="14"/>
      <c r="K733" s="14"/>
      <c r="L733" s="14"/>
      <c r="M733" s="14"/>
      <c r="N733" s="14"/>
      <c r="O733" s="14"/>
      <c r="P733" s="14"/>
      <c r="Q733" s="14"/>
      <c r="R733" s="60"/>
    </row>
    <row r="734" ht="28.5" customHeight="1">
      <c r="A734" s="14"/>
      <c r="B734" s="14"/>
      <c r="C734" s="14"/>
      <c r="D734" s="14"/>
      <c r="E734" s="14"/>
      <c r="F734" s="14"/>
      <c r="G734" s="14"/>
      <c r="H734" s="14"/>
      <c r="I734" s="14"/>
      <c r="J734" s="14"/>
      <c r="K734" s="14"/>
      <c r="L734" s="14"/>
      <c r="M734" s="14"/>
      <c r="N734" s="14"/>
      <c r="O734" s="14"/>
      <c r="P734" s="14"/>
      <c r="Q734" s="14"/>
      <c r="R734" s="60"/>
    </row>
    <row r="735" ht="28.5" customHeight="1">
      <c r="A735" s="14"/>
      <c r="B735" s="14"/>
      <c r="C735" s="14"/>
      <c r="D735" s="14"/>
      <c r="E735" s="14"/>
      <c r="F735" s="14"/>
      <c r="G735" s="14"/>
      <c r="H735" s="14"/>
      <c r="I735" s="14"/>
      <c r="J735" s="14"/>
      <c r="K735" s="14"/>
      <c r="L735" s="14"/>
      <c r="M735" s="14"/>
      <c r="N735" s="14"/>
      <c r="O735" s="14"/>
      <c r="P735" s="14"/>
      <c r="Q735" s="14"/>
      <c r="R735" s="60"/>
    </row>
    <row r="736" ht="28.5" customHeight="1">
      <c r="A736" s="14"/>
      <c r="B736" s="14"/>
      <c r="C736" s="14"/>
      <c r="D736" s="14"/>
      <c r="E736" s="14"/>
      <c r="F736" s="14"/>
      <c r="G736" s="14"/>
      <c r="H736" s="14"/>
      <c r="I736" s="14"/>
      <c r="J736" s="14"/>
      <c r="K736" s="14"/>
      <c r="L736" s="14"/>
      <c r="M736" s="14"/>
      <c r="N736" s="14"/>
      <c r="O736" s="14"/>
      <c r="P736" s="14"/>
      <c r="Q736" s="14"/>
      <c r="R736" s="60"/>
    </row>
    <row r="737" ht="28.5" customHeight="1">
      <c r="A737" s="14"/>
      <c r="B737" s="14"/>
      <c r="C737" s="14"/>
      <c r="D737" s="14"/>
      <c r="E737" s="14"/>
      <c r="F737" s="14"/>
      <c r="G737" s="14"/>
      <c r="H737" s="14"/>
      <c r="I737" s="14"/>
      <c r="J737" s="14"/>
      <c r="K737" s="14"/>
      <c r="L737" s="14"/>
      <c r="M737" s="14"/>
      <c r="N737" s="14"/>
      <c r="O737" s="14"/>
      <c r="P737" s="14"/>
      <c r="Q737" s="14"/>
      <c r="R737" s="60"/>
    </row>
    <row r="738" ht="28.5" customHeight="1">
      <c r="A738" s="14"/>
      <c r="B738" s="14"/>
      <c r="C738" s="14"/>
      <c r="D738" s="14"/>
      <c r="E738" s="14"/>
      <c r="F738" s="14"/>
      <c r="G738" s="14"/>
      <c r="H738" s="14"/>
      <c r="I738" s="14"/>
      <c r="J738" s="14"/>
      <c r="K738" s="14"/>
      <c r="L738" s="14"/>
      <c r="M738" s="14"/>
      <c r="N738" s="14"/>
      <c r="O738" s="14"/>
      <c r="P738" s="14"/>
      <c r="Q738" s="14"/>
      <c r="R738" s="60"/>
    </row>
    <row r="739" ht="28.5" customHeight="1">
      <c r="A739" s="14"/>
      <c r="B739" s="14"/>
      <c r="C739" s="14"/>
      <c r="D739" s="14"/>
      <c r="E739" s="14"/>
      <c r="F739" s="14"/>
      <c r="G739" s="14"/>
      <c r="H739" s="14"/>
      <c r="I739" s="14"/>
      <c r="J739" s="14"/>
      <c r="K739" s="14"/>
      <c r="L739" s="14"/>
      <c r="M739" s="14"/>
      <c r="N739" s="14"/>
      <c r="O739" s="14"/>
      <c r="P739" s="14"/>
      <c r="Q739" s="14"/>
      <c r="R739" s="60"/>
    </row>
    <row r="740" ht="28.5" customHeight="1">
      <c r="A740" s="14"/>
      <c r="B740" s="14"/>
      <c r="C740" s="14"/>
      <c r="D740" s="14"/>
      <c r="E740" s="14"/>
      <c r="F740" s="14"/>
      <c r="G740" s="14"/>
      <c r="H740" s="14"/>
      <c r="I740" s="14"/>
      <c r="J740" s="14"/>
      <c r="K740" s="14"/>
      <c r="L740" s="14"/>
      <c r="M740" s="14"/>
      <c r="N740" s="14"/>
      <c r="O740" s="14"/>
      <c r="P740" s="14"/>
      <c r="Q740" s="14"/>
      <c r="R740" s="60"/>
    </row>
    <row r="741" ht="28.5" customHeight="1">
      <c r="A741" s="14"/>
      <c r="B741" s="14"/>
      <c r="C741" s="14"/>
      <c r="D741" s="14"/>
      <c r="E741" s="14"/>
      <c r="F741" s="14"/>
      <c r="G741" s="14"/>
      <c r="H741" s="14"/>
      <c r="I741" s="14"/>
      <c r="J741" s="14"/>
      <c r="K741" s="14"/>
      <c r="L741" s="14"/>
      <c r="M741" s="14"/>
      <c r="N741" s="14"/>
      <c r="O741" s="14"/>
      <c r="P741" s="14"/>
      <c r="Q741" s="14"/>
      <c r="R741" s="60"/>
    </row>
    <row r="742" ht="28.5" customHeight="1">
      <c r="A742" s="14"/>
      <c r="B742" s="14"/>
      <c r="C742" s="14"/>
      <c r="D742" s="14"/>
      <c r="E742" s="14"/>
      <c r="F742" s="14"/>
      <c r="G742" s="14"/>
      <c r="H742" s="14"/>
      <c r="I742" s="14"/>
      <c r="J742" s="14"/>
      <c r="K742" s="14"/>
      <c r="L742" s="14"/>
      <c r="M742" s="14"/>
      <c r="N742" s="14"/>
      <c r="O742" s="14"/>
      <c r="P742" s="14"/>
      <c r="Q742" s="14"/>
      <c r="R742" s="60"/>
    </row>
    <row r="743" ht="28.5" customHeight="1">
      <c r="A743" s="14"/>
      <c r="B743" s="14"/>
      <c r="C743" s="14"/>
      <c r="D743" s="14"/>
      <c r="E743" s="14"/>
      <c r="F743" s="14"/>
      <c r="G743" s="14"/>
      <c r="H743" s="14"/>
      <c r="I743" s="14"/>
      <c r="J743" s="14"/>
      <c r="K743" s="14"/>
      <c r="L743" s="14"/>
      <c r="M743" s="14"/>
      <c r="N743" s="14"/>
      <c r="O743" s="14"/>
      <c r="P743" s="14"/>
      <c r="Q743" s="14"/>
      <c r="R743" s="60"/>
    </row>
    <row r="744" ht="28.5" customHeight="1">
      <c r="A744" s="14"/>
      <c r="B744" s="14"/>
      <c r="C744" s="14"/>
      <c r="D744" s="14"/>
      <c r="E744" s="14"/>
      <c r="F744" s="14"/>
      <c r="G744" s="14"/>
      <c r="H744" s="14"/>
      <c r="I744" s="14"/>
      <c r="J744" s="14"/>
      <c r="K744" s="14"/>
      <c r="L744" s="14"/>
      <c r="M744" s="14"/>
      <c r="N744" s="14"/>
      <c r="O744" s="14"/>
      <c r="P744" s="14"/>
      <c r="Q744" s="14"/>
      <c r="R744" s="60"/>
    </row>
    <row r="745" ht="28.5" customHeight="1">
      <c r="A745" s="14"/>
      <c r="B745" s="14"/>
      <c r="C745" s="14"/>
      <c r="D745" s="14"/>
      <c r="E745" s="14"/>
      <c r="F745" s="14"/>
      <c r="G745" s="14"/>
      <c r="H745" s="14"/>
      <c r="I745" s="14"/>
      <c r="J745" s="14"/>
      <c r="K745" s="14"/>
      <c r="L745" s="14"/>
      <c r="M745" s="14"/>
      <c r="N745" s="14"/>
      <c r="O745" s="14"/>
      <c r="P745" s="14"/>
      <c r="Q745" s="14"/>
      <c r="R745" s="60"/>
    </row>
    <row r="746" ht="28.5" customHeight="1">
      <c r="A746" s="14"/>
      <c r="B746" s="14"/>
      <c r="C746" s="14"/>
      <c r="D746" s="14"/>
      <c r="E746" s="14"/>
      <c r="F746" s="14"/>
      <c r="G746" s="14"/>
      <c r="H746" s="14"/>
      <c r="I746" s="14"/>
      <c r="J746" s="14"/>
      <c r="K746" s="14"/>
      <c r="L746" s="14"/>
      <c r="M746" s="14"/>
      <c r="N746" s="14"/>
      <c r="O746" s="14"/>
      <c r="P746" s="14"/>
      <c r="Q746" s="14"/>
      <c r="R746" s="60"/>
    </row>
    <row r="747" ht="28.5" customHeight="1">
      <c r="A747" s="14"/>
      <c r="B747" s="14"/>
      <c r="C747" s="14"/>
      <c r="D747" s="14"/>
      <c r="E747" s="14"/>
      <c r="F747" s="14"/>
      <c r="G747" s="14"/>
      <c r="H747" s="14"/>
      <c r="I747" s="14"/>
      <c r="J747" s="14"/>
      <c r="K747" s="14"/>
      <c r="L747" s="14"/>
      <c r="M747" s="14"/>
      <c r="N747" s="14"/>
      <c r="O747" s="14"/>
      <c r="P747" s="14"/>
      <c r="Q747" s="14"/>
      <c r="R747" s="60"/>
    </row>
    <row r="748" ht="28.5" customHeight="1">
      <c r="A748" s="14"/>
      <c r="B748" s="14"/>
      <c r="C748" s="14"/>
      <c r="D748" s="14"/>
      <c r="E748" s="14"/>
      <c r="F748" s="14"/>
      <c r="G748" s="14"/>
      <c r="H748" s="14"/>
      <c r="I748" s="14"/>
      <c r="J748" s="14"/>
      <c r="K748" s="14"/>
      <c r="L748" s="14"/>
      <c r="M748" s="14"/>
      <c r="N748" s="14"/>
      <c r="O748" s="14"/>
      <c r="P748" s="14"/>
      <c r="Q748" s="14"/>
      <c r="R748" s="60"/>
    </row>
    <row r="749" ht="28.5" customHeight="1">
      <c r="A749" s="14"/>
      <c r="B749" s="14"/>
      <c r="C749" s="14"/>
      <c r="D749" s="14"/>
      <c r="E749" s="14"/>
      <c r="F749" s="14"/>
      <c r="G749" s="14"/>
      <c r="H749" s="14"/>
      <c r="I749" s="14"/>
      <c r="J749" s="14"/>
      <c r="K749" s="14"/>
      <c r="L749" s="14"/>
      <c r="M749" s="14"/>
      <c r="N749" s="14"/>
      <c r="O749" s="14"/>
      <c r="P749" s="14"/>
      <c r="Q749" s="14"/>
      <c r="R749" s="60"/>
    </row>
    <row r="750" ht="28.5" customHeight="1">
      <c r="A750" s="14"/>
      <c r="B750" s="14"/>
      <c r="C750" s="14"/>
      <c r="D750" s="14"/>
      <c r="E750" s="14"/>
      <c r="F750" s="14"/>
      <c r="G750" s="14"/>
      <c r="H750" s="14"/>
      <c r="I750" s="14"/>
      <c r="J750" s="14"/>
      <c r="K750" s="14"/>
      <c r="L750" s="14"/>
      <c r="M750" s="14"/>
      <c r="N750" s="14"/>
      <c r="O750" s="14"/>
      <c r="P750" s="14"/>
      <c r="Q750" s="14"/>
      <c r="R750" s="60"/>
    </row>
    <row r="751" ht="28.5" customHeight="1">
      <c r="A751" s="14"/>
      <c r="B751" s="14"/>
      <c r="C751" s="14"/>
      <c r="D751" s="14"/>
      <c r="E751" s="14"/>
      <c r="F751" s="14"/>
      <c r="G751" s="14"/>
      <c r="H751" s="14"/>
      <c r="I751" s="14"/>
      <c r="J751" s="14"/>
      <c r="K751" s="14"/>
      <c r="L751" s="14"/>
      <c r="M751" s="14"/>
      <c r="N751" s="14"/>
      <c r="O751" s="14"/>
      <c r="P751" s="14"/>
      <c r="Q751" s="14"/>
      <c r="R751" s="60"/>
    </row>
    <row r="752" ht="28.5" customHeight="1">
      <c r="A752" s="14"/>
      <c r="B752" s="14"/>
      <c r="C752" s="14"/>
      <c r="D752" s="14"/>
      <c r="E752" s="14"/>
      <c r="F752" s="14"/>
      <c r="G752" s="14"/>
      <c r="H752" s="14"/>
      <c r="I752" s="14"/>
      <c r="J752" s="14"/>
      <c r="K752" s="14"/>
      <c r="L752" s="14"/>
      <c r="M752" s="14"/>
      <c r="N752" s="14"/>
      <c r="O752" s="14"/>
      <c r="P752" s="14"/>
      <c r="Q752" s="14"/>
      <c r="R752" s="60"/>
    </row>
    <row r="753" ht="28.5" customHeight="1">
      <c r="A753" s="14"/>
      <c r="B753" s="14"/>
      <c r="C753" s="14"/>
      <c r="D753" s="14"/>
      <c r="E753" s="14"/>
      <c r="F753" s="14"/>
      <c r="G753" s="14"/>
      <c r="H753" s="14"/>
      <c r="I753" s="14"/>
      <c r="J753" s="14"/>
      <c r="K753" s="14"/>
      <c r="L753" s="14"/>
      <c r="M753" s="14"/>
      <c r="N753" s="14"/>
      <c r="O753" s="14"/>
      <c r="P753" s="14"/>
      <c r="Q753" s="14"/>
      <c r="R753" s="60"/>
    </row>
    <row r="754" ht="28.5" customHeight="1">
      <c r="A754" s="14"/>
      <c r="B754" s="14"/>
      <c r="C754" s="14"/>
      <c r="D754" s="14"/>
      <c r="E754" s="14"/>
      <c r="F754" s="14"/>
      <c r="G754" s="14"/>
      <c r="H754" s="14"/>
      <c r="I754" s="14"/>
      <c r="J754" s="14"/>
      <c r="K754" s="14"/>
      <c r="L754" s="14"/>
      <c r="M754" s="14"/>
      <c r="N754" s="14"/>
      <c r="O754" s="14"/>
      <c r="P754" s="14"/>
      <c r="Q754" s="14"/>
      <c r="R754" s="60"/>
    </row>
    <row r="755" ht="28.5" customHeight="1">
      <c r="A755" s="14"/>
      <c r="B755" s="14"/>
      <c r="C755" s="14"/>
      <c r="D755" s="14"/>
      <c r="E755" s="14"/>
      <c r="F755" s="14"/>
      <c r="G755" s="14"/>
      <c r="H755" s="14"/>
      <c r="I755" s="14"/>
      <c r="J755" s="14"/>
      <c r="K755" s="14"/>
      <c r="L755" s="14"/>
      <c r="M755" s="14"/>
      <c r="N755" s="14"/>
      <c r="O755" s="14"/>
      <c r="P755" s="14"/>
      <c r="Q755" s="14"/>
      <c r="R755" s="60"/>
    </row>
    <row r="756" ht="28.5" customHeight="1">
      <c r="A756" s="14"/>
      <c r="B756" s="14"/>
      <c r="C756" s="14"/>
      <c r="D756" s="14"/>
      <c r="E756" s="14"/>
      <c r="F756" s="14"/>
      <c r="G756" s="14"/>
      <c r="H756" s="14"/>
      <c r="I756" s="14"/>
      <c r="J756" s="14"/>
      <c r="K756" s="14"/>
      <c r="L756" s="14"/>
      <c r="M756" s="14"/>
      <c r="N756" s="14"/>
      <c r="O756" s="14"/>
      <c r="P756" s="14"/>
      <c r="Q756" s="14"/>
      <c r="R756" s="60"/>
    </row>
    <row r="757" ht="28.5" customHeight="1">
      <c r="A757" s="14"/>
      <c r="B757" s="14"/>
      <c r="C757" s="14"/>
      <c r="D757" s="14"/>
      <c r="E757" s="14"/>
      <c r="F757" s="14"/>
      <c r="G757" s="14"/>
      <c r="H757" s="14"/>
      <c r="I757" s="14"/>
      <c r="J757" s="14"/>
      <c r="K757" s="14"/>
      <c r="L757" s="14"/>
      <c r="M757" s="14"/>
      <c r="N757" s="14"/>
      <c r="O757" s="14"/>
      <c r="P757" s="14"/>
      <c r="Q757" s="14"/>
      <c r="R757" s="60"/>
    </row>
    <row r="758" ht="28.5" customHeight="1">
      <c r="A758" s="14"/>
      <c r="B758" s="14"/>
      <c r="C758" s="14"/>
      <c r="D758" s="14"/>
      <c r="E758" s="14"/>
      <c r="F758" s="14"/>
      <c r="G758" s="14"/>
      <c r="H758" s="14"/>
      <c r="I758" s="14"/>
      <c r="J758" s="14"/>
      <c r="K758" s="14"/>
      <c r="L758" s="14"/>
      <c r="M758" s="14"/>
      <c r="N758" s="14"/>
      <c r="O758" s="14"/>
      <c r="P758" s="14"/>
      <c r="Q758" s="14"/>
      <c r="R758" s="60"/>
    </row>
    <row r="759" ht="28.5" customHeight="1">
      <c r="A759" s="14"/>
      <c r="B759" s="14"/>
      <c r="C759" s="14"/>
      <c r="D759" s="14"/>
      <c r="E759" s="14"/>
      <c r="F759" s="14"/>
      <c r="G759" s="14"/>
      <c r="H759" s="14"/>
      <c r="I759" s="14"/>
      <c r="J759" s="14"/>
      <c r="K759" s="14"/>
      <c r="L759" s="14"/>
      <c r="M759" s="14"/>
      <c r="N759" s="14"/>
      <c r="O759" s="14"/>
      <c r="P759" s="14"/>
      <c r="Q759" s="14"/>
      <c r="R759" s="60"/>
    </row>
    <row r="760" ht="28.5" customHeight="1">
      <c r="A760" s="14"/>
      <c r="B760" s="14"/>
      <c r="C760" s="14"/>
      <c r="D760" s="14"/>
      <c r="E760" s="14"/>
      <c r="F760" s="14"/>
      <c r="G760" s="14"/>
      <c r="H760" s="14"/>
      <c r="I760" s="14"/>
      <c r="J760" s="14"/>
      <c r="K760" s="14"/>
      <c r="L760" s="14"/>
      <c r="M760" s="14"/>
      <c r="N760" s="14"/>
      <c r="O760" s="14"/>
      <c r="P760" s="14"/>
      <c r="Q760" s="14"/>
      <c r="R760" s="60"/>
    </row>
    <row r="761" ht="28.5" customHeight="1">
      <c r="A761" s="14"/>
      <c r="B761" s="14"/>
      <c r="C761" s="14"/>
      <c r="D761" s="14"/>
      <c r="E761" s="14"/>
      <c r="F761" s="14"/>
      <c r="G761" s="14"/>
      <c r="H761" s="14"/>
      <c r="I761" s="14"/>
      <c r="J761" s="14"/>
      <c r="K761" s="14"/>
      <c r="L761" s="14"/>
      <c r="M761" s="14"/>
      <c r="N761" s="14"/>
      <c r="O761" s="14"/>
      <c r="P761" s="14"/>
      <c r="Q761" s="14"/>
      <c r="R761" s="60"/>
    </row>
    <row r="762" ht="28.5" customHeight="1">
      <c r="A762" s="14"/>
      <c r="B762" s="14"/>
      <c r="C762" s="14"/>
      <c r="D762" s="14"/>
      <c r="E762" s="14"/>
      <c r="F762" s="14"/>
      <c r="G762" s="14"/>
      <c r="H762" s="14"/>
      <c r="I762" s="14"/>
      <c r="J762" s="14"/>
      <c r="K762" s="14"/>
      <c r="L762" s="14"/>
      <c r="M762" s="14"/>
      <c r="N762" s="14"/>
      <c r="O762" s="14"/>
      <c r="P762" s="14"/>
      <c r="Q762" s="14"/>
      <c r="R762" s="60"/>
    </row>
    <row r="763" ht="28.5" customHeight="1">
      <c r="A763" s="14"/>
      <c r="B763" s="14"/>
      <c r="C763" s="14"/>
      <c r="D763" s="14"/>
      <c r="E763" s="14"/>
      <c r="F763" s="14"/>
      <c r="G763" s="14"/>
      <c r="H763" s="14"/>
      <c r="I763" s="14"/>
      <c r="J763" s="14"/>
      <c r="K763" s="14"/>
      <c r="L763" s="14"/>
      <c r="M763" s="14"/>
      <c r="N763" s="14"/>
      <c r="O763" s="14"/>
      <c r="P763" s="14"/>
      <c r="Q763" s="14"/>
      <c r="R763" s="60"/>
    </row>
    <row r="764" ht="28.5" customHeight="1">
      <c r="A764" s="14"/>
      <c r="B764" s="14"/>
      <c r="C764" s="14"/>
      <c r="D764" s="14"/>
      <c r="E764" s="14"/>
      <c r="F764" s="14"/>
      <c r="G764" s="14"/>
      <c r="H764" s="14"/>
      <c r="I764" s="14"/>
      <c r="J764" s="14"/>
      <c r="K764" s="14"/>
      <c r="L764" s="14"/>
      <c r="M764" s="14"/>
      <c r="N764" s="14"/>
      <c r="O764" s="14"/>
      <c r="P764" s="14"/>
      <c r="Q764" s="14"/>
      <c r="R764" s="60"/>
    </row>
    <row r="765" ht="28.5" customHeight="1">
      <c r="A765" s="14"/>
      <c r="B765" s="14"/>
      <c r="C765" s="14"/>
      <c r="D765" s="14"/>
      <c r="E765" s="14"/>
      <c r="F765" s="14"/>
      <c r="G765" s="14"/>
      <c r="H765" s="14"/>
      <c r="I765" s="14"/>
      <c r="J765" s="14"/>
      <c r="K765" s="14"/>
      <c r="L765" s="14"/>
      <c r="M765" s="14"/>
      <c r="N765" s="14"/>
      <c r="O765" s="14"/>
      <c r="P765" s="14"/>
      <c r="Q765" s="14"/>
      <c r="R765" s="60"/>
    </row>
    <row r="766" ht="28.5" customHeight="1">
      <c r="A766" s="14"/>
      <c r="B766" s="14"/>
      <c r="C766" s="14"/>
      <c r="D766" s="14"/>
      <c r="E766" s="14"/>
      <c r="F766" s="14"/>
      <c r="G766" s="14"/>
      <c r="H766" s="14"/>
      <c r="I766" s="14"/>
      <c r="J766" s="14"/>
      <c r="K766" s="14"/>
      <c r="L766" s="14"/>
      <c r="M766" s="14"/>
      <c r="N766" s="14"/>
      <c r="O766" s="14"/>
      <c r="P766" s="14"/>
      <c r="Q766" s="14"/>
      <c r="R766" s="60"/>
    </row>
    <row r="767" ht="28.5" customHeight="1">
      <c r="A767" s="14"/>
      <c r="B767" s="14"/>
      <c r="C767" s="14"/>
      <c r="D767" s="14"/>
      <c r="E767" s="14"/>
      <c r="F767" s="14"/>
      <c r="G767" s="14"/>
      <c r="H767" s="14"/>
      <c r="I767" s="14"/>
      <c r="J767" s="14"/>
      <c r="K767" s="14"/>
      <c r="L767" s="14"/>
      <c r="M767" s="14"/>
      <c r="N767" s="14"/>
      <c r="O767" s="14"/>
      <c r="P767" s="14"/>
      <c r="Q767" s="14"/>
      <c r="R767" s="60"/>
    </row>
    <row r="768" ht="28.5" customHeight="1">
      <c r="A768" s="14"/>
      <c r="B768" s="14"/>
      <c r="C768" s="14"/>
      <c r="D768" s="14"/>
      <c r="E768" s="14"/>
      <c r="F768" s="14"/>
      <c r="G768" s="14"/>
      <c r="H768" s="14"/>
      <c r="I768" s="14"/>
      <c r="J768" s="14"/>
      <c r="K768" s="14"/>
      <c r="L768" s="14"/>
      <c r="M768" s="14"/>
      <c r="N768" s="14"/>
      <c r="O768" s="14"/>
      <c r="P768" s="14"/>
      <c r="Q768" s="14"/>
      <c r="R768" s="60"/>
    </row>
    <row r="769" ht="28.5" customHeight="1">
      <c r="A769" s="14"/>
      <c r="B769" s="14"/>
      <c r="C769" s="14"/>
      <c r="D769" s="14"/>
      <c r="E769" s="14"/>
      <c r="F769" s="14"/>
      <c r="G769" s="14"/>
      <c r="H769" s="14"/>
      <c r="I769" s="14"/>
      <c r="J769" s="14"/>
      <c r="K769" s="14"/>
      <c r="L769" s="14"/>
      <c r="M769" s="14"/>
      <c r="N769" s="14"/>
      <c r="O769" s="14"/>
      <c r="P769" s="14"/>
      <c r="Q769" s="14"/>
      <c r="R769" s="60"/>
    </row>
    <row r="770" ht="28.5" customHeight="1">
      <c r="A770" s="14"/>
      <c r="B770" s="14"/>
      <c r="C770" s="14"/>
      <c r="D770" s="14"/>
      <c r="E770" s="14"/>
      <c r="F770" s="14"/>
      <c r="G770" s="14"/>
      <c r="H770" s="14"/>
      <c r="I770" s="14"/>
      <c r="J770" s="14"/>
      <c r="K770" s="14"/>
      <c r="L770" s="14"/>
      <c r="M770" s="14"/>
      <c r="N770" s="14"/>
      <c r="O770" s="14"/>
      <c r="P770" s="14"/>
      <c r="Q770" s="14"/>
      <c r="R770" s="60"/>
    </row>
    <row r="771" ht="28.5" customHeight="1">
      <c r="A771" s="14"/>
      <c r="B771" s="14"/>
      <c r="C771" s="14"/>
      <c r="D771" s="14"/>
      <c r="E771" s="14"/>
      <c r="F771" s="14"/>
      <c r="G771" s="14"/>
      <c r="H771" s="14"/>
      <c r="I771" s="14"/>
      <c r="J771" s="14"/>
      <c r="K771" s="14"/>
      <c r="L771" s="14"/>
      <c r="M771" s="14"/>
      <c r="N771" s="14"/>
      <c r="O771" s="14"/>
      <c r="P771" s="14"/>
      <c r="Q771" s="14"/>
      <c r="R771" s="60"/>
    </row>
    <row r="772" ht="28.5" customHeight="1">
      <c r="A772" s="14"/>
      <c r="B772" s="14"/>
      <c r="C772" s="14"/>
      <c r="D772" s="14"/>
      <c r="E772" s="14"/>
      <c r="F772" s="14"/>
      <c r="G772" s="14"/>
      <c r="H772" s="14"/>
      <c r="I772" s="14"/>
      <c r="J772" s="14"/>
      <c r="K772" s="14"/>
      <c r="L772" s="14"/>
      <c r="M772" s="14"/>
      <c r="N772" s="14"/>
      <c r="O772" s="14"/>
      <c r="P772" s="14"/>
      <c r="Q772" s="14"/>
      <c r="R772" s="60"/>
    </row>
    <row r="773" ht="28.5" customHeight="1">
      <c r="A773" s="14"/>
      <c r="B773" s="14"/>
      <c r="C773" s="14"/>
      <c r="D773" s="14"/>
      <c r="E773" s="14"/>
      <c r="F773" s="14"/>
      <c r="G773" s="14"/>
      <c r="H773" s="14"/>
      <c r="I773" s="14"/>
      <c r="J773" s="14"/>
      <c r="K773" s="14"/>
      <c r="L773" s="14"/>
      <c r="M773" s="14"/>
      <c r="N773" s="14"/>
      <c r="O773" s="14"/>
      <c r="P773" s="14"/>
      <c r="Q773" s="14"/>
      <c r="R773" s="60"/>
    </row>
    <row r="774" ht="28.5" customHeight="1">
      <c r="A774" s="14"/>
      <c r="B774" s="14"/>
      <c r="C774" s="14"/>
      <c r="D774" s="14"/>
      <c r="E774" s="14"/>
      <c r="F774" s="14"/>
      <c r="G774" s="14"/>
      <c r="H774" s="14"/>
      <c r="I774" s="14"/>
      <c r="J774" s="14"/>
      <c r="K774" s="14"/>
      <c r="L774" s="14"/>
      <c r="M774" s="14"/>
      <c r="N774" s="14"/>
      <c r="O774" s="14"/>
      <c r="P774" s="14"/>
      <c r="Q774" s="14"/>
      <c r="R774" s="60"/>
    </row>
    <row r="775" ht="28.5" customHeight="1">
      <c r="A775" s="14"/>
      <c r="B775" s="14"/>
      <c r="C775" s="14"/>
      <c r="D775" s="14"/>
      <c r="E775" s="14"/>
      <c r="F775" s="14"/>
      <c r="G775" s="14"/>
      <c r="H775" s="14"/>
      <c r="I775" s="14"/>
      <c r="J775" s="14"/>
      <c r="K775" s="14"/>
      <c r="L775" s="14"/>
      <c r="M775" s="14"/>
      <c r="N775" s="14"/>
      <c r="O775" s="14"/>
      <c r="P775" s="14"/>
      <c r="Q775" s="14"/>
      <c r="R775" s="60"/>
    </row>
    <row r="776" ht="28.5" customHeight="1">
      <c r="A776" s="14"/>
      <c r="B776" s="14"/>
      <c r="C776" s="14"/>
      <c r="D776" s="14"/>
      <c r="E776" s="14"/>
      <c r="F776" s="14"/>
      <c r="G776" s="14"/>
      <c r="H776" s="14"/>
      <c r="I776" s="14"/>
      <c r="J776" s="14"/>
      <c r="K776" s="14"/>
      <c r="L776" s="14"/>
      <c r="M776" s="14"/>
      <c r="N776" s="14"/>
      <c r="O776" s="14"/>
      <c r="P776" s="14"/>
      <c r="Q776" s="14"/>
      <c r="R776" s="60"/>
    </row>
    <row r="777" ht="28.5" customHeight="1">
      <c r="A777" s="14"/>
      <c r="B777" s="14"/>
      <c r="C777" s="14"/>
      <c r="D777" s="14"/>
      <c r="E777" s="14"/>
      <c r="F777" s="14"/>
      <c r="G777" s="14"/>
      <c r="H777" s="14"/>
      <c r="I777" s="14"/>
      <c r="J777" s="14"/>
      <c r="K777" s="14"/>
      <c r="L777" s="14"/>
      <c r="M777" s="14"/>
      <c r="N777" s="14"/>
      <c r="O777" s="14"/>
      <c r="P777" s="14"/>
      <c r="Q777" s="14"/>
      <c r="R777" s="60"/>
    </row>
    <row r="778" ht="28.5" customHeight="1">
      <c r="A778" s="14"/>
      <c r="B778" s="14"/>
      <c r="C778" s="14"/>
      <c r="D778" s="14"/>
      <c r="E778" s="14"/>
      <c r="F778" s="14"/>
      <c r="G778" s="14"/>
      <c r="H778" s="14"/>
      <c r="I778" s="14"/>
      <c r="J778" s="14"/>
      <c r="K778" s="14"/>
      <c r="L778" s="14"/>
      <c r="M778" s="14"/>
      <c r="N778" s="14"/>
      <c r="O778" s="14"/>
      <c r="P778" s="14"/>
      <c r="Q778" s="14"/>
      <c r="R778" s="60"/>
    </row>
    <row r="779" ht="28.5" customHeight="1">
      <c r="A779" s="14"/>
      <c r="B779" s="14"/>
      <c r="C779" s="14"/>
      <c r="D779" s="14"/>
      <c r="E779" s="14"/>
      <c r="F779" s="14"/>
      <c r="G779" s="14"/>
      <c r="H779" s="14"/>
      <c r="I779" s="14"/>
      <c r="J779" s="14"/>
      <c r="K779" s="14"/>
      <c r="L779" s="14"/>
      <c r="M779" s="14"/>
      <c r="N779" s="14"/>
      <c r="O779" s="14"/>
      <c r="P779" s="14"/>
      <c r="Q779" s="14"/>
      <c r="R779" s="60"/>
    </row>
    <row r="780" ht="28.5" customHeight="1">
      <c r="A780" s="14"/>
      <c r="B780" s="14"/>
      <c r="C780" s="14"/>
      <c r="D780" s="14"/>
      <c r="E780" s="14"/>
      <c r="F780" s="14"/>
      <c r="G780" s="14"/>
      <c r="H780" s="14"/>
      <c r="I780" s="14"/>
      <c r="J780" s="14"/>
      <c r="K780" s="14"/>
      <c r="L780" s="14"/>
      <c r="M780" s="14"/>
      <c r="N780" s="14"/>
      <c r="O780" s="14"/>
      <c r="P780" s="14"/>
      <c r="Q780" s="14"/>
      <c r="R780" s="60"/>
    </row>
    <row r="781" ht="28.5" customHeight="1">
      <c r="A781" s="14"/>
      <c r="B781" s="14"/>
      <c r="C781" s="14"/>
      <c r="D781" s="14"/>
      <c r="E781" s="14"/>
      <c r="F781" s="14"/>
      <c r="G781" s="14"/>
      <c r="H781" s="14"/>
      <c r="I781" s="14"/>
      <c r="J781" s="14"/>
      <c r="K781" s="14"/>
      <c r="L781" s="14"/>
      <c r="M781" s="14"/>
      <c r="N781" s="14"/>
      <c r="O781" s="14"/>
      <c r="P781" s="14"/>
      <c r="Q781" s="14"/>
      <c r="R781" s="60"/>
    </row>
    <row r="782" ht="28.5" customHeight="1">
      <c r="A782" s="14"/>
      <c r="B782" s="14"/>
      <c r="C782" s="14"/>
      <c r="D782" s="14"/>
      <c r="E782" s="14"/>
      <c r="F782" s="14"/>
      <c r="G782" s="14"/>
      <c r="H782" s="14"/>
      <c r="I782" s="14"/>
      <c r="J782" s="14"/>
      <c r="K782" s="14"/>
      <c r="L782" s="14"/>
      <c r="M782" s="14"/>
      <c r="N782" s="14"/>
      <c r="O782" s="14"/>
      <c r="P782" s="14"/>
      <c r="Q782" s="14"/>
      <c r="R782" s="60"/>
    </row>
    <row r="783" ht="28.5" customHeight="1">
      <c r="A783" s="14"/>
      <c r="B783" s="14"/>
      <c r="C783" s="14"/>
      <c r="D783" s="14"/>
      <c r="E783" s="14"/>
      <c r="F783" s="14"/>
      <c r="G783" s="14"/>
      <c r="H783" s="14"/>
      <c r="I783" s="14"/>
      <c r="J783" s="14"/>
      <c r="K783" s="14"/>
      <c r="L783" s="14"/>
      <c r="M783" s="14"/>
      <c r="N783" s="14"/>
      <c r="O783" s="14"/>
      <c r="P783" s="14"/>
      <c r="Q783" s="14"/>
      <c r="R783" s="60"/>
    </row>
    <row r="784" ht="28.5" customHeight="1">
      <c r="A784" s="14"/>
      <c r="B784" s="14"/>
      <c r="C784" s="14"/>
      <c r="D784" s="14"/>
      <c r="E784" s="14"/>
      <c r="F784" s="14"/>
      <c r="G784" s="14"/>
      <c r="H784" s="14"/>
      <c r="I784" s="14"/>
      <c r="J784" s="14"/>
      <c r="K784" s="14"/>
      <c r="L784" s="14"/>
      <c r="M784" s="14"/>
      <c r="N784" s="14"/>
      <c r="O784" s="14"/>
      <c r="P784" s="14"/>
      <c r="Q784" s="14"/>
      <c r="R784" s="60"/>
    </row>
    <row r="785" ht="28.5" customHeight="1">
      <c r="A785" s="14"/>
      <c r="B785" s="14"/>
      <c r="C785" s="14"/>
      <c r="D785" s="14"/>
      <c r="E785" s="14"/>
      <c r="F785" s="14"/>
      <c r="G785" s="14"/>
      <c r="H785" s="14"/>
      <c r="I785" s="14"/>
      <c r="J785" s="14"/>
      <c r="K785" s="14"/>
      <c r="L785" s="14"/>
      <c r="M785" s="14"/>
      <c r="N785" s="14"/>
      <c r="O785" s="14"/>
      <c r="P785" s="14"/>
      <c r="Q785" s="14"/>
      <c r="R785" s="60"/>
    </row>
    <row r="786" ht="28.5" customHeight="1">
      <c r="A786" s="14"/>
      <c r="B786" s="14"/>
      <c r="C786" s="14"/>
      <c r="D786" s="14"/>
      <c r="E786" s="14"/>
      <c r="F786" s="14"/>
      <c r="G786" s="14"/>
      <c r="H786" s="14"/>
      <c r="I786" s="14"/>
      <c r="J786" s="14"/>
      <c r="K786" s="14"/>
      <c r="L786" s="14"/>
      <c r="M786" s="14"/>
      <c r="N786" s="14"/>
      <c r="O786" s="14"/>
      <c r="P786" s="14"/>
      <c r="Q786" s="14"/>
      <c r="R786" s="60"/>
    </row>
    <row r="787" ht="28.5" customHeight="1">
      <c r="A787" s="14"/>
      <c r="B787" s="14"/>
      <c r="C787" s="14"/>
      <c r="D787" s="14"/>
      <c r="E787" s="14"/>
      <c r="F787" s="14"/>
      <c r="G787" s="14"/>
      <c r="H787" s="14"/>
      <c r="I787" s="14"/>
      <c r="J787" s="14"/>
      <c r="K787" s="14"/>
      <c r="L787" s="14"/>
      <c r="M787" s="14"/>
      <c r="N787" s="14"/>
      <c r="O787" s="14"/>
      <c r="P787" s="14"/>
      <c r="Q787" s="14"/>
      <c r="R787" s="60"/>
    </row>
    <row r="788" ht="28.5" customHeight="1">
      <c r="A788" s="14"/>
      <c r="B788" s="14"/>
      <c r="C788" s="14"/>
      <c r="D788" s="14"/>
      <c r="E788" s="14"/>
      <c r="F788" s="14"/>
      <c r="G788" s="14"/>
      <c r="H788" s="14"/>
      <c r="I788" s="14"/>
      <c r="J788" s="14"/>
      <c r="K788" s="14"/>
      <c r="L788" s="14"/>
      <c r="M788" s="14"/>
      <c r="N788" s="14"/>
      <c r="O788" s="14"/>
      <c r="P788" s="14"/>
      <c r="Q788" s="14"/>
      <c r="R788" s="60"/>
    </row>
    <row r="789" ht="28.5" customHeight="1">
      <c r="A789" s="14"/>
      <c r="B789" s="14"/>
      <c r="C789" s="14"/>
      <c r="D789" s="14"/>
      <c r="E789" s="14"/>
      <c r="F789" s="14"/>
      <c r="G789" s="14"/>
      <c r="H789" s="14"/>
      <c r="I789" s="14"/>
      <c r="J789" s="14"/>
      <c r="K789" s="14"/>
      <c r="L789" s="14"/>
      <c r="M789" s="14"/>
      <c r="N789" s="14"/>
      <c r="O789" s="14"/>
      <c r="P789" s="14"/>
      <c r="Q789" s="14"/>
      <c r="R789" s="60"/>
    </row>
    <row r="790" ht="28.5" customHeight="1">
      <c r="A790" s="14"/>
      <c r="B790" s="14"/>
      <c r="C790" s="14"/>
      <c r="D790" s="14"/>
      <c r="E790" s="14"/>
      <c r="F790" s="14"/>
      <c r="G790" s="14"/>
      <c r="H790" s="14"/>
      <c r="I790" s="14"/>
      <c r="J790" s="14"/>
      <c r="K790" s="14"/>
      <c r="L790" s="14"/>
      <c r="M790" s="14"/>
      <c r="N790" s="14"/>
      <c r="O790" s="14"/>
      <c r="P790" s="14"/>
      <c r="Q790" s="14"/>
      <c r="R790" s="60"/>
    </row>
    <row r="791" ht="28.5" customHeight="1">
      <c r="A791" s="14"/>
      <c r="B791" s="14"/>
      <c r="C791" s="14"/>
      <c r="D791" s="14"/>
      <c r="E791" s="14"/>
      <c r="F791" s="14"/>
      <c r="G791" s="14"/>
      <c r="H791" s="14"/>
      <c r="I791" s="14"/>
      <c r="J791" s="14"/>
      <c r="K791" s="14"/>
      <c r="L791" s="14"/>
      <c r="M791" s="14"/>
      <c r="N791" s="14"/>
      <c r="O791" s="14"/>
      <c r="P791" s="14"/>
      <c r="Q791" s="14"/>
      <c r="R791" s="60"/>
    </row>
    <row r="792" ht="28.5" customHeight="1">
      <c r="A792" s="14"/>
      <c r="B792" s="14"/>
      <c r="C792" s="14"/>
      <c r="D792" s="14"/>
      <c r="E792" s="14"/>
      <c r="F792" s="14"/>
      <c r="G792" s="14"/>
      <c r="H792" s="14"/>
      <c r="I792" s="14"/>
      <c r="J792" s="14"/>
      <c r="K792" s="14"/>
      <c r="L792" s="14"/>
      <c r="M792" s="14"/>
      <c r="N792" s="14"/>
      <c r="O792" s="14"/>
      <c r="P792" s="14"/>
      <c r="Q792" s="14"/>
      <c r="R792" s="60"/>
    </row>
    <row r="793" ht="28.5" customHeight="1">
      <c r="A793" s="14"/>
      <c r="B793" s="14"/>
      <c r="C793" s="14"/>
      <c r="D793" s="14"/>
      <c r="E793" s="14"/>
      <c r="F793" s="14"/>
      <c r="G793" s="14"/>
      <c r="H793" s="14"/>
      <c r="I793" s="14"/>
      <c r="J793" s="14"/>
      <c r="K793" s="14"/>
      <c r="L793" s="14"/>
      <c r="M793" s="14"/>
      <c r="N793" s="14"/>
      <c r="O793" s="14"/>
      <c r="P793" s="14"/>
      <c r="Q793" s="14"/>
      <c r="R793" s="60"/>
    </row>
    <row r="794" ht="28.5" customHeight="1">
      <c r="A794" s="14"/>
      <c r="B794" s="14"/>
      <c r="C794" s="14"/>
      <c r="D794" s="14"/>
      <c r="E794" s="14"/>
      <c r="F794" s="14"/>
      <c r="G794" s="14"/>
      <c r="H794" s="14"/>
      <c r="I794" s="14"/>
      <c r="J794" s="14"/>
      <c r="K794" s="14"/>
      <c r="L794" s="14"/>
      <c r="M794" s="14"/>
      <c r="N794" s="14"/>
      <c r="O794" s="14"/>
      <c r="P794" s="14"/>
      <c r="Q794" s="14"/>
      <c r="R794" s="60"/>
    </row>
    <row r="795" ht="28.5" customHeight="1">
      <c r="A795" s="14"/>
      <c r="B795" s="14"/>
      <c r="C795" s="14"/>
      <c r="D795" s="14"/>
      <c r="E795" s="14"/>
      <c r="F795" s="14"/>
      <c r="G795" s="14"/>
      <c r="H795" s="14"/>
      <c r="I795" s="14"/>
      <c r="J795" s="14"/>
      <c r="K795" s="14"/>
      <c r="L795" s="14"/>
      <c r="M795" s="14"/>
      <c r="N795" s="14"/>
      <c r="O795" s="14"/>
      <c r="P795" s="14"/>
      <c r="Q795" s="14"/>
      <c r="R795" s="60"/>
    </row>
    <row r="796" ht="28.5" customHeight="1">
      <c r="A796" s="14"/>
      <c r="B796" s="14"/>
      <c r="C796" s="14"/>
      <c r="D796" s="14"/>
      <c r="E796" s="14"/>
      <c r="F796" s="14"/>
      <c r="G796" s="14"/>
      <c r="H796" s="14"/>
      <c r="I796" s="14"/>
      <c r="J796" s="14"/>
      <c r="K796" s="14"/>
      <c r="L796" s="14"/>
      <c r="M796" s="14"/>
      <c r="N796" s="14"/>
      <c r="O796" s="14"/>
      <c r="P796" s="14"/>
      <c r="Q796" s="14"/>
      <c r="R796" s="60"/>
    </row>
    <row r="797" ht="28.5" customHeight="1">
      <c r="A797" s="14"/>
      <c r="B797" s="14"/>
      <c r="C797" s="14"/>
      <c r="D797" s="14"/>
      <c r="E797" s="14"/>
      <c r="F797" s="14"/>
      <c r="G797" s="14"/>
      <c r="H797" s="14"/>
      <c r="I797" s="14"/>
      <c r="J797" s="14"/>
      <c r="K797" s="14"/>
      <c r="L797" s="14"/>
      <c r="M797" s="14"/>
      <c r="N797" s="14"/>
      <c r="O797" s="14"/>
      <c r="P797" s="14"/>
      <c r="Q797" s="14"/>
      <c r="R797" s="60"/>
    </row>
    <row r="798" ht="28.5" customHeight="1">
      <c r="A798" s="14"/>
      <c r="B798" s="14"/>
      <c r="C798" s="14"/>
      <c r="D798" s="14"/>
      <c r="E798" s="14"/>
      <c r="F798" s="14"/>
      <c r="G798" s="14"/>
      <c r="H798" s="14"/>
      <c r="I798" s="14"/>
      <c r="J798" s="14"/>
      <c r="K798" s="14"/>
      <c r="L798" s="14"/>
      <c r="M798" s="14"/>
      <c r="N798" s="14"/>
      <c r="O798" s="14"/>
      <c r="P798" s="14"/>
      <c r="Q798" s="14"/>
      <c r="R798" s="60"/>
    </row>
    <row r="799" ht="28.5" customHeight="1">
      <c r="A799" s="14"/>
      <c r="B799" s="14"/>
      <c r="C799" s="14"/>
      <c r="D799" s="14"/>
      <c r="E799" s="14"/>
      <c r="F799" s="14"/>
      <c r="G799" s="14"/>
      <c r="H799" s="14"/>
      <c r="I799" s="14"/>
      <c r="J799" s="14"/>
      <c r="K799" s="14"/>
      <c r="L799" s="14"/>
      <c r="M799" s="14"/>
      <c r="N799" s="14"/>
      <c r="O799" s="14"/>
      <c r="P799" s="14"/>
      <c r="Q799" s="14"/>
      <c r="R799" s="60"/>
    </row>
    <row r="800" ht="28.5" customHeight="1">
      <c r="A800" s="14"/>
      <c r="B800" s="14"/>
      <c r="C800" s="14"/>
      <c r="D800" s="14"/>
      <c r="E800" s="14"/>
      <c r="F800" s="14"/>
      <c r="G800" s="14"/>
      <c r="H800" s="14"/>
      <c r="I800" s="14"/>
      <c r="J800" s="14"/>
      <c r="K800" s="14"/>
      <c r="L800" s="14"/>
      <c r="M800" s="14"/>
      <c r="N800" s="14"/>
      <c r="O800" s="14"/>
      <c r="P800" s="14"/>
      <c r="Q800" s="14"/>
      <c r="R800" s="60"/>
    </row>
    <row r="801" ht="28.5" customHeight="1">
      <c r="A801" s="14"/>
      <c r="B801" s="14"/>
      <c r="C801" s="14"/>
      <c r="D801" s="14"/>
      <c r="E801" s="14"/>
      <c r="F801" s="14"/>
      <c r="G801" s="14"/>
      <c r="H801" s="14"/>
      <c r="I801" s="14"/>
      <c r="J801" s="14"/>
      <c r="K801" s="14"/>
      <c r="L801" s="14"/>
      <c r="M801" s="14"/>
      <c r="N801" s="14"/>
      <c r="O801" s="14"/>
      <c r="P801" s="14"/>
      <c r="Q801" s="14"/>
      <c r="R801" s="60"/>
    </row>
    <row r="802" ht="28.5" customHeight="1">
      <c r="A802" s="14"/>
      <c r="B802" s="14"/>
      <c r="C802" s="14"/>
      <c r="D802" s="14"/>
      <c r="E802" s="14"/>
      <c r="F802" s="14"/>
      <c r="G802" s="14"/>
      <c r="H802" s="14"/>
      <c r="I802" s="14"/>
      <c r="J802" s="14"/>
      <c r="K802" s="14"/>
      <c r="L802" s="14"/>
      <c r="M802" s="14"/>
      <c r="N802" s="14"/>
      <c r="O802" s="14"/>
      <c r="P802" s="14"/>
      <c r="Q802" s="14"/>
      <c r="R802" s="60"/>
    </row>
    <row r="803" ht="28.5" customHeight="1">
      <c r="A803" s="14"/>
      <c r="B803" s="14"/>
      <c r="C803" s="14"/>
      <c r="D803" s="14"/>
      <c r="E803" s="14"/>
      <c r="F803" s="14"/>
      <c r="G803" s="14"/>
      <c r="H803" s="14"/>
      <c r="I803" s="14"/>
      <c r="J803" s="14"/>
      <c r="K803" s="14"/>
      <c r="L803" s="14"/>
      <c r="M803" s="14"/>
      <c r="N803" s="14"/>
      <c r="O803" s="14"/>
      <c r="P803" s="14"/>
      <c r="Q803" s="14"/>
      <c r="R803" s="60"/>
    </row>
    <row r="804" ht="28.5" customHeight="1">
      <c r="A804" s="14"/>
      <c r="B804" s="14"/>
      <c r="C804" s="14"/>
      <c r="D804" s="14"/>
      <c r="E804" s="14"/>
      <c r="F804" s="14"/>
      <c r="G804" s="14"/>
      <c r="H804" s="14"/>
      <c r="I804" s="14"/>
      <c r="J804" s="14"/>
      <c r="K804" s="14"/>
      <c r="L804" s="14"/>
      <c r="M804" s="14"/>
      <c r="N804" s="14"/>
      <c r="O804" s="14"/>
      <c r="P804" s="14"/>
      <c r="Q804" s="14"/>
      <c r="R804" s="60"/>
    </row>
    <row r="805" ht="28.5" customHeight="1">
      <c r="A805" s="14"/>
      <c r="B805" s="14"/>
      <c r="C805" s="14"/>
      <c r="D805" s="14"/>
      <c r="E805" s="14"/>
      <c r="F805" s="14"/>
      <c r="G805" s="14"/>
      <c r="H805" s="14"/>
      <c r="I805" s="14"/>
      <c r="J805" s="14"/>
      <c r="K805" s="14"/>
      <c r="L805" s="14"/>
      <c r="M805" s="14"/>
      <c r="N805" s="14"/>
      <c r="O805" s="14"/>
      <c r="P805" s="14"/>
      <c r="Q805" s="14"/>
      <c r="R805" s="60"/>
    </row>
    <row r="806" ht="28.5" customHeight="1">
      <c r="A806" s="14"/>
      <c r="B806" s="14"/>
      <c r="C806" s="14"/>
      <c r="D806" s="14"/>
      <c r="E806" s="14"/>
      <c r="F806" s="14"/>
      <c r="G806" s="14"/>
      <c r="H806" s="14"/>
      <c r="I806" s="14"/>
      <c r="J806" s="14"/>
      <c r="K806" s="14"/>
      <c r="L806" s="14"/>
      <c r="M806" s="14"/>
      <c r="N806" s="14"/>
      <c r="O806" s="14"/>
      <c r="P806" s="14"/>
      <c r="Q806" s="14"/>
      <c r="R806" s="60"/>
    </row>
    <row r="807" ht="28.5" customHeight="1">
      <c r="A807" s="14"/>
      <c r="B807" s="14"/>
      <c r="C807" s="14"/>
      <c r="D807" s="14"/>
      <c r="E807" s="14"/>
      <c r="F807" s="14"/>
      <c r="G807" s="14"/>
      <c r="H807" s="14"/>
      <c r="I807" s="14"/>
      <c r="J807" s="14"/>
      <c r="K807" s="14"/>
      <c r="L807" s="14"/>
      <c r="M807" s="14"/>
      <c r="N807" s="14"/>
      <c r="O807" s="14"/>
      <c r="P807" s="14"/>
      <c r="Q807" s="14"/>
      <c r="R807" s="60"/>
    </row>
    <row r="808" ht="28.5" customHeight="1">
      <c r="A808" s="14"/>
      <c r="B808" s="14"/>
      <c r="C808" s="14"/>
      <c r="D808" s="14"/>
      <c r="E808" s="14"/>
      <c r="F808" s="14"/>
      <c r="G808" s="14"/>
      <c r="H808" s="14"/>
      <c r="I808" s="14"/>
      <c r="J808" s="14"/>
      <c r="K808" s="14"/>
      <c r="L808" s="14"/>
      <c r="M808" s="14"/>
      <c r="N808" s="14"/>
      <c r="O808" s="14"/>
      <c r="P808" s="14"/>
      <c r="Q808" s="14"/>
      <c r="R808" s="60"/>
    </row>
    <row r="809" ht="28.5" customHeight="1">
      <c r="A809" s="14"/>
      <c r="B809" s="14"/>
      <c r="C809" s="14"/>
      <c r="D809" s="14"/>
      <c r="E809" s="14"/>
      <c r="F809" s="14"/>
      <c r="G809" s="14"/>
      <c r="H809" s="14"/>
      <c r="I809" s="14"/>
      <c r="J809" s="14"/>
      <c r="K809" s="14"/>
      <c r="L809" s="14"/>
      <c r="M809" s="14"/>
      <c r="N809" s="14"/>
      <c r="O809" s="14"/>
      <c r="P809" s="14"/>
      <c r="Q809" s="14"/>
      <c r="R809" s="60"/>
    </row>
    <row r="810" ht="28.5" customHeight="1">
      <c r="A810" s="14"/>
      <c r="B810" s="14"/>
      <c r="C810" s="14"/>
      <c r="D810" s="14"/>
      <c r="E810" s="14"/>
      <c r="F810" s="14"/>
      <c r="G810" s="14"/>
      <c r="H810" s="14"/>
      <c r="I810" s="14"/>
      <c r="J810" s="14"/>
      <c r="K810" s="14"/>
      <c r="L810" s="14"/>
      <c r="M810" s="14"/>
      <c r="N810" s="14"/>
      <c r="O810" s="14"/>
      <c r="P810" s="14"/>
      <c r="Q810" s="14"/>
      <c r="R810" s="60"/>
    </row>
    <row r="811" ht="28.5" customHeight="1">
      <c r="A811" s="14"/>
      <c r="B811" s="14"/>
      <c r="C811" s="14"/>
      <c r="D811" s="14"/>
      <c r="E811" s="14"/>
      <c r="F811" s="14"/>
      <c r="G811" s="14"/>
      <c r="H811" s="14"/>
      <c r="I811" s="14"/>
      <c r="J811" s="14"/>
      <c r="K811" s="14"/>
      <c r="L811" s="14"/>
      <c r="M811" s="14"/>
      <c r="N811" s="14"/>
      <c r="O811" s="14"/>
      <c r="P811" s="14"/>
      <c r="Q811" s="14"/>
      <c r="R811" s="60"/>
    </row>
    <row r="812" ht="28.5" customHeight="1">
      <c r="A812" s="14"/>
      <c r="B812" s="14"/>
      <c r="C812" s="14"/>
      <c r="D812" s="14"/>
      <c r="E812" s="14"/>
      <c r="F812" s="14"/>
      <c r="G812" s="14"/>
      <c r="H812" s="14"/>
      <c r="I812" s="14"/>
      <c r="J812" s="14"/>
      <c r="K812" s="14"/>
      <c r="L812" s="14"/>
      <c r="M812" s="14"/>
      <c r="N812" s="14"/>
      <c r="O812" s="14"/>
      <c r="P812" s="14"/>
      <c r="Q812" s="14"/>
      <c r="R812" s="60"/>
    </row>
    <row r="813" ht="28.5" customHeight="1">
      <c r="A813" s="14"/>
      <c r="B813" s="14"/>
      <c r="C813" s="14"/>
      <c r="D813" s="14"/>
      <c r="E813" s="14"/>
      <c r="F813" s="14"/>
      <c r="G813" s="14"/>
      <c r="H813" s="14"/>
      <c r="I813" s="14"/>
      <c r="J813" s="14"/>
      <c r="K813" s="14"/>
      <c r="L813" s="14"/>
      <c r="M813" s="14"/>
      <c r="N813" s="14"/>
      <c r="O813" s="14"/>
      <c r="P813" s="14"/>
      <c r="Q813" s="14"/>
      <c r="R813" s="60"/>
    </row>
    <row r="814" ht="28.5" customHeight="1">
      <c r="A814" s="14"/>
      <c r="B814" s="14"/>
      <c r="C814" s="14"/>
      <c r="D814" s="14"/>
      <c r="E814" s="14"/>
      <c r="F814" s="14"/>
      <c r="G814" s="14"/>
      <c r="H814" s="14"/>
      <c r="I814" s="14"/>
      <c r="J814" s="14"/>
      <c r="K814" s="14"/>
      <c r="L814" s="14"/>
      <c r="M814" s="14"/>
      <c r="N814" s="14"/>
      <c r="O814" s="14"/>
      <c r="P814" s="14"/>
      <c r="Q814" s="14"/>
      <c r="R814" s="60"/>
    </row>
    <row r="815" ht="28.5" customHeight="1">
      <c r="A815" s="14"/>
      <c r="B815" s="14"/>
      <c r="C815" s="14"/>
      <c r="D815" s="14"/>
      <c r="E815" s="14"/>
      <c r="F815" s="14"/>
      <c r="G815" s="14"/>
      <c r="H815" s="14"/>
      <c r="I815" s="14"/>
      <c r="J815" s="14"/>
      <c r="K815" s="14"/>
      <c r="L815" s="14"/>
      <c r="M815" s="14"/>
      <c r="N815" s="14"/>
      <c r="O815" s="14"/>
      <c r="P815" s="14"/>
      <c r="Q815" s="14"/>
      <c r="R815" s="60"/>
    </row>
    <row r="816" ht="28.5" customHeight="1">
      <c r="A816" s="14"/>
      <c r="B816" s="14"/>
      <c r="C816" s="14"/>
      <c r="D816" s="14"/>
      <c r="E816" s="14"/>
      <c r="F816" s="14"/>
      <c r="G816" s="14"/>
      <c r="H816" s="14"/>
      <c r="I816" s="14"/>
      <c r="J816" s="14"/>
      <c r="K816" s="14"/>
      <c r="L816" s="14"/>
      <c r="M816" s="14"/>
      <c r="N816" s="14"/>
      <c r="O816" s="14"/>
      <c r="P816" s="14"/>
      <c r="Q816" s="14"/>
      <c r="R816" s="60"/>
    </row>
    <row r="817" ht="28.5" customHeight="1">
      <c r="A817" s="14"/>
      <c r="B817" s="14"/>
      <c r="C817" s="14"/>
      <c r="D817" s="14"/>
      <c r="E817" s="14"/>
      <c r="F817" s="14"/>
      <c r="G817" s="14"/>
      <c r="H817" s="14"/>
      <c r="I817" s="14"/>
      <c r="J817" s="14"/>
      <c r="K817" s="14"/>
      <c r="L817" s="14"/>
      <c r="M817" s="14"/>
      <c r="N817" s="14"/>
      <c r="O817" s="14"/>
      <c r="P817" s="14"/>
      <c r="Q817" s="14"/>
      <c r="R817" s="60"/>
    </row>
    <row r="818" ht="28.5" customHeight="1">
      <c r="A818" s="14"/>
      <c r="B818" s="14"/>
      <c r="C818" s="14"/>
      <c r="D818" s="14"/>
      <c r="E818" s="14"/>
      <c r="F818" s="14"/>
      <c r="G818" s="14"/>
      <c r="H818" s="14"/>
      <c r="I818" s="14"/>
      <c r="J818" s="14"/>
      <c r="K818" s="14"/>
      <c r="L818" s="14"/>
      <c r="M818" s="14"/>
      <c r="N818" s="14"/>
      <c r="O818" s="14"/>
      <c r="P818" s="14"/>
      <c r="Q818" s="14"/>
      <c r="R818" s="60"/>
    </row>
    <row r="819" ht="28.5" customHeight="1">
      <c r="A819" s="14"/>
      <c r="B819" s="14"/>
      <c r="C819" s="14"/>
      <c r="D819" s="14"/>
      <c r="E819" s="14"/>
      <c r="F819" s="14"/>
      <c r="G819" s="14"/>
      <c r="H819" s="14"/>
      <c r="I819" s="14"/>
      <c r="J819" s="14"/>
      <c r="K819" s="14"/>
      <c r="L819" s="14"/>
      <c r="M819" s="14"/>
      <c r="N819" s="14"/>
      <c r="O819" s="14"/>
      <c r="P819" s="14"/>
      <c r="Q819" s="14"/>
      <c r="R819" s="60"/>
    </row>
    <row r="820" ht="28.5" customHeight="1">
      <c r="A820" s="14"/>
      <c r="B820" s="14"/>
      <c r="C820" s="14"/>
      <c r="D820" s="14"/>
      <c r="E820" s="14"/>
      <c r="F820" s="14"/>
      <c r="G820" s="14"/>
      <c r="H820" s="14"/>
      <c r="I820" s="14"/>
      <c r="J820" s="14"/>
      <c r="K820" s="14"/>
      <c r="L820" s="14"/>
      <c r="M820" s="14"/>
      <c r="N820" s="14"/>
      <c r="O820" s="14"/>
      <c r="P820" s="14"/>
      <c r="Q820" s="14"/>
      <c r="R820" s="60"/>
    </row>
    <row r="821" ht="28.5" customHeight="1">
      <c r="A821" s="14"/>
      <c r="B821" s="14"/>
      <c r="C821" s="14"/>
      <c r="D821" s="14"/>
      <c r="E821" s="14"/>
      <c r="F821" s="14"/>
      <c r="G821" s="14"/>
      <c r="H821" s="14"/>
      <c r="I821" s="14"/>
      <c r="J821" s="14"/>
      <c r="K821" s="14"/>
      <c r="L821" s="14"/>
      <c r="M821" s="14"/>
      <c r="N821" s="14"/>
      <c r="O821" s="14"/>
      <c r="P821" s="14"/>
      <c r="Q821" s="14"/>
      <c r="R821" s="60"/>
    </row>
    <row r="822" ht="28.5" customHeight="1">
      <c r="A822" s="14"/>
      <c r="B822" s="14"/>
      <c r="C822" s="14"/>
      <c r="D822" s="14"/>
      <c r="E822" s="14"/>
      <c r="F822" s="14"/>
      <c r="G822" s="14"/>
      <c r="H822" s="14"/>
      <c r="I822" s="14"/>
      <c r="J822" s="14"/>
      <c r="K822" s="14"/>
      <c r="L822" s="14"/>
      <c r="M822" s="14"/>
      <c r="N822" s="14"/>
      <c r="O822" s="14"/>
      <c r="P822" s="14"/>
      <c r="Q822" s="14"/>
      <c r="R822" s="60"/>
    </row>
    <row r="823" ht="28.5" customHeight="1">
      <c r="A823" s="14"/>
      <c r="B823" s="14"/>
      <c r="C823" s="14"/>
      <c r="D823" s="14"/>
      <c r="E823" s="14"/>
      <c r="F823" s="14"/>
      <c r="G823" s="14"/>
      <c r="H823" s="14"/>
      <c r="I823" s="14"/>
      <c r="J823" s="14"/>
      <c r="K823" s="14"/>
      <c r="L823" s="14"/>
      <c r="M823" s="14"/>
      <c r="N823" s="14"/>
      <c r="O823" s="14"/>
      <c r="P823" s="14"/>
      <c r="Q823" s="14"/>
      <c r="R823" s="60"/>
    </row>
    <row r="824" ht="28.5" customHeight="1">
      <c r="A824" s="14"/>
      <c r="B824" s="14"/>
      <c r="C824" s="14"/>
      <c r="D824" s="14"/>
      <c r="E824" s="14"/>
      <c r="F824" s="14"/>
      <c r="G824" s="14"/>
      <c r="H824" s="14"/>
      <c r="I824" s="14"/>
      <c r="J824" s="14"/>
      <c r="K824" s="14"/>
      <c r="L824" s="14"/>
      <c r="M824" s="14"/>
      <c r="N824" s="14"/>
      <c r="O824" s="14"/>
      <c r="P824" s="14"/>
      <c r="Q824" s="14"/>
      <c r="R824" s="60"/>
    </row>
    <row r="825" ht="28.5" customHeight="1">
      <c r="A825" s="14"/>
      <c r="B825" s="14"/>
      <c r="C825" s="14"/>
      <c r="D825" s="14"/>
      <c r="E825" s="14"/>
      <c r="F825" s="14"/>
      <c r="G825" s="14"/>
      <c r="H825" s="14"/>
      <c r="I825" s="14"/>
      <c r="J825" s="14"/>
      <c r="K825" s="14"/>
      <c r="L825" s="14"/>
      <c r="M825" s="14"/>
      <c r="N825" s="14"/>
      <c r="O825" s="14"/>
      <c r="P825" s="14"/>
      <c r="Q825" s="14"/>
      <c r="R825" s="60"/>
    </row>
    <row r="826" ht="28.5" customHeight="1">
      <c r="A826" s="14"/>
      <c r="B826" s="14"/>
      <c r="C826" s="14"/>
      <c r="D826" s="14"/>
      <c r="E826" s="14"/>
      <c r="F826" s="14"/>
      <c r="G826" s="14"/>
      <c r="H826" s="14"/>
      <c r="I826" s="14"/>
      <c r="J826" s="14"/>
      <c r="K826" s="14"/>
      <c r="L826" s="14"/>
      <c r="M826" s="14"/>
      <c r="N826" s="14"/>
      <c r="O826" s="14"/>
      <c r="P826" s="14"/>
      <c r="Q826" s="14"/>
      <c r="R826" s="60"/>
    </row>
    <row r="827" ht="28.5" customHeight="1">
      <c r="A827" s="14"/>
      <c r="B827" s="14"/>
      <c r="C827" s="14"/>
      <c r="D827" s="14"/>
      <c r="E827" s="14"/>
      <c r="F827" s="14"/>
      <c r="G827" s="14"/>
      <c r="H827" s="14"/>
      <c r="I827" s="14"/>
      <c r="J827" s="14"/>
      <c r="K827" s="14"/>
      <c r="L827" s="14"/>
      <c r="M827" s="14"/>
      <c r="N827" s="14"/>
      <c r="O827" s="14"/>
      <c r="P827" s="14"/>
      <c r="Q827" s="14"/>
      <c r="R827" s="60"/>
    </row>
    <row r="828" ht="28.5" customHeight="1">
      <c r="A828" s="14"/>
      <c r="B828" s="14"/>
      <c r="C828" s="14"/>
      <c r="D828" s="14"/>
      <c r="E828" s="14"/>
      <c r="F828" s="14"/>
      <c r="G828" s="14"/>
      <c r="H828" s="14"/>
      <c r="I828" s="14"/>
      <c r="J828" s="14"/>
      <c r="K828" s="14"/>
      <c r="L828" s="14"/>
      <c r="M828" s="14"/>
      <c r="N828" s="14"/>
      <c r="O828" s="14"/>
      <c r="P828" s="14"/>
      <c r="Q828" s="14"/>
      <c r="R828" s="60"/>
    </row>
    <row r="829" ht="28.5" customHeight="1">
      <c r="A829" s="14"/>
      <c r="B829" s="14"/>
      <c r="C829" s="14"/>
      <c r="D829" s="14"/>
      <c r="E829" s="14"/>
      <c r="F829" s="14"/>
      <c r="G829" s="14"/>
      <c r="H829" s="14"/>
      <c r="I829" s="14"/>
      <c r="J829" s="14"/>
      <c r="K829" s="14"/>
      <c r="L829" s="14"/>
      <c r="M829" s="14"/>
      <c r="N829" s="14"/>
      <c r="O829" s="14"/>
      <c r="P829" s="14"/>
      <c r="Q829" s="14"/>
      <c r="R829" s="60"/>
    </row>
    <row r="830" ht="28.5" customHeight="1">
      <c r="A830" s="14"/>
      <c r="B830" s="14"/>
      <c r="C830" s="14"/>
      <c r="D830" s="14"/>
      <c r="E830" s="14"/>
      <c r="F830" s="14"/>
      <c r="G830" s="14"/>
      <c r="H830" s="14"/>
      <c r="I830" s="14"/>
      <c r="J830" s="14"/>
      <c r="K830" s="14"/>
      <c r="L830" s="14"/>
      <c r="M830" s="14"/>
      <c r="N830" s="14"/>
      <c r="O830" s="14"/>
      <c r="P830" s="14"/>
      <c r="Q830" s="14"/>
      <c r="R830" s="60"/>
    </row>
    <row r="831" ht="28.5" customHeight="1">
      <c r="A831" s="14"/>
      <c r="B831" s="14"/>
      <c r="C831" s="14"/>
      <c r="D831" s="14"/>
      <c r="E831" s="14"/>
      <c r="F831" s="14"/>
      <c r="G831" s="14"/>
      <c r="H831" s="14"/>
      <c r="I831" s="14"/>
      <c r="J831" s="14"/>
      <c r="K831" s="14"/>
      <c r="L831" s="14"/>
      <c r="M831" s="14"/>
      <c r="N831" s="14"/>
      <c r="O831" s="14"/>
      <c r="P831" s="14"/>
      <c r="Q831" s="14"/>
      <c r="R831" s="60"/>
    </row>
    <row r="832" ht="28.5" customHeight="1">
      <c r="A832" s="14"/>
      <c r="B832" s="14"/>
      <c r="C832" s="14"/>
      <c r="D832" s="14"/>
      <c r="E832" s="14"/>
      <c r="F832" s="14"/>
      <c r="G832" s="14"/>
      <c r="H832" s="14"/>
      <c r="I832" s="14"/>
      <c r="J832" s="14"/>
      <c r="K832" s="14"/>
      <c r="L832" s="14"/>
      <c r="M832" s="14"/>
      <c r="N832" s="14"/>
      <c r="O832" s="14"/>
      <c r="P832" s="14"/>
      <c r="Q832" s="14"/>
      <c r="R832" s="60"/>
    </row>
    <row r="833" ht="28.5" customHeight="1">
      <c r="A833" s="14"/>
      <c r="B833" s="14"/>
      <c r="C833" s="14"/>
      <c r="D833" s="14"/>
      <c r="E833" s="14"/>
      <c r="F833" s="14"/>
      <c r="G833" s="14"/>
      <c r="H833" s="14"/>
      <c r="I833" s="14"/>
      <c r="J833" s="14"/>
      <c r="K833" s="14"/>
      <c r="L833" s="14"/>
      <c r="M833" s="14"/>
      <c r="N833" s="14"/>
      <c r="O833" s="14"/>
      <c r="P833" s="14"/>
      <c r="Q833" s="14"/>
      <c r="R833" s="60"/>
    </row>
    <row r="834" ht="28.5" customHeight="1">
      <c r="A834" s="14"/>
      <c r="B834" s="14"/>
      <c r="C834" s="14"/>
      <c r="D834" s="14"/>
      <c r="E834" s="14"/>
      <c r="F834" s="14"/>
      <c r="G834" s="14"/>
      <c r="H834" s="14"/>
      <c r="I834" s="14"/>
      <c r="J834" s="14"/>
      <c r="K834" s="14"/>
      <c r="L834" s="14"/>
      <c r="M834" s="14"/>
      <c r="N834" s="14"/>
      <c r="O834" s="14"/>
      <c r="P834" s="14"/>
      <c r="Q834" s="14"/>
      <c r="R834" s="60"/>
    </row>
    <row r="835" ht="28.5" customHeight="1">
      <c r="A835" s="14"/>
      <c r="B835" s="14"/>
      <c r="C835" s="14"/>
      <c r="D835" s="14"/>
      <c r="E835" s="14"/>
      <c r="F835" s="14"/>
      <c r="G835" s="14"/>
      <c r="H835" s="14"/>
      <c r="I835" s="14"/>
      <c r="J835" s="14"/>
      <c r="K835" s="14"/>
      <c r="L835" s="14"/>
      <c r="M835" s="14"/>
      <c r="N835" s="14"/>
      <c r="O835" s="14"/>
      <c r="P835" s="14"/>
      <c r="Q835" s="14"/>
      <c r="R835" s="60"/>
    </row>
    <row r="836" ht="28.5" customHeight="1">
      <c r="A836" s="14"/>
      <c r="B836" s="14"/>
      <c r="C836" s="14"/>
      <c r="D836" s="14"/>
      <c r="E836" s="14"/>
      <c r="F836" s="14"/>
      <c r="G836" s="14"/>
      <c r="H836" s="14"/>
      <c r="I836" s="14"/>
      <c r="J836" s="14"/>
      <c r="K836" s="14"/>
      <c r="L836" s="14"/>
      <c r="M836" s="14"/>
      <c r="N836" s="14"/>
      <c r="O836" s="14"/>
      <c r="P836" s="14"/>
      <c r="Q836" s="14"/>
      <c r="R836" s="60"/>
    </row>
    <row r="837" ht="28.5" customHeight="1">
      <c r="A837" s="14"/>
      <c r="B837" s="14"/>
      <c r="C837" s="14"/>
      <c r="D837" s="14"/>
      <c r="E837" s="14"/>
      <c r="F837" s="14"/>
      <c r="G837" s="14"/>
      <c r="H837" s="14"/>
      <c r="I837" s="14"/>
      <c r="J837" s="14"/>
      <c r="K837" s="14"/>
      <c r="L837" s="14"/>
      <c r="M837" s="14"/>
      <c r="N837" s="14"/>
      <c r="O837" s="14"/>
      <c r="P837" s="14"/>
      <c r="Q837" s="14"/>
      <c r="R837" s="60"/>
    </row>
    <row r="838" ht="28.5" customHeight="1">
      <c r="A838" s="14"/>
      <c r="B838" s="14"/>
      <c r="C838" s="14"/>
      <c r="D838" s="14"/>
      <c r="E838" s="14"/>
      <c r="F838" s="14"/>
      <c r="G838" s="14"/>
      <c r="H838" s="14"/>
      <c r="I838" s="14"/>
      <c r="J838" s="14"/>
      <c r="K838" s="14"/>
      <c r="L838" s="14"/>
      <c r="M838" s="14"/>
      <c r="N838" s="14"/>
      <c r="O838" s="14"/>
      <c r="P838" s="14"/>
      <c r="Q838" s="14"/>
      <c r="R838" s="60"/>
    </row>
    <row r="839" ht="28.5" customHeight="1">
      <c r="A839" s="14"/>
      <c r="B839" s="14"/>
      <c r="C839" s="14"/>
      <c r="D839" s="14"/>
      <c r="E839" s="14"/>
      <c r="F839" s="14"/>
      <c r="G839" s="14"/>
      <c r="H839" s="14"/>
      <c r="I839" s="14"/>
      <c r="J839" s="14"/>
      <c r="K839" s="14"/>
      <c r="L839" s="14"/>
      <c r="M839" s="14"/>
      <c r="N839" s="14"/>
      <c r="O839" s="14"/>
      <c r="P839" s="14"/>
      <c r="Q839" s="14"/>
      <c r="R839" s="60"/>
    </row>
    <row r="840" ht="28.5" customHeight="1">
      <c r="A840" s="14"/>
      <c r="B840" s="14"/>
      <c r="C840" s="14"/>
      <c r="D840" s="14"/>
      <c r="E840" s="14"/>
      <c r="F840" s="14"/>
      <c r="G840" s="14"/>
      <c r="H840" s="14"/>
      <c r="I840" s="14"/>
      <c r="J840" s="14"/>
      <c r="K840" s="14"/>
      <c r="L840" s="14"/>
      <c r="M840" s="14"/>
      <c r="N840" s="14"/>
      <c r="O840" s="14"/>
      <c r="P840" s="14"/>
      <c r="Q840" s="14"/>
      <c r="R840" s="60"/>
    </row>
    <row r="841" ht="28.5" customHeight="1">
      <c r="A841" s="14"/>
      <c r="B841" s="14"/>
      <c r="C841" s="14"/>
      <c r="D841" s="14"/>
      <c r="E841" s="14"/>
      <c r="F841" s="14"/>
      <c r="G841" s="14"/>
      <c r="H841" s="14"/>
      <c r="I841" s="14"/>
      <c r="J841" s="14"/>
      <c r="K841" s="14"/>
      <c r="L841" s="14"/>
      <c r="M841" s="14"/>
      <c r="N841" s="14"/>
      <c r="O841" s="14"/>
      <c r="P841" s="14"/>
      <c r="Q841" s="14"/>
      <c r="R841" s="60"/>
    </row>
    <row r="842" ht="28.5" customHeight="1">
      <c r="A842" s="14"/>
      <c r="B842" s="14"/>
      <c r="C842" s="14"/>
      <c r="D842" s="14"/>
      <c r="E842" s="14"/>
      <c r="F842" s="14"/>
      <c r="G842" s="14"/>
      <c r="H842" s="14"/>
      <c r="I842" s="14"/>
      <c r="J842" s="14"/>
      <c r="K842" s="14"/>
      <c r="L842" s="14"/>
      <c r="M842" s="14"/>
      <c r="N842" s="14"/>
      <c r="O842" s="14"/>
      <c r="P842" s="14"/>
      <c r="Q842" s="14"/>
      <c r="R842" s="60"/>
    </row>
    <row r="843" ht="28.5" customHeight="1">
      <c r="A843" s="14"/>
      <c r="B843" s="14"/>
      <c r="C843" s="14"/>
      <c r="D843" s="14"/>
      <c r="E843" s="14"/>
      <c r="F843" s="14"/>
      <c r="G843" s="14"/>
      <c r="H843" s="14"/>
      <c r="I843" s="14"/>
      <c r="J843" s="14"/>
      <c r="K843" s="14"/>
      <c r="L843" s="14"/>
      <c r="M843" s="14"/>
      <c r="N843" s="14"/>
      <c r="O843" s="14"/>
      <c r="P843" s="14"/>
      <c r="Q843" s="14"/>
      <c r="R843" s="60"/>
    </row>
    <row r="844" ht="28.5" customHeight="1">
      <c r="A844" s="14"/>
      <c r="B844" s="14"/>
      <c r="C844" s="14"/>
      <c r="D844" s="14"/>
      <c r="E844" s="14"/>
      <c r="F844" s="14"/>
      <c r="G844" s="14"/>
      <c r="H844" s="14"/>
      <c r="I844" s="14"/>
      <c r="J844" s="14"/>
      <c r="K844" s="14"/>
      <c r="L844" s="14"/>
      <c r="M844" s="14"/>
      <c r="N844" s="14"/>
      <c r="O844" s="14"/>
      <c r="P844" s="14"/>
      <c r="Q844" s="14"/>
      <c r="R844" s="60"/>
    </row>
    <row r="845" ht="28.5" customHeight="1">
      <c r="A845" s="14"/>
      <c r="B845" s="14"/>
      <c r="C845" s="14"/>
      <c r="D845" s="14"/>
      <c r="E845" s="14"/>
      <c r="F845" s="14"/>
      <c r="G845" s="14"/>
      <c r="H845" s="14"/>
      <c r="I845" s="14"/>
      <c r="J845" s="14"/>
      <c r="K845" s="14"/>
      <c r="L845" s="14"/>
      <c r="M845" s="14"/>
      <c r="N845" s="14"/>
      <c r="O845" s="14"/>
      <c r="P845" s="14"/>
      <c r="Q845" s="14"/>
      <c r="R845" s="60"/>
    </row>
    <row r="846" ht="28.5" customHeight="1">
      <c r="A846" s="14"/>
      <c r="B846" s="14"/>
      <c r="C846" s="14"/>
      <c r="D846" s="14"/>
      <c r="E846" s="14"/>
      <c r="F846" s="14"/>
      <c r="G846" s="14"/>
      <c r="H846" s="14"/>
      <c r="I846" s="14"/>
      <c r="J846" s="14"/>
      <c r="K846" s="14"/>
      <c r="L846" s="14"/>
      <c r="M846" s="14"/>
      <c r="N846" s="14"/>
      <c r="O846" s="14"/>
      <c r="P846" s="14"/>
      <c r="Q846" s="14"/>
      <c r="R846" s="60"/>
    </row>
    <row r="847" ht="28.5" customHeight="1">
      <c r="A847" s="14"/>
      <c r="B847" s="14"/>
      <c r="C847" s="14"/>
      <c r="D847" s="14"/>
      <c r="E847" s="14"/>
      <c r="F847" s="14"/>
      <c r="G847" s="14"/>
      <c r="H847" s="14"/>
      <c r="I847" s="14"/>
      <c r="J847" s="14"/>
      <c r="K847" s="14"/>
      <c r="L847" s="14"/>
      <c r="M847" s="14"/>
      <c r="N847" s="14"/>
      <c r="O847" s="14"/>
      <c r="P847" s="14"/>
      <c r="Q847" s="14"/>
      <c r="R847" s="60"/>
    </row>
    <row r="848" ht="28.5" customHeight="1">
      <c r="A848" s="14"/>
      <c r="B848" s="14"/>
      <c r="C848" s="14"/>
      <c r="D848" s="14"/>
      <c r="E848" s="14"/>
      <c r="F848" s="14"/>
      <c r="G848" s="14"/>
      <c r="H848" s="14"/>
      <c r="I848" s="14"/>
      <c r="J848" s="14"/>
      <c r="K848" s="14"/>
      <c r="L848" s="14"/>
      <c r="M848" s="14"/>
      <c r="N848" s="14"/>
      <c r="O848" s="14"/>
      <c r="P848" s="14"/>
      <c r="Q848" s="14"/>
      <c r="R848" s="60"/>
    </row>
    <row r="849" ht="28.5" customHeight="1">
      <c r="A849" s="14"/>
      <c r="B849" s="14"/>
      <c r="C849" s="14"/>
      <c r="D849" s="14"/>
      <c r="E849" s="14"/>
      <c r="F849" s="14"/>
      <c r="G849" s="14"/>
      <c r="H849" s="14"/>
      <c r="I849" s="14"/>
      <c r="J849" s="14"/>
      <c r="K849" s="14"/>
      <c r="L849" s="14"/>
      <c r="M849" s="14"/>
      <c r="N849" s="14"/>
      <c r="O849" s="14"/>
      <c r="P849" s="14"/>
      <c r="Q849" s="14"/>
      <c r="R849" s="60"/>
    </row>
    <row r="850" ht="28.5" customHeight="1">
      <c r="A850" s="14"/>
      <c r="B850" s="14"/>
      <c r="C850" s="14"/>
      <c r="D850" s="14"/>
      <c r="E850" s="14"/>
      <c r="F850" s="14"/>
      <c r="G850" s="14"/>
      <c r="H850" s="14"/>
      <c r="I850" s="14"/>
      <c r="J850" s="14"/>
      <c r="K850" s="14"/>
      <c r="L850" s="14"/>
      <c r="M850" s="14"/>
      <c r="N850" s="14"/>
      <c r="O850" s="14"/>
      <c r="P850" s="14"/>
      <c r="Q850" s="14"/>
      <c r="R850" s="60"/>
    </row>
    <row r="851" ht="28.5" customHeight="1">
      <c r="A851" s="14"/>
      <c r="B851" s="14"/>
      <c r="C851" s="14"/>
      <c r="D851" s="14"/>
      <c r="E851" s="14"/>
      <c r="F851" s="14"/>
      <c r="G851" s="14"/>
      <c r="H851" s="14"/>
      <c r="I851" s="14"/>
      <c r="J851" s="14"/>
      <c r="K851" s="14"/>
      <c r="L851" s="14"/>
      <c r="M851" s="14"/>
      <c r="N851" s="14"/>
      <c r="O851" s="14"/>
      <c r="P851" s="14"/>
      <c r="Q851" s="14"/>
      <c r="R851" s="60"/>
    </row>
    <row r="852" ht="28.5" customHeight="1">
      <c r="A852" s="14"/>
      <c r="B852" s="14"/>
      <c r="C852" s="14"/>
      <c r="D852" s="14"/>
      <c r="E852" s="14"/>
      <c r="F852" s="14"/>
      <c r="G852" s="14"/>
      <c r="H852" s="14"/>
      <c r="I852" s="14"/>
      <c r="J852" s="14"/>
      <c r="K852" s="14"/>
      <c r="L852" s="14"/>
      <c r="M852" s="14"/>
      <c r="N852" s="14"/>
      <c r="O852" s="14"/>
      <c r="P852" s="14"/>
      <c r="Q852" s="14"/>
      <c r="R852" s="60"/>
    </row>
    <row r="853" ht="28.5" customHeight="1">
      <c r="A853" s="14"/>
      <c r="B853" s="14"/>
      <c r="C853" s="14"/>
      <c r="D853" s="14"/>
      <c r="E853" s="14"/>
      <c r="F853" s="14"/>
      <c r="G853" s="14"/>
      <c r="H853" s="14"/>
      <c r="I853" s="14"/>
      <c r="J853" s="14"/>
      <c r="K853" s="14"/>
      <c r="L853" s="14"/>
      <c r="M853" s="14"/>
      <c r="N853" s="14"/>
      <c r="O853" s="14"/>
      <c r="P853" s="14"/>
      <c r="Q853" s="14"/>
      <c r="R853" s="60"/>
    </row>
    <row r="854" ht="28.5" customHeight="1">
      <c r="A854" s="14"/>
      <c r="B854" s="14"/>
      <c r="C854" s="14"/>
      <c r="D854" s="14"/>
      <c r="E854" s="14"/>
      <c r="F854" s="14"/>
      <c r="G854" s="14"/>
      <c r="H854" s="14"/>
      <c r="I854" s="14"/>
      <c r="J854" s="14"/>
      <c r="K854" s="14"/>
      <c r="L854" s="14"/>
      <c r="M854" s="14"/>
      <c r="N854" s="14"/>
      <c r="O854" s="14"/>
      <c r="P854" s="14"/>
      <c r="Q854" s="14"/>
      <c r="R854" s="60"/>
    </row>
    <row r="855" ht="28.5" customHeight="1">
      <c r="A855" s="14"/>
      <c r="B855" s="14"/>
      <c r="C855" s="14"/>
      <c r="D855" s="14"/>
      <c r="E855" s="14"/>
      <c r="F855" s="14"/>
      <c r="G855" s="14"/>
      <c r="H855" s="14"/>
      <c r="I855" s="14"/>
      <c r="J855" s="14"/>
      <c r="K855" s="14"/>
      <c r="L855" s="14"/>
      <c r="M855" s="14"/>
      <c r="N855" s="14"/>
      <c r="O855" s="14"/>
      <c r="P855" s="14"/>
      <c r="Q855" s="14"/>
      <c r="R855" s="60"/>
    </row>
    <row r="856" ht="28.5" customHeight="1">
      <c r="A856" s="14"/>
      <c r="B856" s="14"/>
      <c r="C856" s="14"/>
      <c r="D856" s="14"/>
      <c r="E856" s="14"/>
      <c r="F856" s="14"/>
      <c r="G856" s="14"/>
      <c r="H856" s="14"/>
      <c r="I856" s="14"/>
      <c r="J856" s="14"/>
      <c r="K856" s="14"/>
      <c r="L856" s="14"/>
      <c r="M856" s="14"/>
      <c r="N856" s="14"/>
      <c r="O856" s="14"/>
      <c r="P856" s="14"/>
      <c r="Q856" s="14"/>
      <c r="R856" s="60"/>
    </row>
    <row r="857" ht="28.5" customHeight="1">
      <c r="A857" s="14"/>
      <c r="B857" s="14"/>
      <c r="C857" s="14"/>
      <c r="D857" s="14"/>
      <c r="E857" s="14"/>
      <c r="F857" s="14"/>
      <c r="G857" s="14"/>
      <c r="H857" s="14"/>
      <c r="I857" s="14"/>
      <c r="J857" s="14"/>
      <c r="K857" s="14"/>
      <c r="L857" s="14"/>
      <c r="M857" s="14"/>
      <c r="N857" s="14"/>
      <c r="O857" s="14"/>
      <c r="P857" s="14"/>
      <c r="Q857" s="14"/>
      <c r="R857" s="60"/>
    </row>
    <row r="858" ht="28.5" customHeight="1">
      <c r="A858" s="14"/>
      <c r="B858" s="14"/>
      <c r="C858" s="14"/>
      <c r="D858" s="14"/>
      <c r="E858" s="14"/>
      <c r="F858" s="14"/>
      <c r="G858" s="14"/>
      <c r="H858" s="14"/>
      <c r="I858" s="14"/>
      <c r="J858" s="14"/>
      <c r="K858" s="14"/>
      <c r="L858" s="14"/>
      <c r="M858" s="14"/>
      <c r="N858" s="14"/>
      <c r="O858" s="14"/>
      <c r="P858" s="14"/>
      <c r="Q858" s="14"/>
      <c r="R858" s="60"/>
    </row>
    <row r="859" ht="28.5" customHeight="1">
      <c r="A859" s="14"/>
      <c r="B859" s="14"/>
      <c r="C859" s="14"/>
      <c r="D859" s="14"/>
      <c r="E859" s="14"/>
      <c r="F859" s="14"/>
      <c r="G859" s="14"/>
      <c r="H859" s="14"/>
      <c r="I859" s="14"/>
      <c r="J859" s="14"/>
      <c r="K859" s="14"/>
      <c r="L859" s="14"/>
      <c r="M859" s="14"/>
      <c r="N859" s="14"/>
      <c r="O859" s="14"/>
      <c r="P859" s="14"/>
      <c r="Q859" s="14"/>
      <c r="R859" s="60"/>
    </row>
    <row r="860" ht="28.5" customHeight="1">
      <c r="A860" s="14"/>
      <c r="B860" s="14"/>
      <c r="C860" s="14"/>
      <c r="D860" s="14"/>
      <c r="E860" s="14"/>
      <c r="F860" s="14"/>
      <c r="G860" s="14"/>
      <c r="H860" s="14"/>
      <c r="I860" s="14"/>
      <c r="J860" s="14"/>
      <c r="K860" s="14"/>
      <c r="L860" s="14"/>
      <c r="M860" s="14"/>
      <c r="N860" s="14"/>
      <c r="O860" s="14"/>
      <c r="P860" s="14"/>
      <c r="Q860" s="14"/>
      <c r="R860" s="60"/>
    </row>
    <row r="861" ht="28.5" customHeight="1">
      <c r="A861" s="14"/>
      <c r="B861" s="14"/>
      <c r="C861" s="14"/>
      <c r="D861" s="14"/>
      <c r="E861" s="14"/>
      <c r="F861" s="14"/>
      <c r="G861" s="14"/>
      <c r="H861" s="14"/>
      <c r="I861" s="14"/>
      <c r="J861" s="14"/>
      <c r="K861" s="14"/>
      <c r="L861" s="14"/>
      <c r="M861" s="14"/>
      <c r="N861" s="14"/>
      <c r="O861" s="14"/>
      <c r="P861" s="14"/>
      <c r="Q861" s="14"/>
      <c r="R861" s="60"/>
    </row>
    <row r="862" ht="28.5" customHeight="1">
      <c r="A862" s="14"/>
      <c r="B862" s="14"/>
      <c r="C862" s="14"/>
      <c r="D862" s="14"/>
      <c r="E862" s="14"/>
      <c r="F862" s="14"/>
      <c r="G862" s="14"/>
      <c r="H862" s="14"/>
      <c r="I862" s="14"/>
      <c r="J862" s="14"/>
      <c r="K862" s="14"/>
      <c r="L862" s="14"/>
      <c r="M862" s="14"/>
      <c r="N862" s="14"/>
      <c r="O862" s="14"/>
      <c r="P862" s="14"/>
      <c r="Q862" s="14"/>
      <c r="R862" s="60"/>
    </row>
    <row r="863" ht="28.5" customHeight="1">
      <c r="A863" s="14"/>
      <c r="B863" s="14"/>
      <c r="C863" s="14"/>
      <c r="D863" s="14"/>
      <c r="E863" s="14"/>
      <c r="F863" s="14"/>
      <c r="G863" s="14"/>
      <c r="H863" s="14"/>
      <c r="I863" s="14"/>
      <c r="J863" s="14"/>
      <c r="K863" s="14"/>
      <c r="L863" s="14"/>
      <c r="M863" s="14"/>
      <c r="N863" s="14"/>
      <c r="O863" s="14"/>
      <c r="P863" s="14"/>
      <c r="Q863" s="14"/>
      <c r="R863" s="60"/>
    </row>
    <row r="864" ht="28.5" customHeight="1">
      <c r="A864" s="14"/>
      <c r="B864" s="14"/>
      <c r="C864" s="14"/>
      <c r="D864" s="14"/>
      <c r="E864" s="14"/>
      <c r="F864" s="14"/>
      <c r="G864" s="14"/>
      <c r="H864" s="14"/>
      <c r="I864" s="14"/>
      <c r="J864" s="14"/>
      <c r="K864" s="14"/>
      <c r="L864" s="14"/>
      <c r="M864" s="14"/>
      <c r="N864" s="14"/>
      <c r="O864" s="14"/>
      <c r="P864" s="14"/>
      <c r="Q864" s="14"/>
      <c r="R864" s="60"/>
    </row>
    <row r="865" ht="28.5" customHeight="1">
      <c r="A865" s="14"/>
      <c r="B865" s="14"/>
      <c r="C865" s="14"/>
      <c r="D865" s="14"/>
      <c r="E865" s="14"/>
      <c r="F865" s="14"/>
      <c r="G865" s="14"/>
      <c r="H865" s="14"/>
      <c r="I865" s="14"/>
      <c r="J865" s="14"/>
      <c r="K865" s="14"/>
      <c r="L865" s="14"/>
      <c r="M865" s="14"/>
      <c r="N865" s="14"/>
      <c r="O865" s="14"/>
      <c r="P865" s="14"/>
      <c r="Q865" s="14"/>
      <c r="R865" s="60"/>
    </row>
    <row r="866" ht="28.5" customHeight="1">
      <c r="A866" s="14"/>
      <c r="B866" s="14"/>
      <c r="C866" s="14"/>
      <c r="D866" s="14"/>
      <c r="E866" s="14"/>
      <c r="F866" s="14"/>
      <c r="G866" s="14"/>
      <c r="H866" s="14"/>
      <c r="I866" s="14"/>
      <c r="J866" s="14"/>
      <c r="K866" s="14"/>
      <c r="L866" s="14"/>
      <c r="M866" s="14"/>
      <c r="N866" s="14"/>
      <c r="O866" s="14"/>
      <c r="P866" s="14"/>
      <c r="Q866" s="14"/>
      <c r="R866" s="60"/>
    </row>
    <row r="867" ht="28.5" customHeight="1">
      <c r="A867" s="14"/>
      <c r="B867" s="14"/>
      <c r="C867" s="14"/>
      <c r="D867" s="14"/>
      <c r="E867" s="14"/>
      <c r="F867" s="14"/>
      <c r="G867" s="14"/>
      <c r="H867" s="14"/>
      <c r="I867" s="14"/>
      <c r="J867" s="14"/>
      <c r="K867" s="14"/>
      <c r="L867" s="14"/>
      <c r="M867" s="14"/>
      <c r="N867" s="14"/>
      <c r="O867" s="14"/>
      <c r="P867" s="14"/>
      <c r="Q867" s="14"/>
      <c r="R867" s="60"/>
    </row>
    <row r="868" ht="28.5" customHeight="1">
      <c r="A868" s="14"/>
      <c r="B868" s="14"/>
      <c r="C868" s="14"/>
      <c r="D868" s="14"/>
      <c r="E868" s="14"/>
      <c r="F868" s="14"/>
      <c r="G868" s="14"/>
      <c r="H868" s="14"/>
      <c r="I868" s="14"/>
      <c r="J868" s="14"/>
      <c r="K868" s="14"/>
      <c r="L868" s="14"/>
      <c r="M868" s="14"/>
      <c r="N868" s="14"/>
      <c r="O868" s="14"/>
      <c r="P868" s="14"/>
      <c r="Q868" s="14"/>
      <c r="R868" s="60"/>
    </row>
    <row r="869" ht="28.5" customHeight="1">
      <c r="A869" s="14"/>
      <c r="B869" s="14"/>
      <c r="C869" s="14"/>
      <c r="D869" s="14"/>
      <c r="E869" s="14"/>
      <c r="F869" s="14"/>
      <c r="G869" s="14"/>
      <c r="H869" s="14"/>
      <c r="I869" s="14"/>
      <c r="J869" s="14"/>
      <c r="K869" s="14"/>
      <c r="L869" s="14"/>
      <c r="M869" s="14"/>
      <c r="N869" s="14"/>
      <c r="O869" s="14"/>
      <c r="P869" s="14"/>
      <c r="Q869" s="14"/>
      <c r="R869" s="60"/>
    </row>
    <row r="870" ht="28.5" customHeight="1">
      <c r="A870" s="14"/>
      <c r="B870" s="14"/>
      <c r="C870" s="14"/>
      <c r="D870" s="14"/>
      <c r="E870" s="14"/>
      <c r="F870" s="14"/>
      <c r="G870" s="14"/>
      <c r="H870" s="14"/>
      <c r="I870" s="14"/>
      <c r="J870" s="14"/>
      <c r="K870" s="14"/>
      <c r="L870" s="14"/>
      <c r="M870" s="14"/>
      <c r="N870" s="14"/>
      <c r="O870" s="14"/>
      <c r="P870" s="14"/>
      <c r="Q870" s="14"/>
      <c r="R870" s="60"/>
    </row>
    <row r="871" ht="28.5" customHeight="1">
      <c r="A871" s="14"/>
      <c r="B871" s="14"/>
      <c r="C871" s="14"/>
      <c r="D871" s="14"/>
      <c r="E871" s="14"/>
      <c r="F871" s="14"/>
      <c r="G871" s="14"/>
      <c r="H871" s="14"/>
      <c r="I871" s="14"/>
      <c r="J871" s="14"/>
      <c r="K871" s="14"/>
      <c r="L871" s="14"/>
      <c r="M871" s="14"/>
      <c r="N871" s="14"/>
      <c r="O871" s="14"/>
      <c r="P871" s="14"/>
      <c r="Q871" s="14"/>
      <c r="R871" s="60"/>
    </row>
    <row r="872" ht="28.5" customHeight="1">
      <c r="A872" s="14"/>
      <c r="B872" s="14"/>
      <c r="C872" s="14"/>
      <c r="D872" s="14"/>
      <c r="E872" s="14"/>
      <c r="F872" s="14"/>
      <c r="G872" s="14"/>
      <c r="H872" s="14"/>
      <c r="I872" s="14"/>
      <c r="J872" s="14"/>
      <c r="K872" s="14"/>
      <c r="L872" s="14"/>
      <c r="M872" s="14"/>
      <c r="N872" s="14"/>
      <c r="O872" s="14"/>
      <c r="P872" s="14"/>
      <c r="Q872" s="14"/>
      <c r="R872" s="60"/>
    </row>
    <row r="873" ht="28.5" customHeight="1">
      <c r="A873" s="14"/>
      <c r="B873" s="14"/>
      <c r="C873" s="14"/>
      <c r="D873" s="14"/>
      <c r="E873" s="14"/>
      <c r="F873" s="14"/>
      <c r="G873" s="14"/>
      <c r="H873" s="14"/>
      <c r="I873" s="14"/>
      <c r="J873" s="14"/>
      <c r="K873" s="14"/>
      <c r="L873" s="14"/>
      <c r="M873" s="14"/>
      <c r="N873" s="14"/>
      <c r="O873" s="14"/>
      <c r="P873" s="14"/>
      <c r="Q873" s="14"/>
      <c r="R873" s="60"/>
    </row>
    <row r="874" ht="28.5" customHeight="1">
      <c r="A874" s="14"/>
      <c r="B874" s="14"/>
      <c r="C874" s="14"/>
      <c r="D874" s="14"/>
      <c r="E874" s="14"/>
      <c r="F874" s="14"/>
      <c r="G874" s="14"/>
      <c r="H874" s="14"/>
      <c r="I874" s="14"/>
      <c r="J874" s="14"/>
      <c r="K874" s="14"/>
      <c r="L874" s="14"/>
      <c r="M874" s="14"/>
      <c r="N874" s="14"/>
      <c r="O874" s="14"/>
      <c r="P874" s="14"/>
      <c r="Q874" s="14"/>
      <c r="R874" s="60"/>
    </row>
    <row r="875" ht="28.5" customHeight="1">
      <c r="A875" s="14"/>
      <c r="B875" s="14"/>
      <c r="C875" s="14"/>
      <c r="D875" s="14"/>
      <c r="E875" s="14"/>
      <c r="F875" s="14"/>
      <c r="G875" s="14"/>
      <c r="H875" s="14"/>
      <c r="I875" s="14"/>
      <c r="J875" s="14"/>
      <c r="K875" s="14"/>
      <c r="L875" s="14"/>
      <c r="M875" s="14"/>
      <c r="N875" s="14"/>
      <c r="O875" s="14"/>
      <c r="P875" s="14"/>
      <c r="Q875" s="14"/>
      <c r="R875" s="60"/>
    </row>
    <row r="876" ht="28.5" customHeight="1">
      <c r="A876" s="14"/>
      <c r="B876" s="14"/>
      <c r="C876" s="14"/>
      <c r="D876" s="14"/>
      <c r="E876" s="14"/>
      <c r="F876" s="14"/>
      <c r="G876" s="14"/>
      <c r="H876" s="14"/>
      <c r="I876" s="14"/>
      <c r="J876" s="14"/>
      <c r="K876" s="14"/>
      <c r="L876" s="14"/>
      <c r="M876" s="14"/>
      <c r="N876" s="14"/>
      <c r="O876" s="14"/>
      <c r="P876" s="14"/>
      <c r="Q876" s="14"/>
      <c r="R876" s="60"/>
    </row>
    <row r="877" ht="28.5" customHeight="1">
      <c r="A877" s="14"/>
      <c r="B877" s="14"/>
      <c r="C877" s="14"/>
      <c r="D877" s="14"/>
      <c r="E877" s="14"/>
      <c r="F877" s="14"/>
      <c r="G877" s="14"/>
      <c r="H877" s="14"/>
      <c r="I877" s="14"/>
      <c r="J877" s="14"/>
      <c r="K877" s="14"/>
      <c r="L877" s="14"/>
      <c r="M877" s="14"/>
      <c r="N877" s="14"/>
      <c r="O877" s="14"/>
      <c r="P877" s="14"/>
      <c r="Q877" s="14"/>
      <c r="R877" s="60"/>
    </row>
    <row r="878" ht="28.5" customHeight="1">
      <c r="A878" s="14"/>
      <c r="B878" s="14"/>
      <c r="C878" s="14"/>
      <c r="D878" s="14"/>
      <c r="E878" s="14"/>
      <c r="F878" s="14"/>
      <c r="G878" s="14"/>
      <c r="H878" s="14"/>
      <c r="I878" s="14"/>
      <c r="J878" s="14"/>
      <c r="K878" s="14"/>
      <c r="L878" s="14"/>
      <c r="M878" s="14"/>
      <c r="N878" s="14"/>
      <c r="O878" s="14"/>
      <c r="P878" s="14"/>
      <c r="Q878" s="14"/>
      <c r="R878" s="60"/>
    </row>
    <row r="879" ht="28.5" customHeight="1">
      <c r="A879" s="14"/>
      <c r="B879" s="14"/>
      <c r="C879" s="14"/>
      <c r="D879" s="14"/>
      <c r="E879" s="14"/>
      <c r="F879" s="14"/>
      <c r="G879" s="14"/>
      <c r="H879" s="14"/>
      <c r="I879" s="14"/>
      <c r="J879" s="14"/>
      <c r="K879" s="14"/>
      <c r="L879" s="14"/>
      <c r="M879" s="14"/>
      <c r="N879" s="14"/>
      <c r="O879" s="14"/>
      <c r="P879" s="14"/>
      <c r="Q879" s="14"/>
      <c r="R879" s="60"/>
    </row>
    <row r="880" ht="28.5" customHeight="1">
      <c r="A880" s="14"/>
      <c r="B880" s="14"/>
      <c r="C880" s="14"/>
      <c r="D880" s="14"/>
      <c r="E880" s="14"/>
      <c r="F880" s="14"/>
      <c r="G880" s="14"/>
      <c r="H880" s="14"/>
      <c r="I880" s="14"/>
      <c r="J880" s="14"/>
      <c r="K880" s="14"/>
      <c r="L880" s="14"/>
      <c r="M880" s="14"/>
      <c r="N880" s="14"/>
      <c r="O880" s="14"/>
      <c r="P880" s="14"/>
      <c r="Q880" s="14"/>
      <c r="R880" s="60"/>
    </row>
    <row r="881" ht="28.5" customHeight="1">
      <c r="A881" s="14"/>
      <c r="B881" s="14"/>
      <c r="C881" s="14"/>
      <c r="D881" s="14"/>
      <c r="E881" s="14"/>
      <c r="F881" s="14"/>
      <c r="G881" s="14"/>
      <c r="H881" s="14"/>
      <c r="I881" s="14"/>
      <c r="J881" s="14"/>
      <c r="K881" s="14"/>
      <c r="L881" s="14"/>
      <c r="M881" s="14"/>
      <c r="N881" s="14"/>
      <c r="O881" s="14"/>
      <c r="P881" s="14"/>
      <c r="Q881" s="14"/>
      <c r="R881" s="60"/>
    </row>
    <row r="882" ht="28.5" customHeight="1">
      <c r="A882" s="14"/>
      <c r="B882" s="14"/>
      <c r="C882" s="14"/>
      <c r="D882" s="14"/>
      <c r="E882" s="14"/>
      <c r="F882" s="14"/>
      <c r="G882" s="14"/>
      <c r="H882" s="14"/>
      <c r="I882" s="14"/>
      <c r="J882" s="14"/>
      <c r="K882" s="14"/>
      <c r="L882" s="14"/>
      <c r="M882" s="14"/>
      <c r="N882" s="14"/>
      <c r="O882" s="14"/>
      <c r="P882" s="14"/>
      <c r="Q882" s="14"/>
      <c r="R882" s="60"/>
    </row>
    <row r="883" ht="28.5" customHeight="1">
      <c r="A883" s="14"/>
      <c r="B883" s="14"/>
      <c r="C883" s="14"/>
      <c r="D883" s="14"/>
      <c r="E883" s="14"/>
      <c r="F883" s="14"/>
      <c r="G883" s="14"/>
      <c r="H883" s="14"/>
      <c r="I883" s="14"/>
      <c r="J883" s="14"/>
      <c r="K883" s="14"/>
      <c r="L883" s="14"/>
      <c r="M883" s="14"/>
      <c r="N883" s="14"/>
      <c r="O883" s="14"/>
      <c r="P883" s="14"/>
      <c r="Q883" s="14"/>
      <c r="R883" s="60"/>
    </row>
    <row r="884" ht="28.5" customHeight="1">
      <c r="A884" s="14"/>
      <c r="B884" s="14"/>
      <c r="C884" s="14"/>
      <c r="D884" s="14"/>
      <c r="E884" s="14"/>
      <c r="F884" s="14"/>
      <c r="G884" s="14"/>
      <c r="H884" s="14"/>
      <c r="I884" s="14"/>
      <c r="J884" s="14"/>
      <c r="K884" s="14"/>
      <c r="L884" s="14"/>
      <c r="M884" s="14"/>
      <c r="N884" s="14"/>
      <c r="O884" s="14"/>
      <c r="P884" s="14"/>
      <c r="Q884" s="14"/>
      <c r="R884" s="60"/>
    </row>
    <row r="885" ht="28.5" customHeight="1">
      <c r="A885" s="14"/>
      <c r="B885" s="14"/>
      <c r="C885" s="14"/>
      <c r="D885" s="14"/>
      <c r="E885" s="14"/>
      <c r="F885" s="14"/>
      <c r="G885" s="14"/>
      <c r="H885" s="14"/>
      <c r="I885" s="14"/>
      <c r="J885" s="14"/>
      <c r="K885" s="14"/>
      <c r="L885" s="14"/>
      <c r="M885" s="14"/>
      <c r="N885" s="14"/>
      <c r="O885" s="14"/>
      <c r="P885" s="14"/>
      <c r="Q885" s="14"/>
      <c r="R885" s="60"/>
    </row>
    <row r="886" ht="28.5" customHeight="1">
      <c r="A886" s="14"/>
      <c r="B886" s="14"/>
      <c r="C886" s="14"/>
      <c r="D886" s="14"/>
      <c r="E886" s="14"/>
      <c r="F886" s="14"/>
      <c r="G886" s="14"/>
      <c r="H886" s="14"/>
      <c r="I886" s="14"/>
      <c r="J886" s="14"/>
      <c r="K886" s="14"/>
      <c r="L886" s="14"/>
      <c r="M886" s="14"/>
      <c r="N886" s="14"/>
      <c r="O886" s="14"/>
      <c r="P886" s="14"/>
      <c r="Q886" s="14"/>
      <c r="R886" s="60"/>
    </row>
    <row r="887" ht="28.5" customHeight="1">
      <c r="A887" s="14"/>
      <c r="B887" s="14"/>
      <c r="C887" s="14"/>
      <c r="D887" s="14"/>
      <c r="E887" s="14"/>
      <c r="F887" s="14"/>
      <c r="G887" s="14"/>
      <c r="H887" s="14"/>
      <c r="I887" s="14"/>
      <c r="J887" s="14"/>
      <c r="K887" s="14"/>
      <c r="L887" s="14"/>
      <c r="M887" s="14"/>
      <c r="N887" s="14"/>
      <c r="O887" s="14"/>
      <c r="P887" s="14"/>
      <c r="Q887" s="14"/>
      <c r="R887" s="60"/>
    </row>
    <row r="888" ht="28.5" customHeight="1">
      <c r="A888" s="14"/>
      <c r="B888" s="14"/>
      <c r="C888" s="14"/>
      <c r="D888" s="14"/>
      <c r="E888" s="14"/>
      <c r="F888" s="14"/>
      <c r="G888" s="14"/>
      <c r="H888" s="14"/>
      <c r="I888" s="14"/>
      <c r="J888" s="14"/>
      <c r="K888" s="14"/>
      <c r="L888" s="14"/>
      <c r="M888" s="14"/>
      <c r="N888" s="14"/>
      <c r="O888" s="14"/>
      <c r="P888" s="14"/>
      <c r="Q888" s="14"/>
      <c r="R888" s="60"/>
    </row>
    <row r="889" ht="28.5" customHeight="1">
      <c r="A889" s="14"/>
      <c r="B889" s="14"/>
      <c r="C889" s="14"/>
      <c r="D889" s="14"/>
      <c r="E889" s="14"/>
      <c r="F889" s="14"/>
      <c r="G889" s="14"/>
      <c r="H889" s="14"/>
      <c r="I889" s="14"/>
      <c r="J889" s="14"/>
      <c r="K889" s="14"/>
      <c r="L889" s="14"/>
      <c r="M889" s="14"/>
      <c r="N889" s="14"/>
      <c r="O889" s="14"/>
      <c r="P889" s="14"/>
      <c r="Q889" s="14"/>
      <c r="R889" s="60"/>
    </row>
    <row r="890" ht="28.5" customHeight="1">
      <c r="A890" s="14"/>
      <c r="B890" s="14"/>
      <c r="C890" s="14"/>
      <c r="D890" s="14"/>
      <c r="E890" s="14"/>
      <c r="F890" s="14"/>
      <c r="G890" s="14"/>
      <c r="H890" s="14"/>
      <c r="I890" s="14"/>
      <c r="J890" s="14"/>
      <c r="K890" s="14"/>
      <c r="L890" s="14"/>
      <c r="M890" s="14"/>
      <c r="N890" s="14"/>
      <c r="O890" s="14"/>
      <c r="P890" s="14"/>
      <c r="Q890" s="14"/>
      <c r="R890" s="60"/>
    </row>
    <row r="891" ht="28.5" customHeight="1">
      <c r="A891" s="14"/>
      <c r="B891" s="14"/>
      <c r="C891" s="14"/>
      <c r="D891" s="14"/>
      <c r="E891" s="14"/>
      <c r="F891" s="14"/>
      <c r="G891" s="14"/>
      <c r="H891" s="14"/>
      <c r="I891" s="14"/>
      <c r="J891" s="14"/>
      <c r="K891" s="14"/>
      <c r="L891" s="14"/>
      <c r="M891" s="14"/>
      <c r="N891" s="14"/>
      <c r="O891" s="14"/>
      <c r="P891" s="14"/>
      <c r="Q891" s="14"/>
      <c r="R891" s="60"/>
    </row>
    <row r="892" ht="28.5" customHeight="1">
      <c r="A892" s="14"/>
      <c r="B892" s="14"/>
      <c r="C892" s="14"/>
      <c r="D892" s="14"/>
      <c r="E892" s="14"/>
      <c r="F892" s="14"/>
      <c r="G892" s="14"/>
      <c r="H892" s="14"/>
      <c r="I892" s="14"/>
      <c r="J892" s="14"/>
      <c r="K892" s="14"/>
      <c r="L892" s="14"/>
      <c r="M892" s="14"/>
      <c r="N892" s="14"/>
      <c r="O892" s="14"/>
      <c r="P892" s="14"/>
      <c r="Q892" s="14"/>
      <c r="R892" s="60"/>
    </row>
    <row r="893" ht="28.5" customHeight="1">
      <c r="A893" s="14"/>
      <c r="B893" s="14"/>
      <c r="C893" s="14"/>
      <c r="D893" s="14"/>
      <c r="E893" s="14"/>
      <c r="F893" s="14"/>
      <c r="G893" s="14"/>
      <c r="H893" s="14"/>
      <c r="I893" s="14"/>
      <c r="J893" s="14"/>
      <c r="K893" s="14"/>
      <c r="L893" s="14"/>
      <c r="M893" s="14"/>
      <c r="N893" s="14"/>
      <c r="O893" s="14"/>
      <c r="P893" s="14"/>
      <c r="Q893" s="14"/>
      <c r="R893" s="60"/>
    </row>
    <row r="894" ht="28.5" customHeight="1">
      <c r="A894" s="14"/>
      <c r="B894" s="14"/>
      <c r="C894" s="14"/>
      <c r="D894" s="14"/>
      <c r="E894" s="14"/>
      <c r="F894" s="14"/>
      <c r="G894" s="14"/>
      <c r="H894" s="14"/>
      <c r="I894" s="14"/>
      <c r="J894" s="14"/>
      <c r="K894" s="14"/>
      <c r="L894" s="14"/>
      <c r="M894" s="14"/>
      <c r="N894" s="14"/>
      <c r="O894" s="14"/>
      <c r="P894" s="14"/>
      <c r="Q894" s="14"/>
      <c r="R894" s="60"/>
    </row>
    <row r="895" ht="28.5" customHeight="1">
      <c r="A895" s="14"/>
      <c r="B895" s="14"/>
      <c r="C895" s="14"/>
      <c r="D895" s="14"/>
      <c r="E895" s="14"/>
      <c r="F895" s="14"/>
      <c r="G895" s="14"/>
      <c r="H895" s="14"/>
      <c r="I895" s="14"/>
      <c r="J895" s="14"/>
      <c r="K895" s="14"/>
      <c r="L895" s="14"/>
      <c r="M895" s="14"/>
      <c r="N895" s="14"/>
      <c r="O895" s="14"/>
      <c r="P895" s="14"/>
      <c r="Q895" s="14"/>
      <c r="R895" s="60"/>
    </row>
    <row r="896" ht="28.5" customHeight="1">
      <c r="A896" s="14"/>
      <c r="B896" s="14"/>
      <c r="C896" s="14"/>
      <c r="D896" s="14"/>
      <c r="E896" s="14"/>
      <c r="F896" s="14"/>
      <c r="G896" s="14"/>
      <c r="H896" s="14"/>
      <c r="I896" s="14"/>
      <c r="J896" s="14"/>
      <c r="K896" s="14"/>
      <c r="L896" s="14"/>
      <c r="M896" s="14"/>
      <c r="N896" s="14"/>
      <c r="O896" s="14"/>
      <c r="P896" s="14"/>
      <c r="Q896" s="14"/>
      <c r="R896" s="60"/>
    </row>
    <row r="897" ht="28.5" customHeight="1">
      <c r="A897" s="14"/>
      <c r="B897" s="14"/>
      <c r="C897" s="14"/>
      <c r="D897" s="14"/>
      <c r="E897" s="14"/>
      <c r="F897" s="14"/>
      <c r="G897" s="14"/>
      <c r="H897" s="14"/>
      <c r="I897" s="14"/>
      <c r="J897" s="14"/>
      <c r="K897" s="14"/>
      <c r="L897" s="14"/>
      <c r="M897" s="14"/>
      <c r="N897" s="14"/>
      <c r="O897" s="14"/>
      <c r="P897" s="14"/>
      <c r="Q897" s="14"/>
      <c r="R897" s="60"/>
    </row>
    <row r="898" ht="28.5" customHeight="1">
      <c r="A898" s="14"/>
      <c r="B898" s="14"/>
      <c r="C898" s="14"/>
      <c r="D898" s="14"/>
      <c r="E898" s="14"/>
      <c r="F898" s="14"/>
      <c r="G898" s="14"/>
      <c r="H898" s="14"/>
      <c r="I898" s="14"/>
      <c r="J898" s="14"/>
      <c r="K898" s="14"/>
      <c r="L898" s="14"/>
      <c r="M898" s="14"/>
      <c r="N898" s="14"/>
      <c r="O898" s="14"/>
      <c r="P898" s="14"/>
      <c r="Q898" s="14"/>
      <c r="R898" s="60"/>
    </row>
    <row r="899" ht="28.5" customHeight="1">
      <c r="A899" s="14"/>
      <c r="B899" s="14"/>
      <c r="C899" s="14"/>
      <c r="D899" s="14"/>
      <c r="E899" s="14"/>
      <c r="F899" s="14"/>
      <c r="G899" s="14"/>
      <c r="H899" s="14"/>
      <c r="I899" s="14"/>
      <c r="J899" s="14"/>
      <c r="K899" s="14"/>
      <c r="L899" s="14"/>
      <c r="M899" s="14"/>
      <c r="N899" s="14"/>
      <c r="O899" s="14"/>
      <c r="P899" s="14"/>
      <c r="Q899" s="14"/>
      <c r="R899" s="60"/>
    </row>
    <row r="900" ht="28.5" customHeight="1">
      <c r="A900" s="14"/>
      <c r="B900" s="14"/>
      <c r="C900" s="14"/>
      <c r="D900" s="14"/>
      <c r="E900" s="14"/>
      <c r="F900" s="14"/>
      <c r="G900" s="14"/>
      <c r="H900" s="14"/>
      <c r="I900" s="14"/>
      <c r="J900" s="14"/>
      <c r="K900" s="14"/>
      <c r="L900" s="14"/>
      <c r="M900" s="14"/>
      <c r="N900" s="14"/>
      <c r="O900" s="14"/>
      <c r="P900" s="14"/>
      <c r="Q900" s="14"/>
      <c r="R900" s="60"/>
    </row>
    <row r="901" ht="28.5" customHeight="1">
      <c r="A901" s="14"/>
      <c r="B901" s="14"/>
      <c r="C901" s="14"/>
      <c r="D901" s="14"/>
      <c r="E901" s="14"/>
      <c r="F901" s="14"/>
      <c r="G901" s="14"/>
      <c r="H901" s="14"/>
      <c r="I901" s="14"/>
      <c r="J901" s="14"/>
      <c r="K901" s="14"/>
      <c r="L901" s="14"/>
      <c r="M901" s="14"/>
      <c r="N901" s="14"/>
      <c r="O901" s="14"/>
      <c r="P901" s="14"/>
      <c r="Q901" s="14"/>
      <c r="R901" s="60"/>
    </row>
    <row r="902" ht="28.5" customHeight="1">
      <c r="A902" s="14"/>
      <c r="B902" s="14"/>
      <c r="C902" s="14"/>
      <c r="D902" s="14"/>
      <c r="E902" s="14"/>
      <c r="F902" s="14"/>
      <c r="G902" s="14"/>
      <c r="H902" s="14"/>
      <c r="I902" s="14"/>
      <c r="J902" s="14"/>
      <c r="K902" s="14"/>
      <c r="L902" s="14"/>
      <c r="M902" s="14"/>
      <c r="N902" s="14"/>
      <c r="O902" s="14"/>
      <c r="P902" s="14"/>
      <c r="Q902" s="14"/>
      <c r="R902" s="60"/>
    </row>
    <row r="903" ht="28.5" customHeight="1">
      <c r="A903" s="14"/>
      <c r="B903" s="14"/>
      <c r="C903" s="14"/>
      <c r="D903" s="14"/>
      <c r="E903" s="14"/>
      <c r="F903" s="14"/>
      <c r="G903" s="14"/>
      <c r="H903" s="14"/>
      <c r="I903" s="14"/>
      <c r="J903" s="14"/>
      <c r="K903" s="14"/>
      <c r="L903" s="14"/>
      <c r="M903" s="14"/>
      <c r="N903" s="14"/>
      <c r="O903" s="14"/>
      <c r="P903" s="14"/>
      <c r="Q903" s="14"/>
      <c r="R903" s="60"/>
    </row>
    <row r="904" ht="28.5" customHeight="1">
      <c r="A904" s="14"/>
      <c r="B904" s="14"/>
      <c r="C904" s="14"/>
      <c r="D904" s="14"/>
      <c r="E904" s="14"/>
      <c r="F904" s="14"/>
      <c r="G904" s="14"/>
      <c r="H904" s="14"/>
      <c r="I904" s="14"/>
      <c r="J904" s="14"/>
      <c r="K904" s="14"/>
      <c r="L904" s="14"/>
      <c r="M904" s="14"/>
      <c r="N904" s="14"/>
      <c r="O904" s="14"/>
      <c r="P904" s="14"/>
      <c r="Q904" s="14"/>
      <c r="R904" s="60"/>
    </row>
    <row r="905" ht="28.5" customHeight="1">
      <c r="A905" s="14"/>
      <c r="B905" s="14"/>
      <c r="C905" s="14"/>
      <c r="D905" s="14"/>
      <c r="E905" s="14"/>
      <c r="F905" s="14"/>
      <c r="G905" s="14"/>
      <c r="H905" s="14"/>
      <c r="I905" s="14"/>
      <c r="J905" s="14"/>
      <c r="K905" s="14"/>
      <c r="L905" s="14"/>
      <c r="M905" s="14"/>
      <c r="N905" s="14"/>
      <c r="O905" s="14"/>
      <c r="P905" s="14"/>
      <c r="Q905" s="14"/>
      <c r="R905" s="60"/>
    </row>
    <row r="906" ht="28.5" customHeight="1">
      <c r="A906" s="14"/>
      <c r="B906" s="14"/>
      <c r="C906" s="14"/>
      <c r="D906" s="14"/>
      <c r="E906" s="14"/>
      <c r="F906" s="14"/>
      <c r="G906" s="14"/>
      <c r="H906" s="14"/>
      <c r="I906" s="14"/>
      <c r="J906" s="14"/>
      <c r="K906" s="14"/>
      <c r="L906" s="14"/>
      <c r="M906" s="14"/>
      <c r="N906" s="14"/>
      <c r="O906" s="14"/>
      <c r="P906" s="14"/>
      <c r="Q906" s="14"/>
      <c r="R906" s="60"/>
    </row>
    <row r="907" ht="28.5" customHeight="1">
      <c r="A907" s="14"/>
      <c r="B907" s="14"/>
      <c r="C907" s="14"/>
      <c r="D907" s="14"/>
      <c r="E907" s="14"/>
      <c r="F907" s="14"/>
      <c r="G907" s="14"/>
      <c r="H907" s="14"/>
      <c r="I907" s="14"/>
      <c r="J907" s="14"/>
      <c r="K907" s="14"/>
      <c r="L907" s="14"/>
      <c r="M907" s="14"/>
      <c r="N907" s="14"/>
      <c r="O907" s="14"/>
      <c r="P907" s="14"/>
      <c r="Q907" s="14"/>
      <c r="R907" s="60"/>
    </row>
    <row r="908" ht="28.5" customHeight="1">
      <c r="A908" s="14"/>
      <c r="B908" s="14"/>
      <c r="C908" s="14"/>
      <c r="D908" s="14"/>
      <c r="E908" s="14"/>
      <c r="F908" s="14"/>
      <c r="G908" s="14"/>
      <c r="H908" s="14"/>
      <c r="I908" s="14"/>
      <c r="J908" s="14"/>
      <c r="K908" s="14"/>
      <c r="L908" s="14"/>
      <c r="M908" s="14"/>
      <c r="N908" s="14"/>
      <c r="O908" s="14"/>
      <c r="P908" s="14"/>
      <c r="Q908" s="14"/>
      <c r="R908" s="60"/>
    </row>
    <row r="909" ht="28.5" customHeight="1">
      <c r="A909" s="14"/>
      <c r="B909" s="14"/>
      <c r="C909" s="14"/>
      <c r="D909" s="14"/>
      <c r="E909" s="14"/>
      <c r="F909" s="14"/>
      <c r="G909" s="14"/>
      <c r="H909" s="14"/>
      <c r="I909" s="14"/>
      <c r="J909" s="14"/>
      <c r="K909" s="14"/>
      <c r="L909" s="14"/>
      <c r="M909" s="14"/>
      <c r="N909" s="14"/>
      <c r="O909" s="14"/>
      <c r="P909" s="14"/>
      <c r="Q909" s="14"/>
      <c r="R909" s="60"/>
    </row>
    <row r="910" ht="28.5" customHeight="1">
      <c r="A910" s="14"/>
      <c r="B910" s="14"/>
      <c r="C910" s="14"/>
      <c r="D910" s="14"/>
      <c r="E910" s="14"/>
      <c r="F910" s="14"/>
      <c r="G910" s="14"/>
      <c r="H910" s="14"/>
      <c r="I910" s="14"/>
      <c r="J910" s="14"/>
      <c r="K910" s="14"/>
      <c r="L910" s="14"/>
      <c r="M910" s="14"/>
      <c r="N910" s="14"/>
      <c r="O910" s="14"/>
      <c r="P910" s="14"/>
      <c r="Q910" s="14"/>
      <c r="R910" s="60"/>
    </row>
    <row r="911" ht="28.5" customHeight="1">
      <c r="A911" s="14"/>
      <c r="B911" s="14"/>
      <c r="C911" s="14"/>
      <c r="D911" s="14"/>
      <c r="E911" s="14"/>
      <c r="F911" s="14"/>
      <c r="G911" s="14"/>
      <c r="H911" s="14"/>
      <c r="I911" s="14"/>
      <c r="J911" s="14"/>
      <c r="K911" s="14"/>
      <c r="L911" s="14"/>
      <c r="M911" s="14"/>
      <c r="N911" s="14"/>
      <c r="O911" s="14"/>
      <c r="P911" s="14"/>
      <c r="Q911" s="14"/>
      <c r="R911" s="60"/>
    </row>
    <row r="912" ht="28.5" customHeight="1">
      <c r="A912" s="14"/>
      <c r="B912" s="14"/>
      <c r="C912" s="14"/>
      <c r="D912" s="14"/>
      <c r="E912" s="14"/>
      <c r="F912" s="14"/>
      <c r="G912" s="14"/>
      <c r="H912" s="14"/>
      <c r="I912" s="14"/>
      <c r="J912" s="14"/>
      <c r="K912" s="14"/>
      <c r="L912" s="14"/>
      <c r="M912" s="14"/>
      <c r="N912" s="14"/>
      <c r="O912" s="14"/>
      <c r="P912" s="14"/>
      <c r="Q912" s="14"/>
      <c r="R912" s="60"/>
    </row>
    <row r="913" ht="28.5" customHeight="1">
      <c r="A913" s="14"/>
      <c r="B913" s="14"/>
      <c r="C913" s="14"/>
      <c r="D913" s="14"/>
      <c r="E913" s="14"/>
      <c r="F913" s="14"/>
      <c r="G913" s="14"/>
      <c r="H913" s="14"/>
      <c r="I913" s="14"/>
      <c r="J913" s="14"/>
      <c r="K913" s="14"/>
      <c r="L913" s="14"/>
      <c r="M913" s="14"/>
      <c r="N913" s="14"/>
      <c r="O913" s="14"/>
      <c r="P913" s="14"/>
      <c r="Q913" s="14"/>
      <c r="R913" s="60"/>
    </row>
    <row r="914" ht="28.5" customHeight="1">
      <c r="A914" s="14"/>
      <c r="B914" s="14"/>
      <c r="C914" s="14"/>
      <c r="D914" s="14"/>
      <c r="E914" s="14"/>
      <c r="F914" s="14"/>
      <c r="G914" s="14"/>
      <c r="H914" s="14"/>
      <c r="I914" s="14"/>
      <c r="J914" s="14"/>
      <c r="K914" s="14"/>
      <c r="L914" s="14"/>
      <c r="M914" s="14"/>
      <c r="N914" s="14"/>
      <c r="O914" s="14"/>
      <c r="P914" s="14"/>
      <c r="Q914" s="14"/>
      <c r="R914" s="60"/>
    </row>
    <row r="915" ht="28.5" customHeight="1">
      <c r="A915" s="14"/>
      <c r="B915" s="14"/>
      <c r="C915" s="14"/>
      <c r="D915" s="14"/>
      <c r="E915" s="14"/>
      <c r="F915" s="14"/>
      <c r="G915" s="14"/>
      <c r="H915" s="14"/>
      <c r="I915" s="14"/>
      <c r="J915" s="14"/>
      <c r="K915" s="14"/>
      <c r="L915" s="14"/>
      <c r="M915" s="14"/>
      <c r="N915" s="14"/>
      <c r="O915" s="14"/>
      <c r="P915" s="14"/>
      <c r="Q915" s="14"/>
      <c r="R915" s="60"/>
    </row>
    <row r="916" ht="28.5" customHeight="1">
      <c r="A916" s="14"/>
      <c r="B916" s="14"/>
      <c r="C916" s="14"/>
      <c r="D916" s="14"/>
      <c r="E916" s="14"/>
      <c r="F916" s="14"/>
      <c r="G916" s="14"/>
      <c r="H916" s="14"/>
      <c r="I916" s="14"/>
      <c r="J916" s="14"/>
      <c r="K916" s="14"/>
      <c r="L916" s="14"/>
      <c r="M916" s="14"/>
      <c r="N916" s="14"/>
      <c r="O916" s="14"/>
      <c r="P916" s="14"/>
      <c r="Q916" s="14"/>
      <c r="R916" s="60"/>
    </row>
    <row r="917" ht="28.5" customHeight="1">
      <c r="A917" s="14"/>
      <c r="B917" s="14"/>
      <c r="C917" s="14"/>
      <c r="D917" s="14"/>
      <c r="E917" s="14"/>
      <c r="F917" s="14"/>
      <c r="G917" s="14"/>
      <c r="H917" s="14"/>
      <c r="I917" s="14"/>
      <c r="J917" s="14"/>
      <c r="K917" s="14"/>
      <c r="L917" s="14"/>
      <c r="M917" s="14"/>
      <c r="N917" s="14"/>
      <c r="O917" s="14"/>
      <c r="P917" s="14"/>
      <c r="Q917" s="14"/>
      <c r="R917" s="60"/>
    </row>
    <row r="918" ht="28.5" customHeight="1">
      <c r="A918" s="14"/>
      <c r="B918" s="14"/>
      <c r="C918" s="14"/>
      <c r="D918" s="14"/>
      <c r="E918" s="14"/>
      <c r="F918" s="14"/>
      <c r="G918" s="14"/>
      <c r="H918" s="14"/>
      <c r="I918" s="14"/>
      <c r="J918" s="14"/>
      <c r="K918" s="14"/>
      <c r="L918" s="14"/>
      <c r="M918" s="14"/>
      <c r="N918" s="14"/>
      <c r="O918" s="14"/>
      <c r="P918" s="14"/>
      <c r="Q918" s="14"/>
      <c r="R918" s="60"/>
    </row>
    <row r="919" ht="28.5" customHeight="1">
      <c r="A919" s="14"/>
      <c r="B919" s="14"/>
      <c r="C919" s="14"/>
      <c r="D919" s="14"/>
      <c r="E919" s="14"/>
      <c r="F919" s="14"/>
      <c r="G919" s="14"/>
      <c r="H919" s="14"/>
      <c r="I919" s="14"/>
      <c r="J919" s="14"/>
      <c r="K919" s="14"/>
      <c r="L919" s="14"/>
      <c r="M919" s="14"/>
      <c r="N919" s="14"/>
      <c r="O919" s="14"/>
      <c r="P919" s="14"/>
      <c r="Q919" s="14"/>
      <c r="R919" s="60"/>
    </row>
    <row r="920" ht="28.5" customHeight="1">
      <c r="A920" s="14"/>
      <c r="B920" s="14"/>
      <c r="C920" s="14"/>
      <c r="D920" s="14"/>
      <c r="E920" s="14"/>
      <c r="F920" s="14"/>
      <c r="G920" s="14"/>
      <c r="H920" s="14"/>
      <c r="I920" s="14"/>
      <c r="J920" s="14"/>
      <c r="K920" s="14"/>
      <c r="L920" s="14"/>
      <c r="M920" s="14"/>
      <c r="N920" s="14"/>
      <c r="O920" s="14"/>
      <c r="P920" s="14"/>
      <c r="Q920" s="14"/>
      <c r="R920" s="60"/>
    </row>
    <row r="921" ht="28.5" customHeight="1">
      <c r="A921" s="14"/>
      <c r="B921" s="14"/>
      <c r="C921" s="14"/>
      <c r="D921" s="14"/>
      <c r="E921" s="14"/>
      <c r="F921" s="14"/>
      <c r="G921" s="14"/>
      <c r="H921" s="14"/>
      <c r="I921" s="14"/>
      <c r="J921" s="14"/>
      <c r="K921" s="14"/>
      <c r="L921" s="14"/>
      <c r="M921" s="14"/>
      <c r="N921" s="14"/>
      <c r="O921" s="14"/>
      <c r="P921" s="14"/>
      <c r="Q921" s="14"/>
      <c r="R921" s="60"/>
    </row>
    <row r="922" ht="28.5" customHeight="1">
      <c r="A922" s="14"/>
      <c r="B922" s="14"/>
      <c r="C922" s="14"/>
      <c r="D922" s="14"/>
      <c r="E922" s="14"/>
      <c r="F922" s="14"/>
      <c r="G922" s="14"/>
      <c r="H922" s="14"/>
      <c r="I922" s="14"/>
      <c r="J922" s="14"/>
      <c r="K922" s="14"/>
      <c r="L922" s="14"/>
      <c r="M922" s="14"/>
      <c r="N922" s="14"/>
      <c r="O922" s="14"/>
      <c r="P922" s="14"/>
      <c r="Q922" s="14"/>
      <c r="R922" s="60"/>
    </row>
    <row r="923" ht="28.5" customHeight="1">
      <c r="A923" s="14"/>
      <c r="B923" s="14"/>
      <c r="C923" s="14"/>
      <c r="D923" s="14"/>
      <c r="E923" s="14"/>
      <c r="F923" s="14"/>
      <c r="G923" s="14"/>
      <c r="H923" s="14"/>
      <c r="I923" s="14"/>
      <c r="J923" s="14"/>
      <c r="K923" s="14"/>
      <c r="L923" s="14"/>
      <c r="M923" s="14"/>
      <c r="N923" s="14"/>
      <c r="O923" s="14"/>
      <c r="P923" s="14"/>
      <c r="Q923" s="14"/>
      <c r="R923" s="60"/>
    </row>
    <row r="924" ht="28.5" customHeight="1">
      <c r="A924" s="14"/>
      <c r="B924" s="14"/>
      <c r="C924" s="14"/>
      <c r="D924" s="14"/>
      <c r="E924" s="14"/>
      <c r="F924" s="14"/>
      <c r="G924" s="14"/>
      <c r="H924" s="14"/>
      <c r="I924" s="14"/>
      <c r="J924" s="14"/>
      <c r="K924" s="14"/>
      <c r="L924" s="14"/>
      <c r="M924" s="14"/>
      <c r="N924" s="14"/>
      <c r="O924" s="14"/>
      <c r="P924" s="14"/>
      <c r="Q924" s="14"/>
      <c r="R924" s="60"/>
    </row>
    <row r="925" ht="28.5" customHeight="1">
      <c r="A925" s="14"/>
      <c r="B925" s="14"/>
      <c r="C925" s="14"/>
      <c r="D925" s="14"/>
      <c r="E925" s="14"/>
      <c r="F925" s="14"/>
      <c r="G925" s="14"/>
      <c r="H925" s="14"/>
      <c r="I925" s="14"/>
      <c r="J925" s="14"/>
      <c r="K925" s="14"/>
      <c r="L925" s="14"/>
      <c r="M925" s="14"/>
      <c r="N925" s="14"/>
      <c r="O925" s="14"/>
      <c r="P925" s="14"/>
      <c r="Q925" s="14"/>
      <c r="R925" s="60"/>
    </row>
    <row r="926" ht="28.5" customHeight="1">
      <c r="A926" s="14"/>
      <c r="B926" s="14"/>
      <c r="C926" s="14"/>
      <c r="D926" s="14"/>
      <c r="E926" s="14"/>
      <c r="F926" s="14"/>
      <c r="G926" s="14"/>
      <c r="H926" s="14"/>
      <c r="I926" s="14"/>
      <c r="J926" s="14"/>
      <c r="K926" s="14"/>
      <c r="L926" s="14"/>
      <c r="M926" s="14"/>
      <c r="N926" s="14"/>
      <c r="O926" s="14"/>
      <c r="P926" s="14"/>
      <c r="Q926" s="14"/>
      <c r="R926" s="60"/>
    </row>
    <row r="927" ht="28.5" customHeight="1">
      <c r="A927" s="14"/>
      <c r="B927" s="14"/>
      <c r="C927" s="14"/>
      <c r="D927" s="14"/>
      <c r="E927" s="14"/>
      <c r="F927" s="14"/>
      <c r="G927" s="14"/>
      <c r="H927" s="14"/>
      <c r="I927" s="14"/>
      <c r="J927" s="14"/>
      <c r="K927" s="14"/>
      <c r="L927" s="14"/>
      <c r="M927" s="14"/>
      <c r="N927" s="14"/>
      <c r="O927" s="14"/>
      <c r="P927" s="14"/>
      <c r="Q927" s="14"/>
      <c r="R927" s="60"/>
    </row>
    <row r="928" ht="28.5" customHeight="1">
      <c r="A928" s="14"/>
      <c r="B928" s="14"/>
      <c r="C928" s="14"/>
      <c r="D928" s="14"/>
      <c r="E928" s="14"/>
      <c r="F928" s="14"/>
      <c r="G928" s="14"/>
      <c r="H928" s="14"/>
      <c r="I928" s="14"/>
      <c r="J928" s="14"/>
      <c r="K928" s="14"/>
      <c r="L928" s="14"/>
      <c r="M928" s="14"/>
      <c r="N928" s="14"/>
      <c r="O928" s="14"/>
      <c r="P928" s="14"/>
      <c r="Q928" s="14"/>
      <c r="R928" s="60"/>
    </row>
    <row r="929" ht="28.5" customHeight="1">
      <c r="A929" s="14"/>
      <c r="B929" s="14"/>
      <c r="C929" s="14"/>
      <c r="D929" s="14"/>
      <c r="E929" s="14"/>
      <c r="F929" s="14"/>
      <c r="G929" s="14"/>
      <c r="H929" s="14"/>
      <c r="I929" s="14"/>
      <c r="J929" s="14"/>
      <c r="K929" s="14"/>
      <c r="L929" s="14"/>
      <c r="M929" s="14"/>
      <c r="N929" s="14"/>
      <c r="O929" s="14"/>
      <c r="P929" s="14"/>
      <c r="Q929" s="14"/>
      <c r="R929" s="60"/>
    </row>
    <row r="930" ht="28.5" customHeight="1">
      <c r="A930" s="14"/>
      <c r="B930" s="14"/>
      <c r="C930" s="14"/>
      <c r="D930" s="14"/>
      <c r="E930" s="14"/>
      <c r="F930" s="14"/>
      <c r="G930" s="14"/>
      <c r="H930" s="14"/>
      <c r="I930" s="14"/>
      <c r="J930" s="14"/>
      <c r="K930" s="14"/>
      <c r="L930" s="14"/>
      <c r="M930" s="14"/>
      <c r="N930" s="14"/>
      <c r="O930" s="14"/>
      <c r="P930" s="14"/>
      <c r="Q930" s="14"/>
      <c r="R930" s="60"/>
    </row>
    <row r="931" ht="28.5" customHeight="1">
      <c r="A931" s="14"/>
      <c r="B931" s="14"/>
      <c r="C931" s="14"/>
      <c r="D931" s="14"/>
      <c r="E931" s="14"/>
      <c r="F931" s="14"/>
      <c r="G931" s="14"/>
      <c r="H931" s="14"/>
      <c r="I931" s="14"/>
      <c r="J931" s="14"/>
      <c r="K931" s="14"/>
      <c r="L931" s="14"/>
      <c r="M931" s="14"/>
      <c r="N931" s="14"/>
      <c r="O931" s="14"/>
      <c r="P931" s="14"/>
      <c r="Q931" s="14"/>
      <c r="R931" s="60"/>
    </row>
    <row r="932" ht="28.5" customHeight="1">
      <c r="A932" s="14"/>
      <c r="B932" s="14"/>
      <c r="C932" s="14"/>
      <c r="D932" s="14"/>
      <c r="E932" s="14"/>
      <c r="F932" s="14"/>
      <c r="G932" s="14"/>
      <c r="H932" s="14"/>
      <c r="I932" s="14"/>
      <c r="J932" s="14"/>
      <c r="K932" s="14"/>
      <c r="L932" s="14"/>
      <c r="M932" s="14"/>
      <c r="N932" s="14"/>
      <c r="O932" s="14"/>
      <c r="P932" s="14"/>
      <c r="Q932" s="14"/>
      <c r="R932" s="60"/>
    </row>
    <row r="933" ht="28.5" customHeight="1">
      <c r="A933" s="14"/>
      <c r="B933" s="14"/>
      <c r="C933" s="14"/>
      <c r="D933" s="14"/>
      <c r="E933" s="14"/>
      <c r="F933" s="14"/>
      <c r="G933" s="14"/>
      <c r="H933" s="14"/>
      <c r="I933" s="14"/>
      <c r="J933" s="14"/>
      <c r="K933" s="14"/>
      <c r="L933" s="14"/>
      <c r="M933" s="14"/>
      <c r="N933" s="14"/>
      <c r="O933" s="14"/>
      <c r="P933" s="14"/>
      <c r="Q933" s="14"/>
      <c r="R933" s="60"/>
    </row>
    <row r="934" ht="28.5" customHeight="1">
      <c r="A934" s="14"/>
      <c r="B934" s="14"/>
      <c r="C934" s="14"/>
      <c r="D934" s="14"/>
      <c r="E934" s="14"/>
      <c r="F934" s="14"/>
      <c r="G934" s="14"/>
      <c r="H934" s="14"/>
      <c r="I934" s="14"/>
      <c r="J934" s="14"/>
      <c r="K934" s="14"/>
      <c r="L934" s="14"/>
      <c r="M934" s="14"/>
      <c r="N934" s="14"/>
      <c r="O934" s="14"/>
      <c r="P934" s="14"/>
      <c r="Q934" s="14"/>
      <c r="R934" s="60"/>
    </row>
    <row r="935" ht="28.5" customHeight="1">
      <c r="A935" s="14"/>
      <c r="B935" s="14"/>
      <c r="C935" s="14"/>
      <c r="D935" s="14"/>
      <c r="E935" s="14"/>
      <c r="F935" s="14"/>
      <c r="G935" s="14"/>
      <c r="H935" s="14"/>
      <c r="I935" s="14"/>
      <c r="J935" s="14"/>
      <c r="K935" s="14"/>
      <c r="L935" s="14"/>
      <c r="M935" s="14"/>
      <c r="N935" s="14"/>
      <c r="O935" s="14"/>
      <c r="P935" s="14"/>
      <c r="Q935" s="14"/>
      <c r="R935" s="60"/>
    </row>
    <row r="936" ht="28.5" customHeight="1">
      <c r="A936" s="14"/>
      <c r="B936" s="14"/>
      <c r="C936" s="14"/>
      <c r="D936" s="14"/>
      <c r="E936" s="14"/>
      <c r="F936" s="14"/>
      <c r="G936" s="14"/>
      <c r="H936" s="14"/>
      <c r="I936" s="14"/>
      <c r="J936" s="14"/>
      <c r="K936" s="14"/>
      <c r="L936" s="14"/>
      <c r="M936" s="14"/>
      <c r="N936" s="14"/>
      <c r="O936" s="14"/>
      <c r="P936" s="14"/>
      <c r="Q936" s="14"/>
      <c r="R936" s="60"/>
    </row>
    <row r="937" ht="28.5" customHeight="1">
      <c r="A937" s="14"/>
      <c r="B937" s="14"/>
      <c r="C937" s="14"/>
      <c r="D937" s="14"/>
      <c r="E937" s="14"/>
      <c r="F937" s="14"/>
      <c r="G937" s="14"/>
      <c r="H937" s="14"/>
      <c r="I937" s="14"/>
      <c r="J937" s="14"/>
      <c r="K937" s="14"/>
      <c r="L937" s="14"/>
      <c r="M937" s="14"/>
      <c r="N937" s="14"/>
      <c r="O937" s="14"/>
      <c r="P937" s="14"/>
      <c r="Q937" s="14"/>
      <c r="R937" s="60"/>
    </row>
    <row r="938" ht="28.5" customHeight="1">
      <c r="A938" s="14"/>
      <c r="B938" s="14"/>
      <c r="C938" s="14"/>
      <c r="D938" s="14"/>
      <c r="E938" s="14"/>
      <c r="F938" s="14"/>
      <c r="G938" s="14"/>
      <c r="H938" s="14"/>
      <c r="I938" s="14"/>
      <c r="J938" s="14"/>
      <c r="K938" s="14"/>
      <c r="L938" s="14"/>
      <c r="M938" s="14"/>
      <c r="N938" s="14"/>
      <c r="O938" s="14"/>
      <c r="P938" s="14"/>
      <c r="Q938" s="14"/>
      <c r="R938" s="60"/>
    </row>
    <row r="939" ht="28.5" customHeight="1">
      <c r="A939" s="14"/>
      <c r="B939" s="14"/>
      <c r="C939" s="14"/>
      <c r="D939" s="14"/>
      <c r="E939" s="14"/>
      <c r="F939" s="14"/>
      <c r="G939" s="14"/>
      <c r="H939" s="14"/>
      <c r="I939" s="14"/>
      <c r="J939" s="14"/>
      <c r="K939" s="14"/>
      <c r="L939" s="14"/>
      <c r="M939" s="14"/>
      <c r="N939" s="14"/>
      <c r="O939" s="14"/>
      <c r="P939" s="14"/>
      <c r="Q939" s="14"/>
      <c r="R939" s="60"/>
    </row>
    <row r="940" ht="28.5" customHeight="1">
      <c r="A940" s="14"/>
      <c r="B940" s="14"/>
      <c r="C940" s="14"/>
      <c r="D940" s="14"/>
      <c r="E940" s="14"/>
      <c r="F940" s="14"/>
      <c r="G940" s="14"/>
      <c r="H940" s="14"/>
      <c r="I940" s="14"/>
      <c r="J940" s="14"/>
      <c r="K940" s="14"/>
      <c r="L940" s="14"/>
      <c r="M940" s="14"/>
      <c r="N940" s="14"/>
      <c r="O940" s="14"/>
      <c r="P940" s="14"/>
      <c r="Q940" s="14"/>
      <c r="R940" s="60"/>
    </row>
    <row r="941" ht="28.5" customHeight="1">
      <c r="A941" s="14"/>
      <c r="B941" s="14"/>
      <c r="C941" s="14"/>
      <c r="D941" s="14"/>
      <c r="E941" s="14"/>
      <c r="F941" s="14"/>
      <c r="G941" s="14"/>
      <c r="H941" s="14"/>
      <c r="I941" s="14"/>
      <c r="J941" s="14"/>
      <c r="K941" s="14"/>
      <c r="L941" s="14"/>
      <c r="M941" s="14"/>
      <c r="N941" s="14"/>
      <c r="O941" s="14"/>
      <c r="P941" s="14"/>
      <c r="Q941" s="14"/>
      <c r="R941" s="60"/>
    </row>
    <row r="942" ht="28.5" customHeight="1">
      <c r="A942" s="14"/>
      <c r="B942" s="14"/>
      <c r="C942" s="14"/>
      <c r="D942" s="14"/>
      <c r="E942" s="14"/>
      <c r="F942" s="14"/>
      <c r="G942" s="14"/>
      <c r="H942" s="14"/>
      <c r="I942" s="14"/>
      <c r="J942" s="14"/>
      <c r="K942" s="14"/>
      <c r="L942" s="14"/>
      <c r="M942" s="14"/>
      <c r="N942" s="14"/>
      <c r="O942" s="14"/>
      <c r="P942" s="14"/>
      <c r="Q942" s="14"/>
      <c r="R942" s="60"/>
    </row>
    <row r="943" ht="28.5" customHeight="1">
      <c r="A943" s="14"/>
      <c r="B943" s="14"/>
      <c r="C943" s="14"/>
      <c r="D943" s="14"/>
      <c r="E943" s="14"/>
      <c r="F943" s="14"/>
      <c r="G943" s="14"/>
      <c r="H943" s="14"/>
      <c r="I943" s="14"/>
      <c r="J943" s="14"/>
      <c r="K943" s="14"/>
      <c r="L943" s="14"/>
      <c r="M943" s="14"/>
      <c r="N943" s="14"/>
      <c r="O943" s="14"/>
      <c r="P943" s="14"/>
      <c r="Q943" s="14"/>
      <c r="R943" s="60"/>
    </row>
    <row r="944" ht="28.5" customHeight="1">
      <c r="A944" s="14"/>
      <c r="B944" s="14"/>
      <c r="C944" s="14"/>
      <c r="D944" s="14"/>
      <c r="E944" s="14"/>
      <c r="F944" s="14"/>
      <c r="G944" s="14"/>
      <c r="H944" s="14"/>
      <c r="I944" s="14"/>
      <c r="J944" s="14"/>
      <c r="K944" s="14"/>
      <c r="L944" s="14"/>
      <c r="M944" s="14"/>
      <c r="N944" s="14"/>
      <c r="O944" s="14"/>
      <c r="P944" s="14"/>
      <c r="Q944" s="14"/>
      <c r="R944" s="60"/>
    </row>
    <row r="945" ht="28.5" customHeight="1">
      <c r="A945" s="14"/>
      <c r="B945" s="14"/>
      <c r="C945" s="14"/>
      <c r="D945" s="14"/>
      <c r="E945" s="14"/>
      <c r="F945" s="14"/>
      <c r="G945" s="14"/>
      <c r="H945" s="14"/>
      <c r="I945" s="14"/>
      <c r="J945" s="14"/>
      <c r="K945" s="14"/>
      <c r="L945" s="14"/>
      <c r="M945" s="14"/>
      <c r="N945" s="14"/>
      <c r="O945" s="14"/>
      <c r="P945" s="14"/>
      <c r="Q945" s="14"/>
      <c r="R945" s="60"/>
    </row>
    <row r="946" ht="28.5" customHeight="1">
      <c r="A946" s="14"/>
      <c r="B946" s="14"/>
      <c r="C946" s="14"/>
      <c r="D946" s="14"/>
      <c r="E946" s="14"/>
      <c r="F946" s="14"/>
      <c r="G946" s="14"/>
      <c r="H946" s="14"/>
      <c r="I946" s="14"/>
      <c r="J946" s="14"/>
      <c r="K946" s="14"/>
      <c r="L946" s="14"/>
      <c r="M946" s="14"/>
      <c r="N946" s="14"/>
      <c r="O946" s="14"/>
      <c r="P946" s="14"/>
      <c r="Q946" s="14"/>
      <c r="R946" s="60"/>
    </row>
    <row r="947" ht="28.5" customHeight="1">
      <c r="A947" s="14"/>
      <c r="B947" s="14"/>
      <c r="C947" s="14"/>
      <c r="D947" s="14"/>
      <c r="E947" s="14"/>
      <c r="F947" s="14"/>
      <c r="G947" s="14"/>
      <c r="H947" s="14"/>
      <c r="I947" s="14"/>
      <c r="J947" s="14"/>
      <c r="K947" s="14"/>
      <c r="L947" s="14"/>
      <c r="M947" s="14"/>
      <c r="N947" s="14"/>
      <c r="O947" s="14"/>
      <c r="P947" s="14"/>
      <c r="Q947" s="14"/>
      <c r="R947" s="60"/>
    </row>
    <row r="948" ht="28.5" customHeight="1">
      <c r="A948" s="14"/>
      <c r="B948" s="14"/>
      <c r="C948" s="14"/>
      <c r="D948" s="14"/>
      <c r="E948" s="14"/>
      <c r="F948" s="14"/>
      <c r="G948" s="14"/>
      <c r="H948" s="14"/>
      <c r="I948" s="14"/>
      <c r="J948" s="14"/>
      <c r="K948" s="14"/>
      <c r="L948" s="14"/>
      <c r="M948" s="14"/>
      <c r="N948" s="14"/>
      <c r="O948" s="14"/>
      <c r="P948" s="14"/>
      <c r="Q948" s="14"/>
      <c r="R948" s="60"/>
    </row>
    <row r="949" ht="28.5" customHeight="1">
      <c r="A949" s="14"/>
      <c r="B949" s="14"/>
      <c r="C949" s="14"/>
      <c r="D949" s="14"/>
      <c r="E949" s="14"/>
      <c r="F949" s="14"/>
      <c r="G949" s="14"/>
      <c r="H949" s="14"/>
      <c r="I949" s="14"/>
      <c r="J949" s="14"/>
      <c r="K949" s="14"/>
      <c r="L949" s="14"/>
      <c r="M949" s="14"/>
      <c r="N949" s="14"/>
      <c r="O949" s="14"/>
      <c r="P949" s="14"/>
      <c r="Q949" s="14"/>
      <c r="R949" s="60"/>
    </row>
    <row r="950" ht="28.5" customHeight="1">
      <c r="A950" s="14"/>
      <c r="B950" s="14"/>
      <c r="C950" s="14"/>
      <c r="D950" s="14"/>
      <c r="E950" s="14"/>
      <c r="F950" s="14"/>
      <c r="G950" s="14"/>
      <c r="H950" s="14"/>
      <c r="I950" s="14"/>
      <c r="J950" s="14"/>
      <c r="K950" s="14"/>
      <c r="L950" s="14"/>
      <c r="M950" s="14"/>
      <c r="N950" s="14"/>
      <c r="O950" s="14"/>
      <c r="P950" s="14"/>
      <c r="Q950" s="14"/>
      <c r="R950" s="60"/>
    </row>
    <row r="951" ht="28.5" customHeight="1">
      <c r="A951" s="14"/>
      <c r="B951" s="14"/>
      <c r="C951" s="14"/>
      <c r="D951" s="14"/>
      <c r="E951" s="14"/>
      <c r="F951" s="14"/>
      <c r="G951" s="14"/>
      <c r="H951" s="14"/>
      <c r="I951" s="14"/>
      <c r="J951" s="14"/>
      <c r="K951" s="14"/>
      <c r="L951" s="14"/>
      <c r="M951" s="14"/>
      <c r="N951" s="14"/>
      <c r="O951" s="14"/>
      <c r="P951" s="14"/>
      <c r="Q951" s="14"/>
      <c r="R951" s="60"/>
    </row>
    <row r="952" ht="28.5" customHeight="1">
      <c r="A952" s="14"/>
      <c r="B952" s="14"/>
      <c r="C952" s="14"/>
      <c r="D952" s="14"/>
      <c r="E952" s="14"/>
      <c r="F952" s="14"/>
      <c r="G952" s="14"/>
      <c r="H952" s="14"/>
      <c r="I952" s="14"/>
      <c r="J952" s="14"/>
      <c r="K952" s="14"/>
      <c r="L952" s="14"/>
      <c r="M952" s="14"/>
      <c r="N952" s="14"/>
      <c r="O952" s="14"/>
      <c r="P952" s="14"/>
      <c r="Q952" s="14"/>
      <c r="R952" s="60"/>
    </row>
    <row r="953" ht="28.5" customHeight="1">
      <c r="A953" s="14"/>
      <c r="B953" s="14"/>
      <c r="C953" s="14"/>
      <c r="D953" s="14"/>
      <c r="E953" s="14"/>
      <c r="F953" s="14"/>
      <c r="G953" s="14"/>
      <c r="H953" s="14"/>
      <c r="I953" s="14"/>
      <c r="J953" s="14"/>
      <c r="K953" s="14"/>
      <c r="L953" s="14"/>
      <c r="M953" s="14"/>
      <c r="N953" s="14"/>
      <c r="O953" s="14"/>
      <c r="P953" s="14"/>
      <c r="Q953" s="14"/>
      <c r="R953" s="60"/>
    </row>
    <row r="954" ht="28.5" customHeight="1">
      <c r="A954" s="14"/>
      <c r="B954" s="14"/>
      <c r="C954" s="14"/>
      <c r="D954" s="14"/>
      <c r="E954" s="14"/>
      <c r="F954" s="14"/>
      <c r="G954" s="14"/>
      <c r="H954" s="14"/>
      <c r="I954" s="14"/>
      <c r="J954" s="14"/>
      <c r="K954" s="14"/>
      <c r="L954" s="14"/>
      <c r="M954" s="14"/>
      <c r="N954" s="14"/>
      <c r="O954" s="14"/>
      <c r="P954" s="14"/>
      <c r="Q954" s="14"/>
      <c r="R954" s="60"/>
    </row>
    <row r="955" ht="28.5" customHeight="1">
      <c r="A955" s="14"/>
      <c r="B955" s="14"/>
      <c r="C955" s="14"/>
      <c r="D955" s="14"/>
      <c r="E955" s="14"/>
      <c r="F955" s="14"/>
      <c r="G955" s="14"/>
      <c r="H955" s="14"/>
      <c r="I955" s="14"/>
      <c r="J955" s="14"/>
      <c r="K955" s="14"/>
      <c r="L955" s="14"/>
      <c r="M955" s="14"/>
      <c r="N955" s="14"/>
      <c r="O955" s="14"/>
      <c r="P955" s="14"/>
      <c r="Q955" s="14"/>
      <c r="R955" s="60"/>
    </row>
    <row r="956" ht="28.5" customHeight="1">
      <c r="A956" s="14"/>
      <c r="B956" s="14"/>
      <c r="C956" s="14"/>
      <c r="D956" s="14"/>
      <c r="E956" s="14"/>
      <c r="F956" s="14"/>
      <c r="G956" s="14"/>
      <c r="H956" s="14"/>
      <c r="I956" s="14"/>
      <c r="J956" s="14"/>
      <c r="K956" s="14"/>
      <c r="L956" s="14"/>
      <c r="M956" s="14"/>
      <c r="N956" s="14"/>
      <c r="O956" s="14"/>
      <c r="P956" s="14"/>
      <c r="Q956" s="14"/>
      <c r="R956" s="60"/>
    </row>
    <row r="957" ht="28.5" customHeight="1">
      <c r="A957" s="14"/>
      <c r="B957" s="14"/>
      <c r="C957" s="14"/>
      <c r="D957" s="14"/>
      <c r="E957" s="14"/>
      <c r="F957" s="14"/>
      <c r="G957" s="14"/>
      <c r="H957" s="14"/>
      <c r="I957" s="14"/>
      <c r="J957" s="14"/>
      <c r="K957" s="14"/>
      <c r="L957" s="14"/>
      <c r="M957" s="14"/>
      <c r="N957" s="14"/>
      <c r="O957" s="14"/>
      <c r="P957" s="14"/>
      <c r="Q957" s="14"/>
      <c r="R957" s="60"/>
    </row>
    <row r="958" ht="28.5" customHeight="1">
      <c r="A958" s="14"/>
      <c r="B958" s="14"/>
      <c r="C958" s="14"/>
      <c r="D958" s="14"/>
      <c r="E958" s="14"/>
      <c r="F958" s="14"/>
      <c r="G958" s="14"/>
      <c r="H958" s="14"/>
      <c r="I958" s="14"/>
      <c r="J958" s="14"/>
      <c r="K958" s="14"/>
      <c r="L958" s="14"/>
      <c r="M958" s="14"/>
      <c r="N958" s="14"/>
      <c r="O958" s="14"/>
      <c r="P958" s="14"/>
      <c r="Q958" s="14"/>
      <c r="R958" s="60"/>
    </row>
    <row r="959" ht="28.5" customHeight="1">
      <c r="A959" s="14"/>
      <c r="B959" s="14"/>
      <c r="C959" s="14"/>
      <c r="D959" s="14"/>
      <c r="E959" s="14"/>
      <c r="F959" s="14"/>
      <c r="G959" s="14"/>
      <c r="H959" s="14"/>
      <c r="I959" s="14"/>
      <c r="J959" s="14"/>
      <c r="K959" s="14"/>
      <c r="L959" s="14"/>
      <c r="M959" s="14"/>
      <c r="N959" s="14"/>
      <c r="O959" s="14"/>
      <c r="P959" s="14"/>
      <c r="Q959" s="14"/>
      <c r="R959" s="60"/>
    </row>
    <row r="960" ht="28.5" customHeight="1">
      <c r="A960" s="14"/>
      <c r="B960" s="14"/>
      <c r="C960" s="14"/>
      <c r="D960" s="14"/>
      <c r="E960" s="14"/>
      <c r="F960" s="14"/>
      <c r="G960" s="14"/>
      <c r="H960" s="14"/>
      <c r="I960" s="14"/>
      <c r="J960" s="14"/>
      <c r="K960" s="14"/>
      <c r="L960" s="14"/>
      <c r="M960" s="14"/>
      <c r="N960" s="14"/>
      <c r="O960" s="14"/>
      <c r="P960" s="14"/>
      <c r="Q960" s="14"/>
      <c r="R960" s="60"/>
    </row>
    <row r="961" ht="28.5" customHeight="1">
      <c r="A961" s="14"/>
      <c r="B961" s="14"/>
      <c r="C961" s="14"/>
      <c r="D961" s="14"/>
      <c r="E961" s="14"/>
      <c r="F961" s="14"/>
      <c r="G961" s="14"/>
      <c r="H961" s="14"/>
      <c r="I961" s="14"/>
      <c r="J961" s="14"/>
      <c r="K961" s="14"/>
      <c r="L961" s="14"/>
      <c r="M961" s="14"/>
      <c r="N961" s="14"/>
      <c r="O961" s="14"/>
      <c r="P961" s="14"/>
      <c r="Q961" s="14"/>
      <c r="R961" s="60"/>
    </row>
    <row r="962" ht="28.5" customHeight="1">
      <c r="A962" s="14"/>
      <c r="B962" s="14"/>
      <c r="C962" s="14"/>
      <c r="D962" s="14"/>
      <c r="E962" s="14"/>
      <c r="F962" s="14"/>
      <c r="G962" s="14"/>
      <c r="H962" s="14"/>
      <c r="I962" s="14"/>
      <c r="J962" s="14"/>
      <c r="K962" s="14"/>
      <c r="L962" s="14"/>
      <c r="M962" s="14"/>
      <c r="N962" s="14"/>
      <c r="O962" s="14"/>
      <c r="P962" s="14"/>
      <c r="Q962" s="14"/>
      <c r="R962" s="60"/>
    </row>
    <row r="963" ht="28.5" customHeight="1">
      <c r="A963" s="14"/>
      <c r="B963" s="14"/>
      <c r="C963" s="14"/>
      <c r="D963" s="14"/>
      <c r="E963" s="14"/>
      <c r="F963" s="14"/>
      <c r="G963" s="14"/>
      <c r="H963" s="14"/>
      <c r="I963" s="14"/>
      <c r="J963" s="14"/>
      <c r="K963" s="14"/>
      <c r="L963" s="14"/>
      <c r="M963" s="14"/>
      <c r="N963" s="14"/>
      <c r="O963" s="14"/>
      <c r="P963" s="14"/>
      <c r="Q963" s="14"/>
      <c r="R963" s="60"/>
    </row>
    <row r="964" ht="28.5" customHeight="1">
      <c r="A964" s="14"/>
      <c r="B964" s="14"/>
      <c r="C964" s="14"/>
      <c r="D964" s="14"/>
      <c r="E964" s="14"/>
      <c r="F964" s="14"/>
      <c r="G964" s="14"/>
      <c r="H964" s="14"/>
      <c r="I964" s="14"/>
      <c r="J964" s="14"/>
      <c r="K964" s="14"/>
      <c r="L964" s="14"/>
      <c r="M964" s="14"/>
      <c r="N964" s="14"/>
      <c r="O964" s="14"/>
      <c r="P964" s="14"/>
      <c r="Q964" s="14"/>
      <c r="R964" s="60"/>
    </row>
    <row r="965" ht="28.5" customHeight="1">
      <c r="A965" s="14"/>
      <c r="B965" s="14"/>
      <c r="C965" s="14"/>
      <c r="D965" s="14"/>
      <c r="E965" s="14"/>
      <c r="F965" s="14"/>
      <c r="G965" s="14"/>
      <c r="H965" s="14"/>
      <c r="I965" s="14"/>
      <c r="J965" s="14"/>
      <c r="K965" s="14"/>
      <c r="L965" s="14"/>
      <c r="M965" s="14"/>
      <c r="N965" s="14"/>
      <c r="O965" s="14"/>
      <c r="P965" s="14"/>
      <c r="Q965" s="14"/>
      <c r="R965" s="60"/>
    </row>
    <row r="966" ht="28.5" customHeight="1">
      <c r="A966" s="14"/>
      <c r="B966" s="14"/>
      <c r="C966" s="14"/>
      <c r="D966" s="14"/>
      <c r="E966" s="14"/>
      <c r="F966" s="14"/>
      <c r="G966" s="14"/>
      <c r="H966" s="14"/>
      <c r="I966" s="14"/>
      <c r="J966" s="14"/>
      <c r="K966" s="14"/>
      <c r="L966" s="14"/>
      <c r="M966" s="14"/>
      <c r="N966" s="14"/>
      <c r="O966" s="14"/>
      <c r="P966" s="14"/>
      <c r="Q966" s="14"/>
      <c r="R966" s="60"/>
    </row>
    <row r="967" ht="28.5" customHeight="1">
      <c r="A967" s="14"/>
      <c r="B967" s="14"/>
      <c r="C967" s="14"/>
      <c r="D967" s="14"/>
      <c r="E967" s="14"/>
      <c r="F967" s="14"/>
      <c r="G967" s="14"/>
      <c r="H967" s="14"/>
      <c r="I967" s="14"/>
      <c r="J967" s="14"/>
      <c r="K967" s="14"/>
      <c r="L967" s="14"/>
      <c r="M967" s="14"/>
      <c r="N967" s="14"/>
      <c r="O967" s="14"/>
      <c r="P967" s="14"/>
      <c r="Q967" s="14"/>
      <c r="R967" s="60"/>
    </row>
    <row r="968" ht="28.5" customHeight="1">
      <c r="A968" s="14"/>
      <c r="B968" s="14"/>
      <c r="C968" s="14"/>
      <c r="D968" s="14"/>
      <c r="E968" s="14"/>
      <c r="F968" s="14"/>
      <c r="G968" s="14"/>
      <c r="H968" s="14"/>
      <c r="I968" s="14"/>
      <c r="J968" s="14"/>
      <c r="K968" s="14"/>
      <c r="L968" s="14"/>
      <c r="M968" s="14"/>
      <c r="N968" s="14"/>
      <c r="O968" s="14"/>
      <c r="P968" s="14"/>
      <c r="Q968" s="14"/>
      <c r="R968" s="60"/>
    </row>
    <row r="969" ht="28.5" customHeight="1">
      <c r="A969" s="14"/>
      <c r="B969" s="14"/>
      <c r="C969" s="14"/>
      <c r="D969" s="14"/>
      <c r="E969" s="14"/>
      <c r="F969" s="14"/>
      <c r="G969" s="14"/>
      <c r="H969" s="14"/>
      <c r="I969" s="14"/>
      <c r="J969" s="14"/>
      <c r="K969" s="14"/>
      <c r="L969" s="14"/>
      <c r="M969" s="14"/>
      <c r="N969" s="14"/>
      <c r="O969" s="14"/>
      <c r="P969" s="14"/>
      <c r="Q969" s="14"/>
      <c r="R969" s="60"/>
    </row>
    <row r="970" ht="28.5" customHeight="1">
      <c r="A970" s="14"/>
      <c r="B970" s="14"/>
      <c r="C970" s="14"/>
      <c r="D970" s="14"/>
      <c r="E970" s="14"/>
      <c r="F970" s="14"/>
      <c r="G970" s="14"/>
      <c r="H970" s="14"/>
      <c r="I970" s="14"/>
      <c r="J970" s="14"/>
      <c r="K970" s="14"/>
      <c r="L970" s="14"/>
      <c r="M970" s="14"/>
      <c r="N970" s="14"/>
      <c r="O970" s="14"/>
      <c r="P970" s="14"/>
      <c r="Q970" s="14"/>
      <c r="R970" s="60"/>
    </row>
    <row r="971" ht="28.5" customHeight="1">
      <c r="A971" s="14"/>
      <c r="B971" s="14"/>
      <c r="C971" s="14"/>
      <c r="D971" s="14"/>
      <c r="E971" s="14"/>
      <c r="F971" s="14"/>
      <c r="G971" s="14"/>
      <c r="H971" s="14"/>
      <c r="I971" s="14"/>
      <c r="J971" s="14"/>
      <c r="K971" s="14"/>
      <c r="L971" s="14"/>
      <c r="M971" s="14"/>
      <c r="N971" s="14"/>
      <c r="O971" s="14"/>
      <c r="P971" s="14"/>
      <c r="Q971" s="14"/>
      <c r="R971" s="60"/>
    </row>
    <row r="972" ht="28.5" customHeight="1">
      <c r="A972" s="14"/>
      <c r="B972" s="14"/>
      <c r="C972" s="14"/>
      <c r="D972" s="14"/>
      <c r="E972" s="14"/>
      <c r="F972" s="14"/>
      <c r="G972" s="14"/>
      <c r="H972" s="14"/>
      <c r="I972" s="14"/>
      <c r="J972" s="14"/>
      <c r="K972" s="14"/>
      <c r="L972" s="14"/>
      <c r="M972" s="14"/>
      <c r="N972" s="14"/>
      <c r="O972" s="14"/>
      <c r="P972" s="14"/>
      <c r="Q972" s="14"/>
      <c r="R972" s="60"/>
    </row>
    <row r="973" ht="28.5" customHeight="1">
      <c r="A973" s="14"/>
      <c r="B973" s="14"/>
      <c r="C973" s="14"/>
      <c r="D973" s="14"/>
      <c r="E973" s="14"/>
      <c r="F973" s="14"/>
      <c r="G973" s="14"/>
      <c r="H973" s="14"/>
      <c r="I973" s="14"/>
      <c r="J973" s="14"/>
      <c r="K973" s="14"/>
      <c r="L973" s="14"/>
      <c r="M973" s="14"/>
      <c r="N973" s="14"/>
      <c r="O973" s="14"/>
      <c r="P973" s="14"/>
      <c r="Q973" s="14"/>
      <c r="R973" s="60"/>
    </row>
    <row r="974" ht="28.5" customHeight="1">
      <c r="A974" s="14"/>
      <c r="B974" s="14"/>
      <c r="C974" s="14"/>
      <c r="D974" s="14"/>
      <c r="E974" s="14"/>
      <c r="F974" s="14"/>
      <c r="G974" s="14"/>
      <c r="H974" s="14"/>
      <c r="I974" s="14"/>
      <c r="J974" s="14"/>
      <c r="K974" s="14"/>
      <c r="L974" s="14"/>
      <c r="M974" s="14"/>
      <c r="N974" s="14"/>
      <c r="O974" s="14"/>
      <c r="P974" s="14"/>
      <c r="Q974" s="14"/>
      <c r="R974" s="60"/>
    </row>
    <row r="975" ht="28.5" customHeight="1">
      <c r="A975" s="14"/>
      <c r="B975" s="14"/>
      <c r="C975" s="14"/>
      <c r="D975" s="14"/>
      <c r="E975" s="14"/>
      <c r="F975" s="14"/>
      <c r="G975" s="14"/>
      <c r="H975" s="14"/>
      <c r="I975" s="14"/>
      <c r="J975" s="14"/>
      <c r="K975" s="14"/>
      <c r="L975" s="14"/>
      <c r="M975" s="14"/>
      <c r="N975" s="14"/>
      <c r="O975" s="14"/>
      <c r="P975" s="14"/>
      <c r="Q975" s="14"/>
      <c r="R975" s="60"/>
    </row>
    <row r="976" ht="28.5" customHeight="1">
      <c r="A976" s="14"/>
      <c r="B976" s="14"/>
      <c r="C976" s="14"/>
      <c r="D976" s="14"/>
      <c r="E976" s="14"/>
      <c r="F976" s="14"/>
      <c r="G976" s="14"/>
      <c r="H976" s="14"/>
      <c r="I976" s="14"/>
      <c r="J976" s="14"/>
      <c r="K976" s="14"/>
      <c r="L976" s="14"/>
      <c r="M976" s="14"/>
      <c r="N976" s="14"/>
      <c r="O976" s="14"/>
      <c r="P976" s="14"/>
      <c r="Q976" s="14"/>
      <c r="R976" s="60"/>
    </row>
    <row r="977" ht="28.5" customHeight="1">
      <c r="A977" s="14"/>
      <c r="B977" s="14"/>
      <c r="C977" s="14"/>
      <c r="D977" s="14"/>
      <c r="E977" s="14"/>
      <c r="F977" s="14"/>
      <c r="G977" s="14"/>
      <c r="H977" s="14"/>
      <c r="I977" s="14"/>
      <c r="J977" s="14"/>
      <c r="K977" s="14"/>
      <c r="L977" s="14"/>
      <c r="M977" s="14"/>
      <c r="N977" s="14"/>
      <c r="O977" s="14"/>
      <c r="P977" s="14"/>
      <c r="Q977" s="14"/>
      <c r="R977" s="60"/>
    </row>
    <row r="978" ht="28.5" customHeight="1">
      <c r="A978" s="14"/>
      <c r="B978" s="14"/>
      <c r="C978" s="14"/>
      <c r="D978" s="14"/>
      <c r="E978" s="14"/>
      <c r="F978" s="14"/>
      <c r="G978" s="14"/>
      <c r="H978" s="14"/>
      <c r="I978" s="14"/>
      <c r="J978" s="14"/>
      <c r="K978" s="14"/>
      <c r="L978" s="14"/>
      <c r="M978" s="14"/>
      <c r="N978" s="14"/>
      <c r="O978" s="14"/>
      <c r="P978" s="14"/>
      <c r="Q978" s="14"/>
      <c r="R978" s="60"/>
    </row>
    <row r="979" ht="28.5" customHeight="1">
      <c r="A979" s="14"/>
      <c r="B979" s="14"/>
      <c r="C979" s="14"/>
      <c r="D979" s="14"/>
      <c r="E979" s="14"/>
      <c r="F979" s="14"/>
      <c r="G979" s="14"/>
      <c r="H979" s="14"/>
      <c r="I979" s="14"/>
      <c r="J979" s="14"/>
      <c r="K979" s="14"/>
      <c r="L979" s="14"/>
      <c r="M979" s="14"/>
      <c r="N979" s="14"/>
      <c r="O979" s="14"/>
      <c r="P979" s="14"/>
      <c r="Q979" s="14"/>
      <c r="R979" s="60"/>
    </row>
    <row r="980" ht="28.5" customHeight="1">
      <c r="A980" s="14"/>
      <c r="B980" s="14"/>
      <c r="C980" s="14"/>
      <c r="D980" s="14"/>
      <c r="E980" s="14"/>
      <c r="F980" s="14"/>
      <c r="G980" s="14"/>
      <c r="H980" s="14"/>
      <c r="I980" s="14"/>
      <c r="J980" s="14"/>
      <c r="K980" s="14"/>
      <c r="L980" s="14"/>
      <c r="M980" s="14"/>
      <c r="N980" s="14"/>
      <c r="O980" s="14"/>
      <c r="P980" s="14"/>
      <c r="Q980" s="14"/>
      <c r="R980" s="60"/>
    </row>
    <row r="981" ht="28.5" customHeight="1">
      <c r="A981" s="14"/>
      <c r="B981" s="14"/>
      <c r="C981" s="14"/>
      <c r="D981" s="14"/>
      <c r="E981" s="14"/>
      <c r="F981" s="14"/>
      <c r="G981" s="14"/>
      <c r="H981" s="14"/>
      <c r="I981" s="14"/>
      <c r="J981" s="14"/>
      <c r="K981" s="14"/>
      <c r="L981" s="14"/>
      <c r="M981" s="14"/>
      <c r="N981" s="14"/>
      <c r="O981" s="14"/>
      <c r="P981" s="14"/>
      <c r="Q981" s="14"/>
      <c r="R981" s="60"/>
    </row>
    <row r="982" ht="28.5" customHeight="1">
      <c r="A982" s="14"/>
      <c r="B982" s="14"/>
      <c r="C982" s="14"/>
      <c r="D982" s="14"/>
      <c r="E982" s="14"/>
      <c r="F982" s="14"/>
      <c r="G982" s="14"/>
      <c r="H982" s="14"/>
      <c r="I982" s="14"/>
      <c r="J982" s="14"/>
      <c r="K982" s="14"/>
      <c r="L982" s="14"/>
      <c r="M982" s="14"/>
      <c r="N982" s="14"/>
      <c r="O982" s="14"/>
      <c r="P982" s="14"/>
      <c r="Q982" s="14"/>
      <c r="R982" s="60"/>
    </row>
    <row r="983" ht="28.5" customHeight="1">
      <c r="A983" s="14"/>
      <c r="B983" s="14"/>
      <c r="C983" s="14"/>
      <c r="D983" s="14"/>
      <c r="E983" s="14"/>
      <c r="F983" s="14"/>
      <c r="G983" s="14"/>
      <c r="H983" s="14"/>
      <c r="I983" s="14"/>
      <c r="J983" s="14"/>
      <c r="K983" s="14"/>
      <c r="L983" s="14"/>
      <c r="M983" s="14"/>
      <c r="N983" s="14"/>
      <c r="O983" s="14"/>
      <c r="P983" s="14"/>
      <c r="Q983" s="14"/>
      <c r="R983" s="60"/>
    </row>
    <row r="984" ht="28.5" customHeight="1">
      <c r="A984" s="14"/>
      <c r="B984" s="14"/>
      <c r="C984" s="14"/>
      <c r="D984" s="14"/>
      <c r="E984" s="14"/>
      <c r="F984" s="14"/>
      <c r="G984" s="14"/>
      <c r="H984" s="14"/>
      <c r="I984" s="14"/>
      <c r="J984" s="14"/>
      <c r="K984" s="14"/>
      <c r="L984" s="14"/>
      <c r="M984" s="14"/>
      <c r="N984" s="14"/>
      <c r="O984" s="14"/>
      <c r="P984" s="14"/>
      <c r="Q984" s="14"/>
      <c r="R984" s="60"/>
    </row>
    <row r="985" ht="28.5" customHeight="1">
      <c r="A985" s="14"/>
      <c r="B985" s="14"/>
      <c r="C985" s="14"/>
      <c r="D985" s="14"/>
      <c r="E985" s="14"/>
      <c r="F985" s="14"/>
      <c r="G985" s="14"/>
      <c r="H985" s="14"/>
      <c r="I985" s="14"/>
      <c r="J985" s="14"/>
      <c r="K985" s="14"/>
      <c r="L985" s="14"/>
      <c r="M985" s="14"/>
      <c r="N985" s="14"/>
      <c r="O985" s="14"/>
      <c r="P985" s="14"/>
      <c r="Q985" s="14"/>
      <c r="R985" s="60"/>
    </row>
    <row r="986" ht="28.5" customHeight="1">
      <c r="A986" s="14"/>
      <c r="B986" s="14"/>
      <c r="C986" s="14"/>
      <c r="D986" s="14"/>
      <c r="E986" s="14"/>
      <c r="F986" s="14"/>
      <c r="G986" s="14"/>
      <c r="H986" s="14"/>
      <c r="I986" s="14"/>
      <c r="J986" s="14"/>
      <c r="K986" s="14"/>
      <c r="L986" s="14"/>
      <c r="M986" s="14"/>
      <c r="N986" s="14"/>
      <c r="O986" s="14"/>
      <c r="P986" s="14"/>
      <c r="Q986" s="14"/>
      <c r="R986" s="60"/>
    </row>
    <row r="987" ht="28.5" customHeight="1">
      <c r="A987" s="14"/>
      <c r="B987" s="14"/>
      <c r="C987" s="14"/>
      <c r="D987" s="14"/>
      <c r="E987" s="14"/>
      <c r="F987" s="14"/>
      <c r="G987" s="14"/>
      <c r="H987" s="14"/>
      <c r="I987" s="14"/>
      <c r="J987" s="14"/>
      <c r="K987" s="14"/>
      <c r="L987" s="14"/>
      <c r="M987" s="14"/>
      <c r="N987" s="14"/>
      <c r="O987" s="14"/>
      <c r="P987" s="14"/>
      <c r="Q987" s="14"/>
      <c r="R987" s="60"/>
    </row>
  </sheetData>
  <autoFilter ref="$A$1:$Q$88">
    <sortState ref="A1:Q88">
      <sortCondition ref="B1:B88"/>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33" t="s">
        <v>1112</v>
      </c>
      <c r="C1" s="33" t="s">
        <v>1113</v>
      </c>
      <c r="D1" s="33" t="s">
        <v>1114</v>
      </c>
      <c r="F1" s="33" t="s">
        <v>1115</v>
      </c>
    </row>
    <row r="2">
      <c r="B2" s="33">
        <v>2.696</v>
      </c>
      <c r="C2" s="33">
        <v>3.183</v>
      </c>
      <c r="D2" s="38">
        <f t="shared" ref="D2:D4" si="1">(C2-B2)/C2</f>
        <v>0.1530003142</v>
      </c>
      <c r="E2" s="38">
        <f t="shared" ref="E2:E4" si="2">(C2-B2)/B2</f>
        <v>0.1806379822</v>
      </c>
      <c r="F2" s="38">
        <f t="shared" ref="F2:F4" si="3">C2-B2</f>
        <v>0.487</v>
      </c>
      <c r="H2">
        <f>29.76 + 27.38</f>
        <v>57.14</v>
      </c>
    </row>
    <row r="3">
      <c r="B3" s="33">
        <v>3.027</v>
      </c>
      <c r="C3" s="33">
        <v>3.183</v>
      </c>
      <c r="D3" s="38">
        <f t="shared" si="1"/>
        <v>0.04901036758</v>
      </c>
      <c r="E3" s="38">
        <f t="shared" si="2"/>
        <v>0.05153617443</v>
      </c>
      <c r="F3" s="38">
        <f t="shared" si="3"/>
        <v>0.156</v>
      </c>
      <c r="H3">
        <f>3.57+2.38</f>
        <v>5.95</v>
      </c>
    </row>
    <row r="4">
      <c r="B4" s="33">
        <v>2.331</v>
      </c>
      <c r="C4" s="33">
        <v>3.183</v>
      </c>
      <c r="D4" s="38">
        <f t="shared" si="1"/>
        <v>0.2676720075</v>
      </c>
      <c r="E4" s="38">
        <f t="shared" si="2"/>
        <v>0.3655083655</v>
      </c>
      <c r="F4" s="38">
        <f t="shared" si="3"/>
        <v>0.852</v>
      </c>
    </row>
    <row r="5">
      <c r="D5" s="61">
        <f t="shared" ref="D5:F5" si="4">AVERAGE(D2:D4)</f>
        <v>0.1565608964</v>
      </c>
      <c r="E5" s="61">
        <f t="shared" si="4"/>
        <v>0.1992275074</v>
      </c>
      <c r="F5" s="38">
        <f t="shared" si="4"/>
        <v>0.4983333333</v>
      </c>
    </row>
  </sheetData>
  <drawing r:id="rId1"/>
</worksheet>
</file>