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:\4-Engenharias\4.4-Engenharia RT\Z-Temp\"/>
    </mc:Choice>
  </mc:AlternateContent>
  <xr:revisionPtr revIDLastSave="0" documentId="13_ncr:1_{4E7ED32C-A0C2-48D8-90A4-A0F04FC9C3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Print_Area" localSheetId="0">Plan1!$A$2:$U$45</definedName>
    <definedName name="VA" localSheetId="0">Plan1!$B$5</definedName>
    <definedName name="VS" localSheetId="0">Plan1!$D$5</definedName>
  </definedNames>
  <calcPr calcId="181029"/>
</workbook>
</file>

<file path=xl/calcChain.xml><?xml version="1.0" encoding="utf-8"?>
<calcChain xmlns="http://schemas.openxmlformats.org/spreadsheetml/2006/main">
  <c r="C6" i="1" l="1"/>
  <c r="B30" i="1"/>
  <c r="G30" i="1"/>
  <c r="T29" i="1"/>
  <c r="T30" i="1"/>
  <c r="T31" i="1"/>
  <c r="T32" i="1"/>
  <c r="T36" i="1"/>
  <c r="T23" i="1"/>
  <c r="T14" i="1"/>
  <c r="T16" i="1"/>
  <c r="T27" i="1"/>
  <c r="T26" i="1"/>
  <c r="T28" i="1"/>
  <c r="T33" i="1"/>
  <c r="T34" i="1"/>
  <c r="T35" i="1"/>
  <c r="T37" i="1"/>
  <c r="T38" i="1"/>
  <c r="T39" i="1"/>
  <c r="T40" i="1"/>
  <c r="T41" i="1"/>
  <c r="T42" i="1"/>
  <c r="L22" i="1"/>
  <c r="L21" i="1"/>
  <c r="E44" i="1"/>
  <c r="F45" i="1" s="1"/>
  <c r="T15" i="1"/>
  <c r="T18" i="1"/>
  <c r="T19" i="1"/>
  <c r="T20" i="1"/>
  <c r="T24" i="1"/>
  <c r="T25" i="1"/>
  <c r="AB17" i="1"/>
  <c r="T22" i="1" l="1"/>
  <c r="T21" i="1"/>
  <c r="J45" i="1"/>
  <c r="D44" i="1" l="1"/>
  <c r="X10" i="1" l="1"/>
  <c r="X6" i="1"/>
  <c r="L17" i="1" l="1"/>
  <c r="T17" i="1" s="1"/>
  <c r="V15" i="2" l="1"/>
  <c r="W25" i="1" l="1"/>
  <c r="X25" i="1"/>
  <c r="Y25" i="1"/>
  <c r="Y24" i="1"/>
  <c r="X24" i="1"/>
  <c r="W24" i="1"/>
  <c r="V24" i="1" l="1"/>
  <c r="V25" i="1"/>
  <c r="V42" i="1"/>
  <c r="M8" i="1"/>
  <c r="L13" i="1"/>
  <c r="T13" i="1" s="1"/>
  <c r="T43" i="1" s="1"/>
  <c r="F8" i="1" s="1"/>
  <c r="V23" i="1"/>
  <c r="X23" i="1"/>
  <c r="AB16" i="1" l="1"/>
  <c r="AB8" i="1" l="1"/>
  <c r="AK15" i="1" l="1"/>
  <c r="AM15" i="1" l="1"/>
  <c r="C22" i="1"/>
  <c r="E3" i="2"/>
  <c r="E5" i="2" s="1"/>
  <c r="E1" i="2"/>
  <c r="F19" i="1" l="1"/>
  <c r="AK16" i="1" l="1"/>
  <c r="AM16" i="1" s="1"/>
  <c r="C17" i="1" l="1"/>
  <c r="F6" i="1" l="1"/>
  <c r="F12" i="1" s="1"/>
  <c r="AB9" i="1" s="1"/>
  <c r="W13" i="1"/>
  <c r="W16" i="1" s="1"/>
  <c r="W18" i="1" s="1"/>
  <c r="L5" i="1"/>
  <c r="F21" i="1"/>
  <c r="R5" i="1"/>
  <c r="AC23" i="1" s="1"/>
  <c r="E15" i="1"/>
  <c r="H16" i="1"/>
  <c r="AK42" i="1"/>
  <c r="AM42" i="1" s="1"/>
  <c r="AK18" i="1"/>
  <c r="AK20" i="1" s="1"/>
  <c r="C20" i="1"/>
  <c r="R27" i="1" l="1"/>
  <c r="S27" i="1" s="1"/>
  <c r="R35" i="1"/>
  <c r="S35" i="1" s="1"/>
  <c r="R39" i="1"/>
  <c r="S39" i="1" s="1"/>
  <c r="R42" i="1"/>
  <c r="S42" i="1" s="1"/>
  <c r="R28" i="1"/>
  <c r="S28" i="1" s="1"/>
  <c r="R36" i="1"/>
  <c r="S36" i="1" s="1"/>
  <c r="R29" i="1"/>
  <c r="S29" i="1" s="1"/>
  <c r="R37" i="1"/>
  <c r="S37" i="1" s="1"/>
  <c r="R22" i="1"/>
  <c r="S22" i="1" s="1"/>
  <c r="R30" i="1"/>
  <c r="S30" i="1" s="1"/>
  <c r="R40" i="1"/>
  <c r="S40" i="1" s="1"/>
  <c r="R26" i="1"/>
  <c r="S26" i="1" s="1"/>
  <c r="R23" i="1"/>
  <c r="S23" i="1" s="1"/>
  <c r="R31" i="1"/>
  <c r="S31" i="1" s="1"/>
  <c r="R24" i="1"/>
  <c r="S24" i="1" s="1"/>
  <c r="R32" i="1"/>
  <c r="S32" i="1" s="1"/>
  <c r="R38" i="1"/>
  <c r="S38" i="1" s="1"/>
  <c r="R41" i="1"/>
  <c r="S41" i="1" s="1"/>
  <c r="R25" i="1"/>
  <c r="S25" i="1" s="1"/>
  <c r="R33" i="1"/>
  <c r="S33" i="1" s="1"/>
  <c r="R34" i="1"/>
  <c r="S34" i="1" s="1"/>
  <c r="R21" i="1"/>
  <c r="R17" i="1"/>
  <c r="R20" i="1"/>
  <c r="S20" i="1" s="1"/>
  <c r="R18" i="1"/>
  <c r="S18" i="1" s="1"/>
  <c r="R16" i="1"/>
  <c r="S16" i="1" s="1"/>
  <c r="R19" i="1"/>
  <c r="S19" i="1" s="1"/>
  <c r="R13" i="1"/>
  <c r="S13" i="1" s="1"/>
  <c r="R14" i="1"/>
  <c r="S14" i="1" s="1"/>
  <c r="R15" i="1"/>
  <c r="S15" i="1" s="1"/>
  <c r="R9" i="1"/>
  <c r="C24" i="1"/>
  <c r="R6" i="1"/>
  <c r="H12" i="1"/>
  <c r="AK44" i="1"/>
  <c r="C19" i="1" s="1"/>
  <c r="F10" i="1"/>
  <c r="AM44" i="1"/>
  <c r="S21" i="1" l="1"/>
  <c r="R43" i="1"/>
  <c r="W14" i="1"/>
  <c r="W17" i="1" s="1"/>
  <c r="W19" i="1" s="1"/>
  <c r="S17" i="1"/>
  <c r="R7" i="1"/>
  <c r="AC24" i="1"/>
  <c r="F22" i="1"/>
  <c r="F24" i="1" s="1"/>
  <c r="R8" i="1" l="1"/>
  <c r="AC42" i="1" s="1"/>
  <c r="AC25" i="1"/>
</calcChain>
</file>

<file path=xl/sharedStrings.xml><?xml version="1.0" encoding="utf-8"?>
<sst xmlns="http://schemas.openxmlformats.org/spreadsheetml/2006/main" count="237" uniqueCount="154">
  <si>
    <t>V</t>
  </si>
  <si>
    <t>mH</t>
  </si>
  <si>
    <t>µF</t>
  </si>
  <si>
    <t>Hz</t>
  </si>
  <si>
    <t>XL</t>
  </si>
  <si>
    <t>XC</t>
  </si>
  <si>
    <t>ZT</t>
  </si>
  <si>
    <t>Entrada de dados</t>
  </si>
  <si>
    <t>Frequência Nominal</t>
  </si>
  <si>
    <t>A</t>
  </si>
  <si>
    <t>Corrente ensaio</t>
  </si>
  <si>
    <t xml:space="preserve">Tensão de ensaio </t>
  </si>
  <si>
    <t>Rdc</t>
  </si>
  <si>
    <r>
      <t>m</t>
    </r>
    <r>
      <rPr>
        <b/>
        <sz val="10"/>
        <rFont val="Calibri"/>
        <family val="2"/>
      </rPr>
      <t>Ω</t>
    </r>
  </si>
  <si>
    <t>Corrente da Fonte</t>
  </si>
  <si>
    <t>Corrente No Reator</t>
  </si>
  <si>
    <t>Dados do Reator</t>
  </si>
  <si>
    <t>Ensaio</t>
  </si>
  <si>
    <t>Simulação</t>
  </si>
  <si>
    <t>Banco Ideal</t>
  </si>
  <si>
    <t>xc ideal</t>
  </si>
  <si>
    <t>ZT ideal</t>
  </si>
  <si>
    <t>Banco Real</t>
  </si>
  <si>
    <t>Nº de capacitores</t>
  </si>
  <si>
    <t>Nº capacitores real</t>
  </si>
  <si>
    <r>
      <rPr>
        <b/>
        <sz val="11"/>
        <color theme="1"/>
        <rFont val="Calibri"/>
        <family val="2"/>
      </rPr>
      <t>µ</t>
    </r>
    <r>
      <rPr>
        <b/>
        <sz val="9.35"/>
        <color theme="1"/>
        <rFont val="Calibri"/>
        <family val="2"/>
      </rPr>
      <t>F</t>
    </r>
  </si>
  <si>
    <t>Tensão da unidade</t>
  </si>
  <si>
    <t>kVAr</t>
  </si>
  <si>
    <t>Potencia da unidade cap</t>
  </si>
  <si>
    <t>Cap Banco eq</t>
  </si>
  <si>
    <t>S</t>
  </si>
  <si>
    <t>I</t>
  </si>
  <si>
    <t>L</t>
  </si>
  <si>
    <t>P</t>
  </si>
  <si>
    <t>TRAFO</t>
  </si>
  <si>
    <t>kW</t>
  </si>
  <si>
    <t>RT</t>
  </si>
  <si>
    <t>Tensão Nom. V1</t>
  </si>
  <si>
    <t>Tensão Nom. V2</t>
  </si>
  <si>
    <t>Tensão de Entrada</t>
  </si>
  <si>
    <t>Corrente de Entrada</t>
  </si>
  <si>
    <t>Capacitor de Caneca</t>
  </si>
  <si>
    <t>Capacitor Bucha</t>
  </si>
  <si>
    <t>Reator série</t>
  </si>
  <si>
    <t>Potencia série</t>
  </si>
  <si>
    <t>Tensão série</t>
  </si>
  <si>
    <t>Cap. Banco série</t>
  </si>
  <si>
    <t>Cap. Banco Paralelo</t>
  </si>
  <si>
    <t>Banco Série</t>
  </si>
  <si>
    <t>Tensão Máx</t>
  </si>
  <si>
    <t>SE(C18&gt;235;" Ensaio com Transformador";" Ensaio sem Transformador")</t>
  </si>
  <si>
    <t>Corrente nominal</t>
  </si>
  <si>
    <t>Potência Paralelo</t>
  </si>
  <si>
    <t>QUANT.</t>
  </si>
  <si>
    <t>VC (V)</t>
  </si>
  <si>
    <t>Pn (kVAr)</t>
  </si>
  <si>
    <t>BP</t>
  </si>
  <si>
    <t>Série</t>
  </si>
  <si>
    <t>P T (kVAr)</t>
  </si>
  <si>
    <t>BS</t>
  </si>
  <si>
    <t>P Tútil(kVAr)</t>
  </si>
  <si>
    <t>Fn Hz</t>
  </si>
  <si>
    <t>Tensão do BP</t>
  </si>
  <si>
    <t>Ensaio Simples</t>
  </si>
  <si>
    <t>Frequência Ensaio</t>
  </si>
  <si>
    <t>Banco série</t>
  </si>
  <si>
    <t>Sim</t>
  </si>
  <si>
    <t>Não</t>
  </si>
  <si>
    <t>TOTAL:</t>
  </si>
  <si>
    <t>CLM2260083</t>
  </si>
  <si>
    <t>CELULA MONO 0.83KVAR/220V/60HZ</t>
  </si>
  <si>
    <t>CLM2260167</t>
  </si>
  <si>
    <t>CELULA MONO 1.67KVAR/220V/60HZ</t>
  </si>
  <si>
    <t>CLM2260250</t>
  </si>
  <si>
    <t>CELULA MONO 2.50KVAR/220V/60HZ</t>
  </si>
  <si>
    <t>CLM4460334</t>
  </si>
  <si>
    <t>CELULA MONO 3.34KVAR/440V/60HZ</t>
  </si>
  <si>
    <t>CLM4460250</t>
  </si>
  <si>
    <t>CELULA MONO 2.50KVAR/440V/60HZ</t>
  </si>
  <si>
    <t>CLM4860334</t>
  </si>
  <si>
    <t>CELULA MONO 3.34KVAR/480V/60HZ</t>
  </si>
  <si>
    <t>CLM4460500</t>
  </si>
  <si>
    <t>CELULA MONO 5.00KVAR/480V/60HZ</t>
  </si>
  <si>
    <t>CLM3860250</t>
  </si>
  <si>
    <t>CELULA MONO 2.50KVAR/380V/60HZ</t>
  </si>
  <si>
    <t>CLM3860167</t>
  </si>
  <si>
    <t>CELULA MONO 1.67KVAR/380V/60HZ</t>
  </si>
  <si>
    <t>CLM4860250</t>
  </si>
  <si>
    <t>CELULA MONO 2.50KVAR/480V/60HZ</t>
  </si>
  <si>
    <t>CLM3860334</t>
  </si>
  <si>
    <t>CLM5360250</t>
  </si>
  <si>
    <t>CELULA MONO 2.50KVAR/535V/60HZ</t>
  </si>
  <si>
    <t>CLM5360167</t>
  </si>
  <si>
    <t>CELULA MONO 1.67KVAR/535V/60HZ</t>
  </si>
  <si>
    <t>CLM4860167</t>
  </si>
  <si>
    <t>CELULA MONO 1.67KVAR/480V/60HZ</t>
  </si>
  <si>
    <t>CLM4460083</t>
  </si>
  <si>
    <t>CELULA MONO 0.83KVAR/440V/60HZ</t>
  </si>
  <si>
    <t>CLM3860083</t>
  </si>
  <si>
    <t>CELULA MONO 0.83KVAR/380V/60HZ</t>
  </si>
  <si>
    <t>CLM4460167</t>
  </si>
  <si>
    <t>CELULA MONO 1.67KVAR/440V/60HZ</t>
  </si>
  <si>
    <t>Fonte 1</t>
  </si>
  <si>
    <t>Fonte 2</t>
  </si>
  <si>
    <t>F2-V2</t>
  </si>
  <si>
    <t>F2-I2</t>
  </si>
  <si>
    <t>F1-V2</t>
  </si>
  <si>
    <t>F1-I2</t>
  </si>
  <si>
    <t>F1-V1</t>
  </si>
  <si>
    <t>F1-I1</t>
  </si>
  <si>
    <t>Sec</t>
  </si>
  <si>
    <t>Circuito</t>
  </si>
  <si>
    <t>Dados dos Trafos</t>
  </si>
  <si>
    <t>i' (A)</t>
  </si>
  <si>
    <t>Prefeitura Municipal de Salto do Lontra, R. Rio Grande do Sul, 174 - Centro, Salto do Lontra - PR, 85670-000</t>
  </si>
  <si>
    <t>Estoque Capacitores LAB RT</t>
  </si>
  <si>
    <t>Quantidade</t>
  </si>
  <si>
    <t>Número de Série/PI</t>
  </si>
  <si>
    <t>Tensão (KV nominal)</t>
  </si>
  <si>
    <t>Potência(kvar)</t>
  </si>
  <si>
    <t>Capacitância (µF)</t>
  </si>
  <si>
    <t>Letra de identificação</t>
  </si>
  <si>
    <t>44225-02</t>
  </si>
  <si>
    <t>A1</t>
  </si>
  <si>
    <t>43400-03</t>
  </si>
  <si>
    <t>B1</t>
  </si>
  <si>
    <t>C1 a C3</t>
  </si>
  <si>
    <t>44257-01</t>
  </si>
  <si>
    <t>D1</t>
  </si>
  <si>
    <t>não consta</t>
  </si>
  <si>
    <t>ITEL 1</t>
  </si>
  <si>
    <t>E1</t>
  </si>
  <si>
    <t>23459-01</t>
  </si>
  <si>
    <t>F1</t>
  </si>
  <si>
    <t>52386-02</t>
  </si>
  <si>
    <t>G1</t>
  </si>
  <si>
    <t>44093-01</t>
  </si>
  <si>
    <t>H1 E H2</t>
  </si>
  <si>
    <t>45119-05</t>
  </si>
  <si>
    <t>I1</t>
  </si>
  <si>
    <t>J1</t>
  </si>
  <si>
    <t>51729-01</t>
  </si>
  <si>
    <t>K1</t>
  </si>
  <si>
    <t>52028-03</t>
  </si>
  <si>
    <t>L1</t>
  </si>
  <si>
    <t>43299-03</t>
  </si>
  <si>
    <t>M1 A M3</t>
  </si>
  <si>
    <t>IDENTIFICAÇÃO</t>
  </si>
  <si>
    <t>RACK</t>
  </si>
  <si>
    <t>Capacitância da unidade</t>
  </si>
  <si>
    <t>Primário</t>
  </si>
  <si>
    <t xml:space="preserve">Indutância </t>
  </si>
  <si>
    <t xml:space="preserve">indutância </t>
  </si>
  <si>
    <t xml:space="preserve">CX AJUSTE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</si>
</sst>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##,##0.000"/>
    <numFmt numFmtId="167" formatCode="##,##0.00"/>
  </numFmts>
  <fonts count="20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2"/>
      <color rgb="FF50F828"/>
      <name val="Arial"/>
      <family val="2"/>
    </font>
    <font>
      <b/>
      <sz val="10"/>
      <color theme="3"/>
      <name val="Arial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0"/>
      <name val="Arial"/>
      <family val="2"/>
    </font>
    <font>
      <b/>
      <sz val="10"/>
      <color rgb="FF676665"/>
      <name val="Arial"/>
      <family val="2"/>
    </font>
    <font>
      <sz val="10"/>
      <color rgb="FF676665"/>
      <name val="Arial"/>
      <family val="2"/>
    </font>
    <font>
      <sz val="8"/>
      <color rgb="FF676665"/>
      <name val="MS Sans Serif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b/>
      <sz val="10"/>
      <color rgb="FF002060"/>
      <name val="Arial"/>
      <family val="2"/>
    </font>
    <font>
      <b/>
      <sz val="10"/>
      <color rgb="FF7030A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2" fontId="2" fillId="3" borderId="7" xfId="0" applyNumberFormat="1" applyFont="1" applyFill="1" applyBorder="1" applyAlignment="1">
      <alignment horizontal="right" vertical="center"/>
    </xf>
    <xf numFmtId="164" fontId="2" fillId="3" borderId="8" xfId="0" applyNumberFormat="1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2" fontId="4" fillId="3" borderId="0" xfId="0" applyNumberFormat="1" applyFont="1" applyFill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3" borderId="0" xfId="0" applyFont="1" applyFill="1" applyAlignment="1">
      <alignment vertical="center"/>
    </xf>
    <xf numFmtId="10" fontId="4" fillId="3" borderId="8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" fontId="4" fillId="3" borderId="0" xfId="0" applyNumberFormat="1" applyFont="1" applyFill="1" applyAlignment="1">
      <alignment horizontal="center" vertical="center"/>
    </xf>
    <xf numFmtId="2" fontId="2" fillId="3" borderId="4" xfId="0" applyNumberFormat="1" applyFont="1" applyFill="1" applyBorder="1" applyAlignment="1">
      <alignment horizontal="right" vertical="center"/>
    </xf>
    <xf numFmtId="2" fontId="2" fillId="3" borderId="9" xfId="0" applyNumberFormat="1" applyFont="1" applyFill="1" applyBorder="1" applyAlignment="1">
      <alignment horizontal="right" vertical="center"/>
    </xf>
    <xf numFmtId="2" fontId="4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0" fillId="4" borderId="0" xfId="0" applyFill="1"/>
    <xf numFmtId="0" fontId="8" fillId="3" borderId="7" xfId="0" applyFont="1" applyFill="1" applyBorder="1" applyAlignment="1">
      <alignment horizontal="right"/>
    </xf>
    <xf numFmtId="0" fontId="9" fillId="3" borderId="6" xfId="0" applyFont="1" applyFill="1" applyBorder="1"/>
    <xf numFmtId="2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10" fillId="3" borderId="11" xfId="0" applyFont="1" applyFill="1" applyBorder="1" applyAlignment="1">
      <alignment vertical="center"/>
    </xf>
    <xf numFmtId="165" fontId="4" fillId="3" borderId="0" xfId="0" applyNumberFormat="1" applyFont="1" applyFill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6" fillId="3" borderId="11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2" fontId="4" fillId="3" borderId="17" xfId="0" applyNumberFormat="1" applyFont="1" applyFill="1" applyBorder="1" applyAlignment="1">
      <alignment horizontal="center" vertical="center"/>
    </xf>
    <xf numFmtId="2" fontId="4" fillId="3" borderId="20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9" fillId="3" borderId="8" xfId="0" applyFont="1" applyFill="1" applyBorder="1"/>
    <xf numFmtId="2" fontId="12" fillId="3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 applyProtection="1">
      <alignment horizontal="center"/>
      <protection locked="0"/>
    </xf>
    <xf numFmtId="1" fontId="12" fillId="0" borderId="19" xfId="0" applyNumberFormat="1" applyFont="1" applyBorder="1" applyAlignment="1" applyProtection="1">
      <alignment horizontal="center"/>
      <protection locked="0"/>
    </xf>
    <xf numFmtId="167" fontId="12" fillId="0" borderId="19" xfId="0" applyNumberFormat="1" applyFont="1" applyBorder="1" applyAlignment="1" applyProtection="1">
      <alignment horizontal="center"/>
      <protection locked="0"/>
    </xf>
    <xf numFmtId="0" fontId="12" fillId="0" borderId="20" xfId="0" applyFont="1" applyBorder="1" applyAlignment="1">
      <alignment horizontal="center"/>
    </xf>
    <xf numFmtId="1" fontId="12" fillId="3" borderId="15" xfId="0" applyNumberFormat="1" applyFont="1" applyFill="1" applyBorder="1" applyAlignment="1">
      <alignment horizontal="center" vertical="center"/>
    </xf>
    <xf numFmtId="1" fontId="12" fillId="3" borderId="16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 applyProtection="1">
      <alignment horizontal="center"/>
      <protection locked="0"/>
    </xf>
    <xf numFmtId="1" fontId="13" fillId="0" borderId="15" xfId="0" applyNumberFormat="1" applyFont="1" applyBorder="1" applyAlignment="1" applyProtection="1">
      <alignment horizontal="center"/>
      <protection locked="0"/>
    </xf>
    <xf numFmtId="1" fontId="13" fillId="0" borderId="16" xfId="0" applyNumberFormat="1" applyFont="1" applyBorder="1" applyAlignment="1" applyProtection="1">
      <alignment horizontal="center"/>
      <protection locked="0"/>
    </xf>
    <xf numFmtId="167" fontId="13" fillId="0" borderId="16" xfId="0" applyNumberFormat="1" applyFont="1" applyBorder="1" applyAlignment="1" applyProtection="1">
      <alignment horizontal="center"/>
      <protection locked="0"/>
    </xf>
    <xf numFmtId="0" fontId="13" fillId="0" borderId="17" xfId="0" applyFont="1" applyBorder="1" applyAlignment="1">
      <alignment horizontal="center"/>
    </xf>
    <xf numFmtId="166" fontId="13" fillId="0" borderId="16" xfId="0" applyNumberFormat="1" applyFont="1" applyBorder="1" applyAlignment="1" applyProtection="1">
      <alignment horizontal="center"/>
      <protection locked="0"/>
    </xf>
    <xf numFmtId="1" fontId="13" fillId="0" borderId="18" xfId="0" applyNumberFormat="1" applyFont="1" applyBorder="1" applyAlignment="1" applyProtection="1">
      <alignment horizontal="center"/>
      <protection locked="0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 applyProtection="1">
      <alignment horizontal="center"/>
      <protection locked="0"/>
    </xf>
    <xf numFmtId="1" fontId="12" fillId="3" borderId="18" xfId="0" applyNumberFormat="1" applyFont="1" applyFill="1" applyBorder="1" applyAlignment="1">
      <alignment horizontal="center" vertical="center"/>
    </xf>
    <xf numFmtId="1" fontId="12" fillId="3" borderId="19" xfId="0" applyNumberFormat="1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1" fontId="12" fillId="3" borderId="0" xfId="0" applyNumberFormat="1" applyFont="1" applyFill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0" fillId="3" borderId="5" xfId="0" applyFill="1" applyBorder="1" applyAlignment="1">
      <alignment horizontal="center" vertical="center"/>
    </xf>
    <xf numFmtId="1" fontId="12" fillId="5" borderId="16" xfId="0" applyNumberFormat="1" applyFont="1" applyFill="1" applyBorder="1" applyAlignment="1" applyProtection="1">
      <alignment horizontal="center"/>
      <protection locked="0"/>
    </xf>
    <xf numFmtId="167" fontId="12" fillId="5" borderId="16" xfId="0" applyNumberFormat="1" applyFont="1" applyFill="1" applyBorder="1" applyAlignment="1" applyProtection="1">
      <alignment horizontal="center"/>
      <protection locked="0"/>
    </xf>
    <xf numFmtId="0" fontId="12" fillId="5" borderId="17" xfId="0" applyFont="1" applyFill="1" applyBorder="1" applyAlignment="1">
      <alignment horizontal="center"/>
    </xf>
    <xf numFmtId="2" fontId="18" fillId="5" borderId="26" xfId="0" applyNumberFormat="1" applyFont="1" applyFill="1" applyBorder="1" applyAlignment="1">
      <alignment horizontal="center" vertical="center"/>
    </xf>
    <xf numFmtId="0" fontId="18" fillId="5" borderId="15" xfId="0" applyFont="1" applyFill="1" applyBorder="1" applyAlignment="1" applyProtection="1">
      <alignment horizontal="center"/>
      <protection locked="0"/>
    </xf>
    <xf numFmtId="1" fontId="19" fillId="5" borderId="15" xfId="0" applyNumberFormat="1" applyFont="1" applyFill="1" applyBorder="1" applyAlignment="1">
      <alignment horizontal="center" vertical="center"/>
    </xf>
    <xf numFmtId="1" fontId="19" fillId="5" borderId="16" xfId="0" applyNumberFormat="1" applyFont="1" applyFill="1" applyBorder="1" applyAlignment="1">
      <alignment horizontal="center" vertical="center"/>
    </xf>
    <xf numFmtId="2" fontId="18" fillId="3" borderId="26" xfId="0" applyNumberFormat="1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2" fontId="11" fillId="2" borderId="28" xfId="0" applyNumberFormat="1" applyFont="1" applyFill="1" applyBorder="1" applyAlignment="1">
      <alignment horizontal="center" vertical="center"/>
    </xf>
    <xf numFmtId="0" fontId="19" fillId="5" borderId="16" xfId="0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1" fontId="12" fillId="0" borderId="32" xfId="0" applyNumberFormat="1" applyFont="1" applyBorder="1" applyAlignment="1" applyProtection="1">
      <alignment horizontal="center"/>
      <protection locked="0"/>
    </xf>
    <xf numFmtId="1" fontId="12" fillId="0" borderId="21" xfId="0" applyNumberFormat="1" applyFont="1" applyBorder="1" applyAlignment="1" applyProtection="1">
      <alignment horizontal="center"/>
      <protection locked="0"/>
    </xf>
    <xf numFmtId="0" fontId="0" fillId="3" borderId="37" xfId="0" applyFill="1" applyBorder="1"/>
    <xf numFmtId="0" fontId="0" fillId="3" borderId="23" xfId="0" applyFill="1" applyBorder="1"/>
    <xf numFmtId="0" fontId="0" fillId="3" borderId="38" xfId="0" applyFill="1" applyBorder="1"/>
    <xf numFmtId="2" fontId="18" fillId="3" borderId="17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165" fontId="18" fillId="3" borderId="39" xfId="0" applyNumberFormat="1" applyFont="1" applyFill="1" applyBorder="1" applyAlignment="1">
      <alignment horizontal="center" vertical="center"/>
    </xf>
    <xf numFmtId="165" fontId="18" fillId="3" borderId="16" xfId="0" applyNumberFormat="1" applyFont="1" applyFill="1" applyBorder="1" applyAlignment="1">
      <alignment horizontal="center" vertical="center"/>
    </xf>
    <xf numFmtId="165" fontId="11" fillId="2" borderId="28" xfId="0" applyNumberFormat="1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6" borderId="49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6" borderId="51" xfId="0" applyFont="1" applyFill="1" applyBorder="1" applyAlignment="1">
      <alignment horizontal="center" vertical="center"/>
    </xf>
    <xf numFmtId="0" fontId="16" fillId="6" borderId="5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" fontId="13" fillId="0" borderId="53" xfId="0" applyNumberFormat="1" applyFont="1" applyBorder="1" applyAlignment="1" applyProtection="1">
      <alignment horizontal="center"/>
      <protection locked="0"/>
    </xf>
    <xf numFmtId="1" fontId="13" fillId="0" borderId="54" xfId="0" applyNumberFormat="1" applyFont="1" applyBorder="1" applyAlignment="1" applyProtection="1">
      <alignment horizontal="center"/>
      <protection locked="0"/>
    </xf>
    <xf numFmtId="166" fontId="13" fillId="0" borderId="54" xfId="0" applyNumberFormat="1" applyFont="1" applyBorder="1" applyAlignment="1" applyProtection="1">
      <alignment horizontal="center"/>
      <protection locked="0"/>
    </xf>
    <xf numFmtId="0" fontId="13" fillId="0" borderId="55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4" fillId="0" borderId="54" xfId="0" applyFont="1" applyBorder="1" applyAlignment="1" applyProtection="1">
      <alignment horizontal="center"/>
      <protection locked="0"/>
    </xf>
    <xf numFmtId="2" fontId="4" fillId="3" borderId="55" xfId="0" applyNumberFormat="1" applyFont="1" applyFill="1" applyBorder="1" applyAlignment="1">
      <alignment horizontal="center" vertical="center"/>
    </xf>
    <xf numFmtId="0" fontId="9" fillId="3" borderId="0" xfId="0" applyFont="1" applyFill="1"/>
    <xf numFmtId="0" fontId="18" fillId="3" borderId="15" xfId="0" applyFont="1" applyFill="1" applyBorder="1" applyAlignment="1" applyProtection="1">
      <alignment horizontal="center"/>
      <protection locked="0"/>
    </xf>
    <xf numFmtId="1" fontId="12" fillId="3" borderId="16" xfId="0" applyNumberFormat="1" applyFont="1" applyFill="1" applyBorder="1" applyAlignment="1" applyProtection="1">
      <alignment horizontal="center"/>
      <protection locked="0"/>
    </xf>
    <xf numFmtId="167" fontId="12" fillId="3" borderId="16" xfId="0" applyNumberFormat="1" applyFont="1" applyFill="1" applyBorder="1" applyAlignment="1" applyProtection="1">
      <alignment horizontal="center"/>
      <protection locked="0"/>
    </xf>
    <xf numFmtId="0" fontId="12" fillId="5" borderId="16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8" fillId="7" borderId="15" xfId="0" applyFont="1" applyFill="1" applyBorder="1" applyAlignment="1" applyProtection="1">
      <alignment horizontal="center"/>
      <protection locked="0"/>
    </xf>
    <xf numFmtId="1" fontId="12" fillId="7" borderId="16" xfId="0" applyNumberFormat="1" applyFont="1" applyFill="1" applyBorder="1" applyAlignment="1" applyProtection="1">
      <alignment horizontal="center"/>
      <protection locked="0"/>
    </xf>
    <xf numFmtId="167" fontId="12" fillId="7" borderId="16" xfId="0" applyNumberFormat="1" applyFont="1" applyFill="1" applyBorder="1" applyAlignment="1" applyProtection="1">
      <alignment horizontal="center"/>
      <protection locked="0"/>
    </xf>
    <xf numFmtId="0" fontId="12" fillId="7" borderId="16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1" fontId="19" fillId="7" borderId="15" xfId="0" applyNumberFormat="1" applyFont="1" applyFill="1" applyBorder="1" applyAlignment="1">
      <alignment horizontal="center" vertical="center"/>
    </xf>
    <xf numFmtId="0" fontId="19" fillId="7" borderId="16" xfId="0" applyFont="1" applyFill="1" applyBorder="1" applyAlignment="1" applyProtection="1">
      <alignment horizontal="center"/>
      <protection locked="0"/>
    </xf>
    <xf numFmtId="0" fontId="18" fillId="8" borderId="15" xfId="0" applyFont="1" applyFill="1" applyBorder="1" applyAlignment="1" applyProtection="1">
      <alignment horizontal="center"/>
      <protection locked="0"/>
    </xf>
    <xf numFmtId="1" fontId="12" fillId="8" borderId="16" xfId="0" applyNumberFormat="1" applyFont="1" applyFill="1" applyBorder="1" applyAlignment="1" applyProtection="1">
      <alignment horizontal="center"/>
      <protection locked="0"/>
    </xf>
    <xf numFmtId="167" fontId="12" fillId="8" borderId="16" xfId="0" applyNumberFormat="1" applyFont="1" applyFill="1" applyBorder="1" applyAlignment="1" applyProtection="1">
      <alignment horizontal="center"/>
      <protection locked="0"/>
    </xf>
    <xf numFmtId="0" fontId="12" fillId="8" borderId="16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1" fontId="19" fillId="8" borderId="15" xfId="0" applyNumberFormat="1" applyFont="1" applyFill="1" applyBorder="1" applyAlignment="1">
      <alignment horizontal="center" vertical="center"/>
    </xf>
    <xf numFmtId="0" fontId="19" fillId="8" borderId="16" xfId="0" applyFont="1" applyFill="1" applyBorder="1" applyAlignment="1" applyProtection="1">
      <alignment horizontal="center"/>
      <protection locked="0"/>
    </xf>
    <xf numFmtId="0" fontId="18" fillId="9" borderId="15" xfId="0" applyFont="1" applyFill="1" applyBorder="1" applyAlignment="1" applyProtection="1">
      <alignment horizontal="center"/>
      <protection locked="0"/>
    </xf>
    <xf numFmtId="1" fontId="12" fillId="9" borderId="16" xfId="0" applyNumberFormat="1" applyFont="1" applyFill="1" applyBorder="1" applyAlignment="1" applyProtection="1">
      <alignment horizontal="center"/>
      <protection locked="0"/>
    </xf>
    <xf numFmtId="167" fontId="17" fillId="9" borderId="16" xfId="0" applyNumberFormat="1" applyFont="1" applyFill="1" applyBorder="1" applyAlignment="1" applyProtection="1">
      <alignment horizontal="center"/>
      <protection locked="0"/>
    </xf>
    <xf numFmtId="0" fontId="12" fillId="9" borderId="16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1" fontId="19" fillId="9" borderId="15" xfId="0" applyNumberFormat="1" applyFont="1" applyFill="1" applyBorder="1" applyAlignment="1">
      <alignment horizontal="center" vertical="center"/>
    </xf>
    <xf numFmtId="0" fontId="19" fillId="9" borderId="16" xfId="0" applyFont="1" applyFill="1" applyBorder="1" applyAlignment="1" applyProtection="1">
      <alignment horizontal="center"/>
      <protection locked="0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2" fontId="2" fillId="3" borderId="4" xfId="0" applyNumberFormat="1" applyFont="1" applyFill="1" applyBorder="1" applyAlignment="1">
      <alignment horizontal="right" vertical="center"/>
    </xf>
    <xf numFmtId="0" fontId="0" fillId="0" borderId="5" xfId="0" applyBorder="1"/>
    <xf numFmtId="2" fontId="2" fillId="3" borderId="7" xfId="0" applyNumberFormat="1" applyFont="1" applyFill="1" applyBorder="1" applyAlignment="1">
      <alignment horizontal="right" vertical="center"/>
    </xf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right" vertical="center"/>
    </xf>
    <xf numFmtId="0" fontId="0" fillId="0" borderId="10" xfId="0" applyBorder="1"/>
    <xf numFmtId="0" fontId="1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1" xfId="0" applyBorder="1"/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3" borderId="7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0" borderId="25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6FFFF"/>
      <color rgb="FF676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582706</xdr:colOff>
      <xdr:row>43</xdr:row>
      <xdr:rowOff>166968</xdr:rowOff>
    </xdr:from>
    <xdr:to>
      <xdr:col>17</xdr:col>
      <xdr:colOff>422486</xdr:colOff>
      <xdr:row>53</xdr:row>
      <xdr:rowOff>104199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6912" y="9747997"/>
          <a:ext cx="3403250" cy="194308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46</xdr:row>
      <xdr:rowOff>171450</xdr:rowOff>
    </xdr:from>
    <xdr:to>
      <xdr:col>40</xdr:col>
      <xdr:colOff>376473</xdr:colOff>
      <xdr:row>57</xdr:row>
      <xdr:rowOff>64744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64675" y="6267450"/>
          <a:ext cx="5733334" cy="200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46</xdr:row>
      <xdr:rowOff>171450</xdr:rowOff>
    </xdr:from>
    <xdr:to>
      <xdr:col>39</xdr:col>
      <xdr:colOff>380358</xdr:colOff>
      <xdr:row>56</xdr:row>
      <xdr:rowOff>182642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64675" y="6267450"/>
          <a:ext cx="5133334" cy="1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194422</xdr:colOff>
      <xdr:row>35</xdr:row>
      <xdr:rowOff>25774</xdr:rowOff>
    </xdr:from>
    <xdr:to>
      <xdr:col>6</xdr:col>
      <xdr:colOff>122175</xdr:colOff>
      <xdr:row>43</xdr:row>
      <xdr:rowOff>160231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422" y="7813862"/>
          <a:ext cx="5149694" cy="1927398"/>
        </a:xfrm>
        <a:prstGeom prst="rect">
          <a:avLst/>
        </a:prstGeom>
      </xdr:spPr>
    </xdr:pic>
    <xdr:clientData/>
  </xdr:twoCellAnchor>
  <xdr:twoCellAnchor editAs="oneCell">
    <xdr:from>
      <xdr:col>0</xdr:col>
      <xdr:colOff>175371</xdr:colOff>
      <xdr:row>46</xdr:row>
      <xdr:rowOff>137274</xdr:rowOff>
    </xdr:from>
    <xdr:to>
      <xdr:col>7</xdr:col>
      <xdr:colOff>269454</xdr:colOff>
      <xdr:row>56</xdr:row>
      <xdr:rowOff>150371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371" y="10390656"/>
          <a:ext cx="5764259" cy="1929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B2:AP74"/>
  <sheetViews>
    <sheetView tabSelected="1" zoomScale="85" zoomScaleNormal="85" workbookViewId="0">
      <selection activeCell="N31" sqref="N31"/>
    </sheetView>
  </sheetViews>
  <sheetFormatPr defaultColWidth="9.140625" defaultRowHeight="15" x14ac:dyDescent="0.25"/>
  <cols>
    <col min="1" max="1" width="5.140625" style="12" customWidth="1"/>
    <col min="2" max="2" width="19.7109375" style="12" bestFit="1" customWidth="1"/>
    <col min="3" max="3" width="10.85546875" style="12" customWidth="1"/>
    <col min="4" max="4" width="10.140625" style="12" customWidth="1"/>
    <col min="5" max="5" width="20.42578125" style="12" customWidth="1"/>
    <col min="6" max="6" width="12" style="12" bestFit="1" customWidth="1"/>
    <col min="7" max="7" width="6.7109375" style="12" customWidth="1"/>
    <col min="8" max="8" width="7.28515625" style="12" customWidth="1"/>
    <col min="9" max="9" width="6.140625" style="12" customWidth="1"/>
    <col min="10" max="10" width="11.28515625" style="12" customWidth="1"/>
    <col min="11" max="11" width="10.7109375" style="12" customWidth="1"/>
    <col min="12" max="12" width="11.140625" style="12" customWidth="1"/>
    <col min="13" max="13" width="9.7109375" style="12" customWidth="1"/>
    <col min="14" max="14" width="17.7109375" style="12" bestFit="1" customWidth="1"/>
    <col min="15" max="15" width="5.85546875" style="12" customWidth="1"/>
    <col min="16" max="17" width="10.140625" style="12" customWidth="1"/>
    <col min="18" max="18" width="13.85546875" style="12" customWidth="1"/>
    <col min="19" max="19" width="8.28515625" style="12" customWidth="1"/>
    <col min="20" max="20" width="11.140625" style="12" customWidth="1"/>
    <col min="21" max="21" width="6.7109375" style="12" customWidth="1"/>
    <col min="22" max="22" width="16" style="12" customWidth="1"/>
    <col min="23" max="23" width="10.28515625" style="12" customWidth="1"/>
    <col min="24" max="24" width="11.7109375" style="12" customWidth="1"/>
    <col min="25" max="25" width="10.7109375" style="12" customWidth="1"/>
    <col min="26" max="26" width="6.7109375" style="12" customWidth="1"/>
    <col min="27" max="27" width="24.140625" style="12" bestFit="1" customWidth="1"/>
    <col min="28" max="28" width="10.7109375" style="12" customWidth="1"/>
    <col min="29" max="29" width="14.85546875" style="12" customWidth="1"/>
    <col min="30" max="31" width="5.42578125" style="12" customWidth="1"/>
    <col min="32" max="16384" width="9.140625" style="12"/>
  </cols>
  <sheetData>
    <row r="2" spans="2:42" ht="15.75" thickBot="1" x14ac:dyDescent="0.3">
      <c r="AB2" s="12" t="s">
        <v>114</v>
      </c>
      <c r="AI2" s="12" t="s">
        <v>50</v>
      </c>
    </row>
    <row r="3" spans="2:42" ht="18" customHeight="1" thickTop="1" thickBot="1" x14ac:dyDescent="0.3">
      <c r="B3" s="158" t="s">
        <v>7</v>
      </c>
      <c r="C3" s="165"/>
      <c r="D3" s="165"/>
      <c r="E3" s="165"/>
      <c r="F3" s="165"/>
      <c r="G3" s="165"/>
      <c r="H3" s="166"/>
      <c r="J3" s="158" t="s">
        <v>17</v>
      </c>
      <c r="K3" s="159"/>
      <c r="L3" s="159"/>
      <c r="M3" s="160"/>
      <c r="N3"/>
      <c r="P3" s="158" t="s">
        <v>48</v>
      </c>
      <c r="Q3" s="159"/>
      <c r="R3" s="159"/>
      <c r="S3" s="160"/>
      <c r="T3"/>
      <c r="V3" s="172" t="s">
        <v>112</v>
      </c>
      <c r="W3" s="173"/>
      <c r="X3" s="174"/>
      <c r="AA3" s="158" t="s">
        <v>41</v>
      </c>
      <c r="AB3" s="165"/>
      <c r="AC3" s="166"/>
    </row>
    <row r="4" spans="2:42" ht="18" customHeight="1" thickTop="1" thickBot="1" x14ac:dyDescent="0.3">
      <c r="B4" s="158" t="s">
        <v>16</v>
      </c>
      <c r="C4" s="165"/>
      <c r="D4" s="166"/>
      <c r="E4" s="158" t="s">
        <v>18</v>
      </c>
      <c r="F4" s="165"/>
      <c r="G4" s="165"/>
      <c r="H4" s="166"/>
      <c r="J4" s="24"/>
      <c r="K4" s="25"/>
      <c r="L4" s="25"/>
      <c r="M4" s="26"/>
      <c r="P4" s="161" t="s">
        <v>49</v>
      </c>
      <c r="Q4" s="162"/>
      <c r="R4" s="73">
        <v>380</v>
      </c>
      <c r="S4" s="3" t="s">
        <v>0</v>
      </c>
      <c r="T4" s="21"/>
      <c r="V4" s="175" t="s">
        <v>103</v>
      </c>
      <c r="W4" s="176"/>
      <c r="X4" s="177" t="s">
        <v>36</v>
      </c>
      <c r="AA4" s="28" t="s">
        <v>149</v>
      </c>
      <c r="AB4" s="73">
        <v>137</v>
      </c>
      <c r="AC4" s="3" t="s">
        <v>25</v>
      </c>
    </row>
    <row r="5" spans="2:42" ht="18" customHeight="1" thickTop="1" thickBot="1" x14ac:dyDescent="0.3">
      <c r="B5" s="1"/>
      <c r="C5" s="2"/>
      <c r="D5" s="3"/>
      <c r="E5" s="4"/>
      <c r="F5" s="5"/>
      <c r="G5" s="20"/>
      <c r="H5" s="8"/>
      <c r="J5" s="184" t="s">
        <v>62</v>
      </c>
      <c r="K5" s="185"/>
      <c r="L5" s="51">
        <f>C17</f>
        <v>11514.976942574929</v>
      </c>
      <c r="M5" s="8" t="s">
        <v>0</v>
      </c>
      <c r="N5" s="21"/>
      <c r="P5" s="163" t="s">
        <v>45</v>
      </c>
      <c r="Q5" s="164"/>
      <c r="R5" s="19">
        <f>C17-R4</f>
        <v>11134.976942574929</v>
      </c>
      <c r="S5" s="8" t="s">
        <v>0</v>
      </c>
      <c r="T5" s="21"/>
      <c r="V5" s="93" t="s">
        <v>150</v>
      </c>
      <c r="W5" s="94" t="s">
        <v>110</v>
      </c>
      <c r="X5" s="178"/>
      <c r="AA5" s="9" t="s">
        <v>26</v>
      </c>
      <c r="AB5" s="51">
        <v>220</v>
      </c>
      <c r="AC5" s="8" t="s">
        <v>0</v>
      </c>
      <c r="AP5" s="12" t="s">
        <v>66</v>
      </c>
    </row>
    <row r="6" spans="2:42" ht="18" customHeight="1" thickBot="1" x14ac:dyDescent="0.3">
      <c r="B6" s="6" t="s">
        <v>10</v>
      </c>
      <c r="C6" s="52">
        <f>452.51*0.9</f>
        <v>407.25900000000001</v>
      </c>
      <c r="D6" s="8" t="s">
        <v>9</v>
      </c>
      <c r="E6" s="6" t="s">
        <v>11</v>
      </c>
      <c r="F6" s="51">
        <f>C17</f>
        <v>11514.976942574929</v>
      </c>
      <c r="G6" s="21" t="s">
        <v>0</v>
      </c>
      <c r="H6" s="8"/>
      <c r="J6" s="184" t="s">
        <v>64</v>
      </c>
      <c r="K6" s="164"/>
      <c r="L6" s="52">
        <v>60</v>
      </c>
      <c r="M6" s="8" t="s">
        <v>3</v>
      </c>
      <c r="N6" s="21"/>
      <c r="P6" s="163" t="s">
        <v>44</v>
      </c>
      <c r="Q6" s="164"/>
      <c r="R6" s="19">
        <f>(C6*R5)/1000</f>
        <v>4534.8195746561232</v>
      </c>
      <c r="S6" s="8" t="s">
        <v>27</v>
      </c>
      <c r="T6" s="21"/>
      <c r="V6" s="95">
        <v>254</v>
      </c>
      <c r="W6" s="96">
        <v>13200</v>
      </c>
      <c r="X6" s="100">
        <f>W6/V6</f>
        <v>51.968503937007874</v>
      </c>
      <c r="AA6" s="9" t="s">
        <v>23</v>
      </c>
      <c r="AB6" s="19"/>
      <c r="AC6" s="8"/>
      <c r="AI6" s="12">
        <v>50.77</v>
      </c>
      <c r="AJ6" s="12">
        <v>100.33</v>
      </c>
      <c r="AK6" s="12">
        <v>150.58000000000001</v>
      </c>
      <c r="AL6" s="12">
        <v>200.15</v>
      </c>
      <c r="AP6" s="12" t="s">
        <v>67</v>
      </c>
    </row>
    <row r="7" spans="2:42" ht="18" customHeight="1" thickBot="1" x14ac:dyDescent="0.3">
      <c r="B7" s="6" t="s">
        <v>151</v>
      </c>
      <c r="C7" s="51">
        <v>75</v>
      </c>
      <c r="D7" s="8" t="s">
        <v>1</v>
      </c>
      <c r="E7" s="6"/>
      <c r="F7" s="51"/>
      <c r="G7" s="21"/>
      <c r="H7" s="8"/>
      <c r="J7" s="13"/>
      <c r="M7" s="14"/>
      <c r="P7" s="163" t="s">
        <v>46</v>
      </c>
      <c r="Q7" s="164"/>
      <c r="R7" s="19">
        <f>((R6*1000)/(2*PI()*L6*R5^2))*10^6</f>
        <v>97.017538073849863</v>
      </c>
      <c r="S7" s="8" t="s">
        <v>2</v>
      </c>
      <c r="T7" s="21"/>
      <c r="V7" s="97"/>
      <c r="W7" s="98"/>
      <c r="X7" s="99"/>
      <c r="AA7" s="9" t="s">
        <v>24</v>
      </c>
      <c r="AB7" s="74">
        <v>78</v>
      </c>
      <c r="AC7" s="8"/>
      <c r="AI7" s="12">
        <v>0.94599999999999995</v>
      </c>
      <c r="AJ7" s="12">
        <v>1.8520000000000001</v>
      </c>
      <c r="AK7" s="12">
        <v>2.2759999999999998</v>
      </c>
      <c r="AL7" s="12">
        <v>3.7229999999999999</v>
      </c>
    </row>
    <row r="8" spans="2:42" ht="18" customHeight="1" thickBot="1" x14ac:dyDescent="0.3">
      <c r="B8" s="6" t="s">
        <v>12</v>
      </c>
      <c r="C8" s="52">
        <v>96.98</v>
      </c>
      <c r="D8" s="8" t="s">
        <v>13</v>
      </c>
      <c r="E8" s="9" t="s">
        <v>22</v>
      </c>
      <c r="F8" s="51">
        <f>T43</f>
        <v>108.5089958250804</v>
      </c>
      <c r="G8" s="21" t="s">
        <v>2</v>
      </c>
      <c r="H8" s="8"/>
      <c r="J8" s="184" t="s">
        <v>65</v>
      </c>
      <c r="K8" s="164"/>
      <c r="L8" s="52" t="s">
        <v>67</v>
      </c>
      <c r="M8" s="50">
        <f>IF(L8="Sim",1,0)</f>
        <v>0</v>
      </c>
      <c r="N8" s="124"/>
      <c r="P8" s="163" t="s">
        <v>47</v>
      </c>
      <c r="Q8" s="164"/>
      <c r="R8" s="19">
        <f>-1*(R7^-1-C22^-1)^-1</f>
        <v>2842.8632880992168</v>
      </c>
      <c r="S8" s="8" t="s">
        <v>25</v>
      </c>
      <c r="T8" s="21"/>
      <c r="V8" s="175" t="s">
        <v>102</v>
      </c>
      <c r="W8" s="176"/>
      <c r="X8" s="177" t="s">
        <v>36</v>
      </c>
      <c r="AA8" s="9" t="s">
        <v>29</v>
      </c>
      <c r="AB8" s="27">
        <f>AB7*AB4</f>
        <v>10686</v>
      </c>
      <c r="AC8" s="8" t="s">
        <v>25</v>
      </c>
      <c r="AI8" s="12">
        <v>8.16</v>
      </c>
      <c r="AJ8" s="12">
        <v>16.13</v>
      </c>
      <c r="AK8" s="12">
        <v>24.23</v>
      </c>
      <c r="AL8" s="12">
        <v>32.200000000000003</v>
      </c>
    </row>
    <row r="9" spans="2:42" ht="18" customHeight="1" thickBot="1" x14ac:dyDescent="0.3">
      <c r="B9" s="39"/>
      <c r="C9" s="40"/>
      <c r="D9" s="41"/>
      <c r="F9" s="19"/>
      <c r="G9" s="21"/>
      <c r="H9" s="8"/>
      <c r="J9" s="39"/>
      <c r="K9" s="40"/>
      <c r="L9" s="40"/>
      <c r="M9" s="41"/>
      <c r="P9" s="167" t="s">
        <v>52</v>
      </c>
      <c r="Q9" s="168"/>
      <c r="R9" s="30">
        <f>R4*C20/1000</f>
        <v>154.75842</v>
      </c>
      <c r="S9" s="42" t="s">
        <v>27</v>
      </c>
      <c r="T9" s="101"/>
      <c r="V9" s="93" t="s">
        <v>150</v>
      </c>
      <c r="W9" s="94" t="s">
        <v>110</v>
      </c>
      <c r="X9" s="178"/>
      <c r="AA9" s="29" t="s">
        <v>28</v>
      </c>
      <c r="AB9" s="30">
        <f>((F12/AB7)*AB5)/1000</f>
        <v>1.1486792307692308</v>
      </c>
      <c r="AC9" s="31" t="s">
        <v>27</v>
      </c>
    </row>
    <row r="10" spans="2:42" ht="18" customHeight="1" thickTop="1" thickBot="1" x14ac:dyDescent="0.3">
      <c r="B10" s="158" t="s">
        <v>43</v>
      </c>
      <c r="C10" s="165"/>
      <c r="D10" s="166"/>
      <c r="E10" s="6" t="s">
        <v>14</v>
      </c>
      <c r="F10" s="19">
        <f>F6/AK20</f>
        <v>2914.2878563688078</v>
      </c>
      <c r="G10" s="21" t="s">
        <v>9</v>
      </c>
      <c r="H10" s="8"/>
      <c r="J10" s="35"/>
      <c r="K10" s="19"/>
      <c r="L10" s="21"/>
      <c r="V10" s="95">
        <v>1500</v>
      </c>
      <c r="W10" s="96">
        <v>220</v>
      </c>
      <c r="X10" s="100">
        <f>V10/W10</f>
        <v>6.8181818181818183</v>
      </c>
    </row>
    <row r="11" spans="2:42" ht="18" customHeight="1" thickTop="1" thickBot="1" x14ac:dyDescent="0.3">
      <c r="B11" s="24"/>
      <c r="C11" s="25"/>
      <c r="D11" s="26"/>
      <c r="E11" s="6"/>
      <c r="F11" s="19"/>
      <c r="G11" s="21"/>
      <c r="H11" s="8"/>
      <c r="V11" s="97"/>
      <c r="W11" s="98"/>
      <c r="X11" s="99"/>
    </row>
    <row r="12" spans="2:42" ht="18" customHeight="1" thickTop="1" thickBot="1" x14ac:dyDescent="0.3">
      <c r="B12" s="6" t="s">
        <v>152</v>
      </c>
      <c r="C12" s="51">
        <v>0</v>
      </c>
      <c r="D12" s="8" t="s">
        <v>1</v>
      </c>
      <c r="E12" s="6" t="s">
        <v>15</v>
      </c>
      <c r="F12" s="19">
        <f>F6/AK15</f>
        <v>407.25900000000001</v>
      </c>
      <c r="G12" s="21" t="s">
        <v>9</v>
      </c>
      <c r="H12" s="22">
        <f>(F12/C20)-1</f>
        <v>0</v>
      </c>
      <c r="J12" s="47" t="s">
        <v>53</v>
      </c>
      <c r="K12" s="48" t="s">
        <v>54</v>
      </c>
      <c r="L12" s="48" t="s">
        <v>55</v>
      </c>
      <c r="M12" s="48" t="s">
        <v>61</v>
      </c>
      <c r="N12" s="49" t="s">
        <v>147</v>
      </c>
      <c r="P12" s="47" t="s">
        <v>56</v>
      </c>
      <c r="Q12" s="48" t="s">
        <v>57</v>
      </c>
      <c r="R12" s="48" t="s">
        <v>58</v>
      </c>
      <c r="S12" s="48" t="s">
        <v>113</v>
      </c>
      <c r="T12" s="49" t="s">
        <v>2</v>
      </c>
      <c r="V12" s="169" t="s">
        <v>111</v>
      </c>
      <c r="W12" s="170"/>
      <c r="X12" s="171"/>
      <c r="AA12" s="158" t="s">
        <v>42</v>
      </c>
      <c r="AB12" s="165"/>
      <c r="AC12" s="166"/>
    </row>
    <row r="13" spans="2:42" ht="18" customHeight="1" thickTop="1" thickBot="1" x14ac:dyDescent="0.3">
      <c r="B13" s="6" t="s">
        <v>12</v>
      </c>
      <c r="C13" s="52">
        <v>0</v>
      </c>
      <c r="D13" s="8" t="s">
        <v>13</v>
      </c>
      <c r="E13" s="6"/>
      <c r="F13" s="7"/>
      <c r="G13" s="21"/>
      <c r="H13" s="14"/>
      <c r="J13" s="86">
        <v>6</v>
      </c>
      <c r="K13" s="82">
        <v>220</v>
      </c>
      <c r="L13" s="83">
        <f>2.5*6</f>
        <v>15</v>
      </c>
      <c r="M13" s="128">
        <v>60</v>
      </c>
      <c r="N13" s="84" t="s">
        <v>148</v>
      </c>
      <c r="P13" s="87">
        <v>0</v>
      </c>
      <c r="Q13" s="88">
        <v>6</v>
      </c>
      <c r="R13" s="85">
        <f>($L$5/(K13*Q13))^2*($L$6* (L13*Q13)/M13)*P13</f>
        <v>0</v>
      </c>
      <c r="S13" s="103">
        <f>(R13*1000)/$C$17</f>
        <v>0</v>
      </c>
      <c r="T13" s="102">
        <f>((P13*L13*1000)/(2*PI()*$L$6*Q13*(K13^2)))*10^6</f>
        <v>0</v>
      </c>
      <c r="V13" s="28" t="s">
        <v>104</v>
      </c>
      <c r="W13" s="73">
        <f>C17</f>
        <v>11514.976942574929</v>
      </c>
      <c r="X13" s="3" t="s">
        <v>0</v>
      </c>
      <c r="AA13" s="28" t="s">
        <v>26</v>
      </c>
      <c r="AB13" s="72">
        <v>535</v>
      </c>
      <c r="AC13" s="3" t="s">
        <v>0</v>
      </c>
    </row>
    <row r="14" spans="2:42" ht="18" customHeight="1" thickTop="1" thickBot="1" x14ac:dyDescent="0.3">
      <c r="B14" s="43"/>
      <c r="C14" s="44"/>
      <c r="D14" s="31"/>
      <c r="E14" s="181" t="s">
        <v>34</v>
      </c>
      <c r="F14" s="182"/>
      <c r="G14" s="182"/>
      <c r="H14" s="183"/>
      <c r="J14" s="86">
        <v>6</v>
      </c>
      <c r="K14" s="82">
        <v>220</v>
      </c>
      <c r="L14" s="83">
        <v>30</v>
      </c>
      <c r="M14" s="128">
        <v>60</v>
      </c>
      <c r="N14" s="84" t="s">
        <v>148</v>
      </c>
      <c r="P14" s="87">
        <v>0</v>
      </c>
      <c r="Q14" s="92">
        <v>6</v>
      </c>
      <c r="R14" s="85">
        <f t="shared" ref="R14:R15" si="0">($L$5/(K14*Q14))^2*($L$6* (L14*Q14)/M14)*P14</f>
        <v>0</v>
      </c>
      <c r="S14" s="103">
        <f t="shared" ref="S14:S15" si="1">(R14*1000)/$C$17</f>
        <v>0</v>
      </c>
      <c r="T14" s="102">
        <f t="shared" ref="T14:T26" si="2">((P14*L14*1000)/(2*PI()*$L$6*Q14*(K14^2)))*10^6</f>
        <v>0</v>
      </c>
      <c r="V14" s="9" t="s">
        <v>105</v>
      </c>
      <c r="W14" s="51">
        <f>C19</f>
        <v>1.3968844671779728</v>
      </c>
      <c r="X14" s="8" t="s">
        <v>9</v>
      </c>
      <c r="AA14" s="9" t="s">
        <v>28</v>
      </c>
      <c r="AB14" s="51">
        <v>20</v>
      </c>
      <c r="AC14" s="8" t="s">
        <v>27</v>
      </c>
    </row>
    <row r="15" spans="2:42" ht="18" customHeight="1" thickTop="1" thickBot="1" x14ac:dyDescent="0.3">
      <c r="B15" s="158" t="s">
        <v>63</v>
      </c>
      <c r="C15" s="165"/>
      <c r="D15" s="166"/>
      <c r="E15" s="179" t="str">
        <f>IF(C17&gt;235," Ensaio com Transformador"," Ensaio sem Transformador")</f>
        <v xml:space="preserve"> Ensaio com Transformador</v>
      </c>
      <c r="F15" s="168"/>
      <c r="G15" s="168"/>
      <c r="H15" s="180"/>
      <c r="J15" s="86">
        <v>2</v>
      </c>
      <c r="K15" s="82">
        <v>220</v>
      </c>
      <c r="L15" s="83">
        <v>25</v>
      </c>
      <c r="M15" s="128">
        <v>60</v>
      </c>
      <c r="N15" s="84" t="s">
        <v>148</v>
      </c>
      <c r="P15" s="87">
        <v>0</v>
      </c>
      <c r="Q15" s="92">
        <v>1</v>
      </c>
      <c r="R15" s="85">
        <f t="shared" si="0"/>
        <v>0</v>
      </c>
      <c r="S15" s="103">
        <f t="shared" si="1"/>
        <v>0</v>
      </c>
      <c r="T15" s="102">
        <f t="shared" si="2"/>
        <v>0</v>
      </c>
      <c r="V15" s="13"/>
      <c r="W15" s="23"/>
      <c r="X15" s="14"/>
      <c r="AA15" s="6" t="s">
        <v>8</v>
      </c>
      <c r="AB15" s="52">
        <v>60</v>
      </c>
      <c r="AC15" s="8" t="s">
        <v>3</v>
      </c>
      <c r="AJ15" s="12" t="s">
        <v>4</v>
      </c>
      <c r="AK15" s="12">
        <f>2*PI()*L6*((C7+C12)*10^-3)</f>
        <v>28.274333882308134</v>
      </c>
      <c r="AM15" s="12" t="str">
        <f>COMPLEX((C8+C13)/1000,AK15,)</f>
        <v>0,09698+28,2743338823081i</v>
      </c>
      <c r="AO15" s="23"/>
    </row>
    <row r="16" spans="2:42" ht="18" customHeight="1" thickTop="1" x14ac:dyDescent="0.25">
      <c r="B16" s="24"/>
      <c r="C16" s="25"/>
      <c r="D16" s="26"/>
      <c r="E16" s="24"/>
      <c r="F16" s="25"/>
      <c r="G16" s="25"/>
      <c r="H16" s="34">
        <f>IF(C17&gt;235,0,1)</f>
        <v>0</v>
      </c>
      <c r="J16" s="131">
        <v>2</v>
      </c>
      <c r="K16" s="132">
        <v>535</v>
      </c>
      <c r="L16" s="133">
        <v>20.04</v>
      </c>
      <c r="M16" s="134">
        <v>60</v>
      </c>
      <c r="N16" s="135" t="s">
        <v>148</v>
      </c>
      <c r="P16" s="136">
        <v>0</v>
      </c>
      <c r="Q16" s="137">
        <v>1</v>
      </c>
      <c r="R16" s="85">
        <f t="shared" ref="R16:R22" si="3">($L$5/(K16*Q16))^2*($L$6* (L16*Q16)/M16)*P16</f>
        <v>0</v>
      </c>
      <c r="S16" s="103">
        <f t="shared" ref="S16:S22" si="4">(R16*1000)/$C$17</f>
        <v>0</v>
      </c>
      <c r="T16" s="102">
        <f t="shared" si="2"/>
        <v>0</v>
      </c>
      <c r="V16" s="9" t="s">
        <v>106</v>
      </c>
      <c r="W16" s="19">
        <f>W13/X6</f>
        <v>221.57607147076001</v>
      </c>
      <c r="X16" s="8" t="s">
        <v>0</v>
      </c>
      <c r="AA16" s="9" t="s">
        <v>51</v>
      </c>
      <c r="AB16" s="38">
        <f>(AB14*1000)/AB13</f>
        <v>37.383177570093459</v>
      </c>
      <c r="AC16" s="8" t="s">
        <v>9</v>
      </c>
      <c r="AJ16" s="12" t="s">
        <v>5</v>
      </c>
      <c r="AK16" s="12">
        <f>1/(2*PI()*L6*(F8*10^-6))</f>
        <v>24.44573709944714</v>
      </c>
      <c r="AM16" s="12" t="str">
        <f>COMPLEX(0,-AK16,)</f>
        <v>-24,4457370994471i</v>
      </c>
      <c r="AO16" s="23"/>
    </row>
    <row r="17" spans="2:41" ht="18" customHeight="1" thickBot="1" x14ac:dyDescent="0.3">
      <c r="B17" s="6" t="s">
        <v>11</v>
      </c>
      <c r="C17" s="19">
        <f>AK15*C6</f>
        <v>11514.976942574929</v>
      </c>
      <c r="D17" s="8" t="s">
        <v>0</v>
      </c>
      <c r="E17" s="6" t="s">
        <v>37</v>
      </c>
      <c r="F17" s="75">
        <v>254</v>
      </c>
      <c r="G17" s="21" t="s">
        <v>0</v>
      </c>
      <c r="H17" s="8"/>
      <c r="J17" s="131">
        <v>2</v>
      </c>
      <c r="K17" s="132">
        <v>535</v>
      </c>
      <c r="L17" s="133">
        <f>2.5*16</f>
        <v>40</v>
      </c>
      <c r="M17" s="134">
        <v>60</v>
      </c>
      <c r="N17" s="135" t="s">
        <v>148</v>
      </c>
      <c r="P17" s="136">
        <v>0</v>
      </c>
      <c r="Q17" s="137">
        <v>1</v>
      </c>
      <c r="R17" s="85">
        <f t="shared" si="3"/>
        <v>0</v>
      </c>
      <c r="S17" s="103">
        <f t="shared" si="4"/>
        <v>0</v>
      </c>
      <c r="T17" s="102">
        <f t="shared" si="2"/>
        <v>0</v>
      </c>
      <c r="V17" s="9" t="s">
        <v>107</v>
      </c>
      <c r="W17" s="19">
        <f>W14*X6</f>
        <v>72.593995932083629</v>
      </c>
      <c r="X17" s="8" t="s">
        <v>9</v>
      </c>
      <c r="AA17" s="29" t="s">
        <v>149</v>
      </c>
      <c r="AB17" s="30">
        <f>((AB14*1000)/(2*PI()*AB15*AB13^2))*10^6</f>
        <v>185.34945479010725</v>
      </c>
      <c r="AC17" s="37" t="s">
        <v>25</v>
      </c>
      <c r="AO17" s="23"/>
    </row>
    <row r="18" spans="2:41" ht="18" customHeight="1" thickTop="1" x14ac:dyDescent="0.25">
      <c r="B18" s="6"/>
      <c r="C18" s="19"/>
      <c r="D18" s="11"/>
      <c r="E18" s="6" t="s">
        <v>38</v>
      </c>
      <c r="F18" s="75">
        <v>13200</v>
      </c>
      <c r="G18" s="21" t="s">
        <v>0</v>
      </c>
      <c r="H18" s="8"/>
      <c r="J18" s="145">
        <v>4</v>
      </c>
      <c r="K18" s="146">
        <v>535</v>
      </c>
      <c r="L18" s="147">
        <v>5</v>
      </c>
      <c r="M18" s="148">
        <v>60</v>
      </c>
      <c r="N18" s="149" t="s">
        <v>153</v>
      </c>
      <c r="P18" s="150">
        <v>0</v>
      </c>
      <c r="Q18" s="151">
        <v>1</v>
      </c>
      <c r="R18" s="85">
        <f t="shared" si="3"/>
        <v>0</v>
      </c>
      <c r="S18" s="103">
        <f>(R18*1000)/$C$17</f>
        <v>0</v>
      </c>
      <c r="T18" s="102">
        <f t="shared" si="2"/>
        <v>0</v>
      </c>
      <c r="V18" s="9" t="s">
        <v>108</v>
      </c>
      <c r="W18" s="19">
        <f>W16*X10</f>
        <v>1510.745941846091</v>
      </c>
      <c r="X18" s="8" t="s">
        <v>0</v>
      </c>
      <c r="AJ18" s="12" t="s">
        <v>6</v>
      </c>
      <c r="AK18" s="12" t="str">
        <f>IMDIV(IMPRODUCT(AM15,AM16),IMSUM(AM15,AM16))</f>
        <v>3,95121467407909-180,432618823229i</v>
      </c>
      <c r="AO18" s="23"/>
    </row>
    <row r="19" spans="2:41" ht="18" customHeight="1" thickBot="1" x14ac:dyDescent="0.3">
      <c r="B19" s="6" t="s">
        <v>14</v>
      </c>
      <c r="C19" s="19">
        <f>C17/AK44</f>
        <v>1.3968844671779728</v>
      </c>
      <c r="D19" s="8" t="s">
        <v>9</v>
      </c>
      <c r="E19" s="6" t="s">
        <v>36</v>
      </c>
      <c r="F19" s="19">
        <f>F18/F17</f>
        <v>51.968503937007874</v>
      </c>
      <c r="G19" s="21"/>
      <c r="H19" s="10"/>
      <c r="J19" s="145">
        <v>3</v>
      </c>
      <c r="K19" s="146">
        <v>440</v>
      </c>
      <c r="L19" s="147">
        <v>3.3</v>
      </c>
      <c r="M19" s="148">
        <v>60</v>
      </c>
      <c r="N19" s="149" t="s">
        <v>153</v>
      </c>
      <c r="P19" s="150">
        <v>0</v>
      </c>
      <c r="Q19" s="151">
        <v>1</v>
      </c>
      <c r="R19" s="85">
        <f t="shared" si="3"/>
        <v>0</v>
      </c>
      <c r="S19" s="103">
        <f t="shared" si="4"/>
        <v>0</v>
      </c>
      <c r="T19" s="102">
        <f t="shared" si="2"/>
        <v>0</v>
      </c>
      <c r="V19" s="29" t="s">
        <v>109</v>
      </c>
      <c r="W19" s="30">
        <f>W17/X10</f>
        <v>10.647119403372265</v>
      </c>
      <c r="X19" s="31" t="s">
        <v>9</v>
      </c>
    </row>
    <row r="20" spans="2:41" ht="18" customHeight="1" thickTop="1" x14ac:dyDescent="0.25">
      <c r="B20" s="6" t="s">
        <v>15</v>
      </c>
      <c r="C20" s="19">
        <f>C17/AK15</f>
        <v>407.25900000000001</v>
      </c>
      <c r="D20" s="8" t="s">
        <v>9</v>
      </c>
      <c r="E20" s="13"/>
      <c r="H20" s="8"/>
      <c r="J20" s="145">
        <v>2</v>
      </c>
      <c r="K20" s="146">
        <v>535</v>
      </c>
      <c r="L20" s="147">
        <v>1.67</v>
      </c>
      <c r="M20" s="148">
        <v>60</v>
      </c>
      <c r="N20" s="149" t="s">
        <v>153</v>
      </c>
      <c r="P20" s="150">
        <v>0</v>
      </c>
      <c r="Q20" s="151">
        <v>1</v>
      </c>
      <c r="R20" s="85">
        <f t="shared" si="3"/>
        <v>0</v>
      </c>
      <c r="S20" s="103">
        <f t="shared" si="4"/>
        <v>0</v>
      </c>
      <c r="T20" s="102">
        <f t="shared" si="2"/>
        <v>0</v>
      </c>
      <c r="AJ20" s="12" t="s">
        <v>6</v>
      </c>
      <c r="AK20" s="12">
        <f>IMREAL(AK18)</f>
        <v>3.9512146740790901</v>
      </c>
    </row>
    <row r="21" spans="2:41" ht="18" customHeight="1" thickBot="1" x14ac:dyDescent="0.3">
      <c r="B21" s="6"/>
      <c r="C21" s="7"/>
      <c r="D21" s="11"/>
      <c r="E21" s="6" t="s">
        <v>39</v>
      </c>
      <c r="F21" s="19">
        <f>C17/F19</f>
        <v>221.57607147076001</v>
      </c>
      <c r="G21" s="21" t="s">
        <v>0</v>
      </c>
      <c r="H21" s="8"/>
      <c r="J21" s="131">
        <v>2</v>
      </c>
      <c r="K21" s="132">
        <v>535</v>
      </c>
      <c r="L21" s="133">
        <f>21*3.33</f>
        <v>69.930000000000007</v>
      </c>
      <c r="M21" s="134">
        <v>60</v>
      </c>
      <c r="N21" s="135" t="s">
        <v>148</v>
      </c>
      <c r="P21" s="136">
        <v>0</v>
      </c>
      <c r="Q21" s="137">
        <v>1</v>
      </c>
      <c r="R21" s="85">
        <f t="shared" si="3"/>
        <v>0</v>
      </c>
      <c r="S21" s="103">
        <f t="shared" si="4"/>
        <v>0</v>
      </c>
      <c r="T21" s="102">
        <f t="shared" ref="T21:T22" si="5">((P21*L21*1000)/(2*PI()*$L$6*Q21*(K21^2)))*10^6</f>
        <v>0</v>
      </c>
    </row>
    <row r="22" spans="2:41" ht="18" customHeight="1" thickTop="1" x14ac:dyDescent="0.25">
      <c r="B22" s="9" t="s">
        <v>19</v>
      </c>
      <c r="C22" s="19">
        <f>(1/(2*PI()*L6*AK15))*10^6</f>
        <v>93.815910779942399</v>
      </c>
      <c r="D22" s="8" t="s">
        <v>2</v>
      </c>
      <c r="E22" s="6" t="s">
        <v>40</v>
      </c>
      <c r="F22" s="19">
        <f>C19*F19</f>
        <v>72.593995932083629</v>
      </c>
      <c r="G22" s="21" t="s">
        <v>9</v>
      </c>
      <c r="H22" s="11"/>
      <c r="J22" s="138">
        <v>4</v>
      </c>
      <c r="K22" s="139">
        <v>380</v>
      </c>
      <c r="L22" s="140">
        <f>1.67*21</f>
        <v>35.07</v>
      </c>
      <c r="M22" s="141">
        <v>60</v>
      </c>
      <c r="N22" s="142" t="s">
        <v>148</v>
      </c>
      <c r="P22" s="143">
        <v>0</v>
      </c>
      <c r="Q22" s="144">
        <v>4</v>
      </c>
      <c r="R22" s="85">
        <f t="shared" si="3"/>
        <v>0</v>
      </c>
      <c r="S22" s="103">
        <f t="shared" si="4"/>
        <v>0</v>
      </c>
      <c r="T22" s="102">
        <f t="shared" si="5"/>
        <v>0</v>
      </c>
      <c r="V22" s="47" t="s">
        <v>53</v>
      </c>
      <c r="W22" s="48" t="s">
        <v>54</v>
      </c>
      <c r="X22" s="48" t="s">
        <v>55</v>
      </c>
      <c r="Y22" s="49" t="s">
        <v>61</v>
      </c>
      <c r="AA22" s="47" t="s">
        <v>59</v>
      </c>
      <c r="AB22" s="48" t="s">
        <v>57</v>
      </c>
      <c r="AC22" s="49" t="s">
        <v>60</v>
      </c>
    </row>
    <row r="23" spans="2:41" ht="18" customHeight="1" x14ac:dyDescent="0.25">
      <c r="B23" s="9"/>
      <c r="C23" s="19"/>
      <c r="D23" s="11"/>
      <c r="E23" s="13"/>
      <c r="H23" s="15"/>
      <c r="J23" s="86">
        <v>1</v>
      </c>
      <c r="K23" s="82">
        <v>11060</v>
      </c>
      <c r="L23" s="83">
        <v>701.38</v>
      </c>
      <c r="M23" s="128">
        <v>60</v>
      </c>
      <c r="N23" s="84" t="s">
        <v>123</v>
      </c>
      <c r="P23" s="87">
        <v>0</v>
      </c>
      <c r="Q23" s="92">
        <v>1</v>
      </c>
      <c r="R23" s="85">
        <f t="shared" ref="R23:R26" si="6">($L$5/(K23*Q23))^2*($L$6* (L23*Q23)/M23)*P23</f>
        <v>0</v>
      </c>
      <c r="S23" s="103">
        <f t="shared" ref="S23:S26" si="7">(R23*1000)/$C$17</f>
        <v>0</v>
      </c>
      <c r="T23" s="102">
        <f t="shared" si="2"/>
        <v>0</v>
      </c>
      <c r="V23" s="62">
        <f>J13-(P13*Q13)</f>
        <v>6</v>
      </c>
      <c r="W23" s="63">
        <v>220</v>
      </c>
      <c r="X23" s="64">
        <f>2.5*6</f>
        <v>15</v>
      </c>
      <c r="Y23" s="65">
        <v>60</v>
      </c>
      <c r="AA23" s="58"/>
      <c r="AB23" s="59"/>
      <c r="AC23" s="45" t="e">
        <f>(R5/W23/AB23)^2*($L$6*X23/Y23)*AA23</f>
        <v>#DIV/0!</v>
      </c>
    </row>
    <row r="24" spans="2:41" ht="18" customHeight="1" x14ac:dyDescent="0.25">
      <c r="B24" s="9" t="s">
        <v>33</v>
      </c>
      <c r="C24" s="19">
        <f>C20*C17/1000</f>
        <v>4689.5779946561233</v>
      </c>
      <c r="D24" s="8" t="s">
        <v>27</v>
      </c>
      <c r="E24" s="33" t="s">
        <v>33</v>
      </c>
      <c r="F24" s="19">
        <f>F21*F22/1000</f>
        <v>16.085092430995424</v>
      </c>
      <c r="G24" s="21" t="s">
        <v>35</v>
      </c>
      <c r="H24" s="11"/>
      <c r="J24" s="86">
        <v>1</v>
      </c>
      <c r="K24" s="82">
        <v>9960</v>
      </c>
      <c r="L24" s="83">
        <v>625</v>
      </c>
      <c r="M24" s="128">
        <v>60</v>
      </c>
      <c r="N24" s="84" t="s">
        <v>125</v>
      </c>
      <c r="P24" s="87">
        <v>0</v>
      </c>
      <c r="Q24" s="92">
        <v>1</v>
      </c>
      <c r="R24" s="85">
        <f t="shared" si="6"/>
        <v>0</v>
      </c>
      <c r="S24" s="103">
        <f t="shared" si="7"/>
        <v>0</v>
      </c>
      <c r="T24" s="102">
        <f t="shared" si="2"/>
        <v>0</v>
      </c>
      <c r="V24" s="62">
        <f>J14-(P14*Q14)</f>
        <v>6</v>
      </c>
      <c r="W24" s="63">
        <f t="shared" ref="W24:Y25" si="8">K14</f>
        <v>220</v>
      </c>
      <c r="X24" s="66">
        <f t="shared" si="8"/>
        <v>30</v>
      </c>
      <c r="Y24" s="65">
        <f t="shared" si="8"/>
        <v>60</v>
      </c>
      <c r="AA24" s="68">
        <v>0</v>
      </c>
      <c r="AB24" s="69">
        <v>1</v>
      </c>
      <c r="AC24" s="45">
        <f>(R6/W24/AB24)^2*($L$6*X24/Y24)*AA24</f>
        <v>0</v>
      </c>
    </row>
    <row r="25" spans="2:41" ht="18" customHeight="1" thickBot="1" x14ac:dyDescent="0.3">
      <c r="B25" s="16"/>
      <c r="C25" s="17"/>
      <c r="D25" s="18"/>
      <c r="E25" s="16"/>
      <c r="F25" s="17"/>
      <c r="G25" s="17"/>
      <c r="H25" s="18"/>
      <c r="J25" s="86">
        <v>3</v>
      </c>
      <c r="K25" s="82">
        <v>8730</v>
      </c>
      <c r="L25" s="83">
        <v>582</v>
      </c>
      <c r="M25" s="128">
        <v>60</v>
      </c>
      <c r="N25" s="84" t="s">
        <v>126</v>
      </c>
      <c r="P25" s="87">
        <v>1</v>
      </c>
      <c r="Q25" s="92">
        <v>2</v>
      </c>
      <c r="R25" s="85">
        <f t="shared" si="6"/>
        <v>506.2798548607571</v>
      </c>
      <c r="S25" s="103">
        <f t="shared" si="7"/>
        <v>43.967075000286101</v>
      </c>
      <c r="T25" s="102">
        <f t="shared" si="2"/>
        <v>10.128225982683936</v>
      </c>
      <c r="V25" s="62">
        <f>J15-(P15*Q15)</f>
        <v>2</v>
      </c>
      <c r="W25" s="63">
        <f t="shared" si="8"/>
        <v>220</v>
      </c>
      <c r="X25" s="66">
        <f t="shared" si="8"/>
        <v>25</v>
      </c>
      <c r="Y25" s="65">
        <f t="shared" si="8"/>
        <v>60</v>
      </c>
      <c r="AA25" s="68">
        <v>0</v>
      </c>
      <c r="AB25" s="69">
        <v>1</v>
      </c>
      <c r="AC25" s="45">
        <f>(R7/W25/AB25)^2*($L$6*X25/Y25)*AA25</f>
        <v>0</v>
      </c>
    </row>
    <row r="26" spans="2:41" ht="18" customHeight="1" thickTop="1" x14ac:dyDescent="0.25">
      <c r="B26" s="116"/>
      <c r="C26" s="116"/>
      <c r="D26" s="116"/>
      <c r="E26" s="116"/>
      <c r="F26" s="116"/>
      <c r="G26" s="116"/>
      <c r="H26" s="116"/>
      <c r="J26" s="86">
        <v>1</v>
      </c>
      <c r="K26" s="82">
        <v>6900</v>
      </c>
      <c r="L26" s="83">
        <v>200</v>
      </c>
      <c r="M26" s="128">
        <v>60</v>
      </c>
      <c r="N26" s="84" t="s">
        <v>128</v>
      </c>
      <c r="P26" s="87">
        <v>0</v>
      </c>
      <c r="Q26" s="92">
        <v>1</v>
      </c>
      <c r="R26" s="85">
        <f t="shared" si="6"/>
        <v>0</v>
      </c>
      <c r="S26" s="103">
        <f t="shared" si="7"/>
        <v>0</v>
      </c>
      <c r="T26" s="102">
        <f t="shared" si="2"/>
        <v>0</v>
      </c>
      <c r="V26" s="117"/>
      <c r="W26" s="118"/>
      <c r="X26" s="119"/>
      <c r="Y26" s="120"/>
      <c r="AA26" s="121"/>
      <c r="AB26" s="122"/>
      <c r="AC26" s="123"/>
    </row>
    <row r="27" spans="2:41" ht="18" customHeight="1" x14ac:dyDescent="0.25">
      <c r="B27" s="116"/>
      <c r="C27" s="116"/>
      <c r="D27" s="116"/>
      <c r="E27" s="116"/>
      <c r="F27" s="116"/>
      <c r="G27" s="116"/>
      <c r="H27" s="116"/>
      <c r="J27" s="86">
        <v>1</v>
      </c>
      <c r="K27" s="82">
        <v>13800</v>
      </c>
      <c r="L27" s="83">
        <v>100</v>
      </c>
      <c r="M27" s="128">
        <v>60</v>
      </c>
      <c r="N27" s="84" t="s">
        <v>130</v>
      </c>
      <c r="P27" s="87">
        <v>1</v>
      </c>
      <c r="Q27" s="92">
        <v>1</v>
      </c>
      <c r="R27" s="85">
        <f t="shared" ref="R27:R42" si="9">($L$5/(K27*Q27))^2*($L$6* (L27*Q27)/M27)*P27</f>
        <v>69.625443177920729</v>
      </c>
      <c r="S27" s="103">
        <f t="shared" ref="S27:S42" si="10">(R27*1000)/$C$17</f>
        <v>6.0465117320809316</v>
      </c>
      <c r="T27" s="102">
        <f t="shared" ref="T27:T42" si="11">((P27*L27*1000)/(2*PI()*$L$6*Q27*(K27^2)))*10^6</f>
        <v>1.392870397429596</v>
      </c>
      <c r="V27" s="117"/>
      <c r="W27" s="118"/>
      <c r="X27" s="119"/>
      <c r="Y27" s="120"/>
      <c r="AA27" s="121"/>
      <c r="AB27" s="122"/>
      <c r="AC27" s="123"/>
    </row>
    <row r="28" spans="2:41" ht="18" customHeight="1" x14ac:dyDescent="0.25">
      <c r="B28" s="116"/>
      <c r="C28" s="116"/>
      <c r="D28" s="116"/>
      <c r="E28" s="116"/>
      <c r="F28" s="116"/>
      <c r="G28" s="116"/>
      <c r="H28" s="116"/>
      <c r="J28" s="86">
        <v>1</v>
      </c>
      <c r="K28" s="82">
        <v>9960</v>
      </c>
      <c r="L28" s="83">
        <v>625</v>
      </c>
      <c r="M28" s="128">
        <v>60</v>
      </c>
      <c r="N28" s="84" t="s">
        <v>131</v>
      </c>
      <c r="P28" s="87">
        <v>0</v>
      </c>
      <c r="Q28" s="92">
        <v>1</v>
      </c>
      <c r="R28" s="85">
        <f t="shared" si="9"/>
        <v>0</v>
      </c>
      <c r="S28" s="103">
        <f t="shared" si="10"/>
        <v>0</v>
      </c>
      <c r="T28" s="102">
        <f t="shared" si="11"/>
        <v>0</v>
      </c>
      <c r="V28" s="117"/>
      <c r="W28" s="118"/>
      <c r="X28" s="119"/>
      <c r="Y28" s="120"/>
      <c r="AA28" s="121"/>
      <c r="AB28" s="122"/>
      <c r="AC28" s="123"/>
    </row>
    <row r="29" spans="2:41" ht="18" customHeight="1" x14ac:dyDescent="0.25">
      <c r="B29" s="116">
        <v>34000</v>
      </c>
      <c r="C29" s="116"/>
      <c r="D29" s="116"/>
      <c r="E29" s="116"/>
      <c r="F29" s="116"/>
      <c r="G29" s="116"/>
      <c r="H29" s="116"/>
      <c r="J29" s="86">
        <v>1</v>
      </c>
      <c r="K29" s="82">
        <v>7600</v>
      </c>
      <c r="L29" s="83">
        <v>200</v>
      </c>
      <c r="M29" s="128">
        <v>60</v>
      </c>
      <c r="N29" s="84" t="s">
        <v>133</v>
      </c>
      <c r="P29" s="87">
        <v>0</v>
      </c>
      <c r="Q29" s="92">
        <v>1</v>
      </c>
      <c r="R29" s="85">
        <f t="shared" si="9"/>
        <v>0</v>
      </c>
      <c r="S29" s="103">
        <f t="shared" si="10"/>
        <v>0</v>
      </c>
      <c r="T29" s="102">
        <f t="shared" si="11"/>
        <v>0</v>
      </c>
      <c r="V29" s="117"/>
      <c r="W29" s="118"/>
      <c r="X29" s="119"/>
      <c r="Y29" s="120"/>
      <c r="AA29" s="121"/>
      <c r="AB29" s="122"/>
      <c r="AC29" s="123"/>
    </row>
    <row r="30" spans="2:41" ht="18" customHeight="1" x14ac:dyDescent="0.25">
      <c r="B30" s="116">
        <f>B29/1500</f>
        <v>22.666666666666668</v>
      </c>
      <c r="C30" s="116"/>
      <c r="D30" s="116"/>
      <c r="E30" s="116"/>
      <c r="F30" s="116"/>
      <c r="G30" s="116">
        <f>K14*6</f>
        <v>1320</v>
      </c>
      <c r="H30" s="116"/>
      <c r="J30" s="86">
        <v>1</v>
      </c>
      <c r="K30" s="82">
        <v>13800</v>
      </c>
      <c r="L30" s="83">
        <v>90</v>
      </c>
      <c r="M30" s="128">
        <v>60</v>
      </c>
      <c r="N30" s="84" t="s">
        <v>135</v>
      </c>
      <c r="P30" s="87">
        <v>1</v>
      </c>
      <c r="Q30" s="92">
        <v>1</v>
      </c>
      <c r="R30" s="85">
        <f t="shared" si="9"/>
        <v>62.662898860128657</v>
      </c>
      <c r="S30" s="103">
        <f t="shared" si="10"/>
        <v>5.4418605588728388</v>
      </c>
      <c r="T30" s="102">
        <f t="shared" si="11"/>
        <v>1.2535833576866364</v>
      </c>
      <c r="V30" s="117"/>
      <c r="W30" s="118"/>
      <c r="X30" s="119"/>
      <c r="Y30" s="120"/>
      <c r="AA30" s="121"/>
      <c r="AB30" s="122"/>
      <c r="AC30" s="123"/>
    </row>
    <row r="31" spans="2:41" ht="18" customHeight="1" x14ac:dyDescent="0.25">
      <c r="B31" s="116"/>
      <c r="C31" s="116"/>
      <c r="D31" s="116"/>
      <c r="E31" s="116"/>
      <c r="F31" s="116"/>
      <c r="G31" s="116"/>
      <c r="H31" s="116"/>
      <c r="J31" s="86">
        <v>2</v>
      </c>
      <c r="K31" s="82">
        <v>6900</v>
      </c>
      <c r="L31" s="83">
        <v>200</v>
      </c>
      <c r="M31" s="128">
        <v>60</v>
      </c>
      <c r="N31" s="84" t="s">
        <v>137</v>
      </c>
      <c r="P31" s="87">
        <v>1</v>
      </c>
      <c r="Q31" s="92">
        <v>2</v>
      </c>
      <c r="R31" s="85">
        <f t="shared" si="9"/>
        <v>278.50177271168292</v>
      </c>
      <c r="S31" s="103">
        <f t="shared" si="10"/>
        <v>24.186046928323726</v>
      </c>
      <c r="T31" s="102">
        <f t="shared" si="11"/>
        <v>5.5714815897183838</v>
      </c>
      <c r="V31" s="117"/>
      <c r="W31" s="118"/>
      <c r="X31" s="119"/>
      <c r="Y31" s="120"/>
      <c r="AA31" s="121"/>
      <c r="AB31" s="122"/>
      <c r="AC31" s="123"/>
    </row>
    <row r="32" spans="2:41" ht="18" customHeight="1" x14ac:dyDescent="0.25">
      <c r="B32" s="116"/>
      <c r="C32" s="116"/>
      <c r="D32" s="116"/>
      <c r="E32" s="116"/>
      <c r="F32" s="116"/>
      <c r="G32" s="116"/>
      <c r="H32" s="116"/>
      <c r="J32" s="86">
        <v>1</v>
      </c>
      <c r="K32" s="82">
        <v>19940</v>
      </c>
      <c r="L32" s="83">
        <v>100</v>
      </c>
      <c r="M32" s="128">
        <v>60</v>
      </c>
      <c r="N32" s="84" t="s">
        <v>139</v>
      </c>
      <c r="P32" s="87">
        <v>1</v>
      </c>
      <c r="Q32" s="92">
        <v>1</v>
      </c>
      <c r="R32" s="85">
        <f t="shared" si="9"/>
        <v>33.348464145704988</v>
      </c>
      <c r="S32" s="103">
        <f t="shared" si="10"/>
        <v>2.896094739226438</v>
      </c>
      <c r="T32" s="102">
        <f t="shared" si="11"/>
        <v>0.66714244661389455</v>
      </c>
      <c r="V32" s="117"/>
      <c r="W32" s="118"/>
      <c r="X32" s="119"/>
      <c r="Y32" s="120"/>
      <c r="AA32" s="121"/>
      <c r="AB32" s="122"/>
      <c r="AC32" s="123"/>
    </row>
    <row r="33" spans="2:39" ht="18" customHeight="1" x14ac:dyDescent="0.25">
      <c r="B33" s="116"/>
      <c r="C33" s="116"/>
      <c r="D33" s="116"/>
      <c r="E33" s="116"/>
      <c r="F33" s="116"/>
      <c r="G33" s="116"/>
      <c r="H33" s="116"/>
      <c r="J33" s="86">
        <v>1</v>
      </c>
      <c r="K33" s="82">
        <v>7620</v>
      </c>
      <c r="L33" s="83">
        <v>200</v>
      </c>
      <c r="M33" s="128">
        <v>60</v>
      </c>
      <c r="N33" s="84" t="s">
        <v>140</v>
      </c>
      <c r="P33" s="87">
        <v>0</v>
      </c>
      <c r="Q33" s="92">
        <v>1</v>
      </c>
      <c r="R33" s="85">
        <f t="shared" si="9"/>
        <v>0</v>
      </c>
      <c r="S33" s="103">
        <f t="shared" si="10"/>
        <v>0</v>
      </c>
      <c r="T33" s="102">
        <f t="shared" si="11"/>
        <v>0</v>
      </c>
      <c r="V33" s="117"/>
      <c r="W33" s="118"/>
      <c r="X33" s="119"/>
      <c r="Y33" s="120"/>
      <c r="AA33" s="121"/>
      <c r="AB33" s="122"/>
      <c r="AC33" s="123"/>
    </row>
    <row r="34" spans="2:39" ht="18" customHeight="1" x14ac:dyDescent="0.25">
      <c r="B34" s="116"/>
      <c r="C34" s="116"/>
      <c r="D34" s="116"/>
      <c r="E34" s="116"/>
      <c r="F34" s="116"/>
      <c r="G34" s="116"/>
      <c r="H34" s="116"/>
      <c r="J34" s="86">
        <v>1</v>
      </c>
      <c r="K34" s="82">
        <v>13800</v>
      </c>
      <c r="L34" s="83">
        <v>500</v>
      </c>
      <c r="M34" s="128">
        <v>60</v>
      </c>
      <c r="N34" s="84" t="s">
        <v>142</v>
      </c>
      <c r="P34" s="87">
        <v>1</v>
      </c>
      <c r="Q34" s="92">
        <v>1</v>
      </c>
      <c r="R34" s="85">
        <f t="shared" si="9"/>
        <v>348.12721588960363</v>
      </c>
      <c r="S34" s="103">
        <f t="shared" si="10"/>
        <v>30.23255866040466</v>
      </c>
      <c r="T34" s="102">
        <f t="shared" si="11"/>
        <v>6.96435198714798</v>
      </c>
      <c r="V34" s="117"/>
      <c r="W34" s="118"/>
      <c r="X34" s="119"/>
      <c r="Y34" s="120"/>
      <c r="AA34" s="121"/>
      <c r="AB34" s="122"/>
      <c r="AC34" s="123"/>
    </row>
    <row r="35" spans="2:39" ht="18" customHeight="1" x14ac:dyDescent="0.25">
      <c r="B35" s="116"/>
      <c r="C35" s="116"/>
      <c r="D35" s="116"/>
      <c r="E35" s="116"/>
      <c r="F35" s="116"/>
      <c r="G35" s="116"/>
      <c r="H35" s="116"/>
      <c r="J35" s="86">
        <v>1</v>
      </c>
      <c r="K35" s="82">
        <v>11970</v>
      </c>
      <c r="L35" s="83">
        <v>410</v>
      </c>
      <c r="M35" s="128">
        <v>60</v>
      </c>
      <c r="N35" s="84" t="s">
        <v>144</v>
      </c>
      <c r="P35" s="87">
        <v>1</v>
      </c>
      <c r="Q35" s="92">
        <v>1</v>
      </c>
      <c r="R35" s="85">
        <f t="shared" si="9"/>
        <v>379.42129436019201</v>
      </c>
      <c r="S35" s="103">
        <f t="shared" si="10"/>
        <v>32.950243517843077</v>
      </c>
      <c r="T35" s="102">
        <f t="shared" si="11"/>
        <v>7.5903960527510526</v>
      </c>
      <c r="V35" s="117"/>
      <c r="W35" s="118"/>
      <c r="X35" s="119"/>
      <c r="Y35" s="120"/>
      <c r="AA35" s="121"/>
      <c r="AB35" s="122"/>
      <c r="AC35" s="123"/>
    </row>
    <row r="36" spans="2:39" ht="18" customHeight="1" x14ac:dyDescent="0.25">
      <c r="B36" s="116"/>
      <c r="C36" s="116"/>
      <c r="D36" s="116"/>
      <c r="E36" s="116"/>
      <c r="F36" s="116"/>
      <c r="G36" s="116"/>
      <c r="H36" s="116"/>
      <c r="J36" s="86">
        <v>3</v>
      </c>
      <c r="K36" s="82">
        <v>8720</v>
      </c>
      <c r="L36" s="83">
        <v>917</v>
      </c>
      <c r="M36" s="128">
        <v>60</v>
      </c>
      <c r="N36" s="84" t="s">
        <v>146</v>
      </c>
      <c r="P36" s="87">
        <v>1</v>
      </c>
      <c r="Q36" s="92">
        <v>2</v>
      </c>
      <c r="R36" s="85">
        <f t="shared" si="9"/>
        <v>799.52586053247808</v>
      </c>
      <c r="S36" s="103">
        <f t="shared" si="10"/>
        <v>69.433561571135158</v>
      </c>
      <c r="T36" s="102">
        <f t="shared" si="11"/>
        <v>15.994668791828433</v>
      </c>
      <c r="V36" s="117"/>
      <c r="W36" s="118"/>
      <c r="X36" s="119"/>
      <c r="Y36" s="120"/>
      <c r="AA36" s="121"/>
      <c r="AB36" s="122"/>
      <c r="AC36" s="123"/>
    </row>
    <row r="37" spans="2:39" ht="18" customHeight="1" x14ac:dyDescent="0.25">
      <c r="B37" s="116"/>
      <c r="C37" s="116"/>
      <c r="D37" s="116"/>
      <c r="E37" s="116"/>
      <c r="F37" s="116"/>
      <c r="G37" s="116"/>
      <c r="H37" s="116"/>
      <c r="J37" s="125">
        <v>6</v>
      </c>
      <c r="K37" s="126">
        <v>3000</v>
      </c>
      <c r="L37" s="127">
        <v>400</v>
      </c>
      <c r="M37" s="129">
        <v>60</v>
      </c>
      <c r="N37" s="53"/>
      <c r="P37" s="60">
        <v>2</v>
      </c>
      <c r="Q37" s="61">
        <v>4</v>
      </c>
      <c r="R37" s="89">
        <f t="shared" si="9"/>
        <v>2946.5487552896061</v>
      </c>
      <c r="S37" s="103">
        <f t="shared" si="10"/>
        <v>255.88837650166514</v>
      </c>
      <c r="T37" s="102">
        <f t="shared" si="11"/>
        <v>58.946275219220496</v>
      </c>
      <c r="V37" s="117"/>
      <c r="W37" s="118"/>
      <c r="X37" s="119"/>
      <c r="Y37" s="120"/>
      <c r="AA37" s="121"/>
      <c r="AB37" s="122"/>
      <c r="AC37" s="123"/>
    </row>
    <row r="38" spans="2:39" ht="18" customHeight="1" x14ac:dyDescent="0.25">
      <c r="B38" s="116"/>
      <c r="C38" s="116"/>
      <c r="D38" s="116"/>
      <c r="E38" s="116"/>
      <c r="F38" s="116"/>
      <c r="G38" s="116"/>
      <c r="H38" s="116"/>
      <c r="J38" s="125">
        <v>1</v>
      </c>
      <c r="K38" s="126">
        <v>4000</v>
      </c>
      <c r="L38" s="127">
        <v>693.66365791262638</v>
      </c>
      <c r="M38" s="129">
        <v>60</v>
      </c>
      <c r="N38" s="53"/>
      <c r="P38" s="60">
        <v>0</v>
      </c>
      <c r="Q38" s="61">
        <v>1</v>
      </c>
      <c r="R38" s="89">
        <f t="shared" si="9"/>
        <v>0</v>
      </c>
      <c r="S38" s="103">
        <f t="shared" si="10"/>
        <v>0</v>
      </c>
      <c r="T38" s="102">
        <f t="shared" si="11"/>
        <v>0</v>
      </c>
      <c r="V38" s="117"/>
      <c r="W38" s="118"/>
      <c r="X38" s="119"/>
      <c r="Y38" s="120"/>
      <c r="AA38" s="121"/>
      <c r="AB38" s="122"/>
      <c r="AC38" s="123"/>
    </row>
    <row r="39" spans="2:39" ht="18" customHeight="1" x14ac:dyDescent="0.25">
      <c r="B39" s="116"/>
      <c r="C39" s="116"/>
      <c r="D39" s="116"/>
      <c r="E39" s="116"/>
      <c r="F39" s="116"/>
      <c r="G39" s="116"/>
      <c r="H39" s="116"/>
      <c r="J39" s="125">
        <v>1</v>
      </c>
      <c r="K39" s="126">
        <v>3000</v>
      </c>
      <c r="L39" s="127">
        <v>300</v>
      </c>
      <c r="M39" s="129">
        <v>60</v>
      </c>
      <c r="N39" s="53"/>
      <c r="P39" s="60">
        <v>0</v>
      </c>
      <c r="Q39" s="61">
        <v>1</v>
      </c>
      <c r="R39" s="89">
        <f t="shared" si="9"/>
        <v>0</v>
      </c>
      <c r="S39" s="103">
        <f t="shared" si="10"/>
        <v>0</v>
      </c>
      <c r="T39" s="102">
        <f t="shared" si="11"/>
        <v>0</v>
      </c>
      <c r="V39" s="117"/>
      <c r="W39" s="118"/>
      <c r="X39" s="119"/>
      <c r="Y39" s="120"/>
      <c r="AA39" s="121"/>
      <c r="AB39" s="122"/>
      <c r="AC39" s="123"/>
    </row>
    <row r="40" spans="2:39" ht="18" customHeight="1" x14ac:dyDescent="0.25">
      <c r="B40" s="116"/>
      <c r="C40" s="116"/>
      <c r="D40" s="116"/>
      <c r="E40" s="116"/>
      <c r="F40" s="116"/>
      <c r="G40" s="116"/>
      <c r="H40" s="116"/>
      <c r="J40" s="125">
        <v>1</v>
      </c>
      <c r="K40" s="126">
        <v>3000</v>
      </c>
      <c r="L40" s="127">
        <v>300</v>
      </c>
      <c r="M40" s="129">
        <v>60</v>
      </c>
      <c r="N40" s="53"/>
      <c r="P40" s="60">
        <v>0</v>
      </c>
      <c r="Q40" s="61">
        <v>1</v>
      </c>
      <c r="R40" s="89">
        <f t="shared" si="9"/>
        <v>0</v>
      </c>
      <c r="S40" s="103">
        <f t="shared" si="10"/>
        <v>0</v>
      </c>
      <c r="T40" s="102">
        <f t="shared" si="11"/>
        <v>0</v>
      </c>
      <c r="V40" s="117"/>
      <c r="W40" s="118"/>
      <c r="X40" s="119"/>
      <c r="Y40" s="120"/>
      <c r="AA40" s="121"/>
      <c r="AB40" s="122"/>
      <c r="AC40" s="123"/>
    </row>
    <row r="41" spans="2:39" ht="18" customHeight="1" x14ac:dyDescent="0.25">
      <c r="B41" s="116"/>
      <c r="C41" s="116"/>
      <c r="D41" s="116"/>
      <c r="E41" s="116"/>
      <c r="F41" s="116"/>
      <c r="G41" s="116"/>
      <c r="H41" s="116"/>
      <c r="J41" s="125">
        <v>1</v>
      </c>
      <c r="K41" s="126">
        <v>3000</v>
      </c>
      <c r="L41" s="127">
        <v>300</v>
      </c>
      <c r="M41" s="129">
        <v>60</v>
      </c>
      <c r="N41" s="53"/>
      <c r="P41" s="60">
        <v>0</v>
      </c>
      <c r="Q41" s="61">
        <v>1</v>
      </c>
      <c r="R41" s="89">
        <f t="shared" si="9"/>
        <v>0</v>
      </c>
      <c r="S41" s="103">
        <f t="shared" si="10"/>
        <v>0</v>
      </c>
      <c r="T41" s="102">
        <f t="shared" si="11"/>
        <v>0</v>
      </c>
      <c r="V41" s="117"/>
      <c r="W41" s="118"/>
      <c r="X41" s="119"/>
      <c r="Y41" s="120"/>
      <c r="AA41" s="121"/>
      <c r="AB41" s="122"/>
      <c r="AC41" s="123"/>
    </row>
    <row r="42" spans="2:39" ht="18" customHeight="1" thickBot="1" x14ac:dyDescent="0.3">
      <c r="J42" s="54">
        <v>1</v>
      </c>
      <c r="K42" s="126">
        <v>3000</v>
      </c>
      <c r="L42" s="56">
        <v>300</v>
      </c>
      <c r="M42" s="130">
        <v>60</v>
      </c>
      <c r="N42" s="57"/>
      <c r="P42" s="60">
        <v>0</v>
      </c>
      <c r="Q42" s="61">
        <v>1</v>
      </c>
      <c r="R42" s="89">
        <f t="shared" si="9"/>
        <v>0</v>
      </c>
      <c r="S42" s="103">
        <f t="shared" si="10"/>
        <v>0</v>
      </c>
      <c r="T42" s="102">
        <f t="shared" si="11"/>
        <v>0</v>
      </c>
      <c r="V42" s="67">
        <f>J16-(P16*Q16)</f>
        <v>2</v>
      </c>
      <c r="W42" s="55">
        <v>1630</v>
      </c>
      <c r="X42" s="56">
        <v>331.2</v>
      </c>
      <c r="Y42" s="57">
        <v>60</v>
      </c>
      <c r="AA42" s="70">
        <v>0</v>
      </c>
      <c r="AB42" s="71"/>
      <c r="AC42" s="46" t="e">
        <f>(R8/W42/AB42)^2*($L$6*X42/Y42)*AA42</f>
        <v>#DIV/0!</v>
      </c>
      <c r="AJ42" s="12" t="s">
        <v>20</v>
      </c>
      <c r="AK42" s="12">
        <f>1/(2*PI()*L6*(C22*10^-6))</f>
        <v>28.274333882308134</v>
      </c>
      <c r="AM42" s="12" t="str">
        <f>COMPLEX(0,-AK42,)</f>
        <v>-28,2743338823081i</v>
      </c>
    </row>
    <row r="43" spans="2:39" ht="18" customHeight="1" thickTop="1" thickBot="1" x14ac:dyDescent="0.3">
      <c r="E43" s="12">
        <v>254</v>
      </c>
      <c r="F43" s="12">
        <v>13200</v>
      </c>
      <c r="H43" s="36"/>
      <c r="Q43" s="90" t="s">
        <v>68</v>
      </c>
      <c r="R43" s="91">
        <f>SUM(R13:R42)</f>
        <v>5424.0415598280742</v>
      </c>
      <c r="T43" s="104">
        <f>SUM(T13:T42)</f>
        <v>108.5089958250804</v>
      </c>
    </row>
    <row r="44" spans="2:39" ht="18" customHeight="1" thickTop="1" x14ac:dyDescent="0.25">
      <c r="D44" s="23">
        <f>C12+C7</f>
        <v>75</v>
      </c>
      <c r="E44" s="12">
        <f>(E43/F43)^-1</f>
        <v>51.968503937007874</v>
      </c>
      <c r="AJ44" s="12" t="s">
        <v>21</v>
      </c>
      <c r="AK44" s="12">
        <f>IMREAL(IMDIV(IMPRODUCT(AM15,AM42),IMSUM(AM15,AM42)))</f>
        <v>8243.32807267721</v>
      </c>
      <c r="AM44" s="12" t="str">
        <f>(IMDIV(IMPRODUCT(AM15,AM42),IMSUM(AM15,AM42)))</f>
        <v>8243,32807267721-28,2743338823081i</v>
      </c>
    </row>
    <row r="45" spans="2:39" ht="18" customHeight="1" x14ac:dyDescent="0.25">
      <c r="F45" s="12">
        <f>E44*32</f>
        <v>1662.992125984252</v>
      </c>
      <c r="J45" s="12">
        <f>0.042*6*K45</f>
        <v>0.252</v>
      </c>
      <c r="K45" s="12">
        <v>1</v>
      </c>
    </row>
    <row r="46" spans="2:39" ht="18" customHeight="1" x14ac:dyDescent="0.25"/>
    <row r="56" spans="12:25" ht="15.75" thickBot="1" x14ac:dyDescent="0.3"/>
    <row r="57" spans="12:25" x14ac:dyDescent="0.25">
      <c r="S57" s="152" t="s">
        <v>115</v>
      </c>
      <c r="T57" s="153"/>
      <c r="U57" s="153"/>
      <c r="V57" s="153"/>
      <c r="W57" s="153"/>
      <c r="X57" s="154"/>
      <c r="Y57" s="80"/>
    </row>
    <row r="58" spans="12:25" ht="15.75" thickBot="1" x14ac:dyDescent="0.3">
      <c r="S58" s="155"/>
      <c r="T58" s="156"/>
      <c r="U58" s="156"/>
      <c r="V58" s="156"/>
      <c r="W58" s="156"/>
      <c r="X58" s="157"/>
      <c r="Y58" s="80"/>
    </row>
    <row r="59" spans="12:25" ht="45.75" thickBot="1" x14ac:dyDescent="0.3">
      <c r="S59" s="105" t="s">
        <v>116</v>
      </c>
      <c r="T59" s="106" t="s">
        <v>117</v>
      </c>
      <c r="W59" s="106" t="s">
        <v>120</v>
      </c>
      <c r="X59" s="106" t="s">
        <v>121</v>
      </c>
      <c r="Y59" s="80"/>
    </row>
    <row r="60" spans="12:25" ht="45.75" thickBot="1" x14ac:dyDescent="0.3">
      <c r="M60" s="106" t="s">
        <v>118</v>
      </c>
      <c r="N60" s="107" t="s">
        <v>119</v>
      </c>
      <c r="Q60" s="109"/>
      <c r="T60" s="109" t="s">
        <v>122</v>
      </c>
      <c r="W60" s="109">
        <v>15.87</v>
      </c>
      <c r="X60" s="109" t="s">
        <v>123</v>
      </c>
      <c r="Y60" s="80"/>
    </row>
    <row r="61" spans="12:25" ht="15.75" thickBot="1" x14ac:dyDescent="0.3">
      <c r="L61" s="108">
        <v>1</v>
      </c>
      <c r="M61" s="12">
        <v>11060</v>
      </c>
      <c r="N61" s="109">
        <v>701.38</v>
      </c>
      <c r="Q61" s="111"/>
      <c r="T61" s="111" t="s">
        <v>124</v>
      </c>
      <c r="W61" s="111">
        <v>16.8</v>
      </c>
      <c r="X61" s="111" t="s">
        <v>125</v>
      </c>
      <c r="Y61" s="80"/>
    </row>
    <row r="62" spans="12:25" ht="15.75" thickBot="1" x14ac:dyDescent="0.3">
      <c r="L62" s="110">
        <v>1</v>
      </c>
      <c r="M62" s="12">
        <v>9960</v>
      </c>
      <c r="N62" s="111">
        <v>625</v>
      </c>
      <c r="Q62" s="113"/>
      <c r="T62" s="113" t="s">
        <v>122</v>
      </c>
      <c r="W62" s="113">
        <v>20.9</v>
      </c>
      <c r="X62" s="113" t="s">
        <v>126</v>
      </c>
      <c r="Y62" s="80"/>
    </row>
    <row r="63" spans="12:25" ht="15.75" thickBot="1" x14ac:dyDescent="0.3">
      <c r="L63" s="112">
        <v>3</v>
      </c>
      <c r="M63" s="12">
        <v>8730</v>
      </c>
      <c r="N63" s="113">
        <v>582</v>
      </c>
      <c r="Q63" s="113"/>
      <c r="T63" s="113" t="s">
        <v>127</v>
      </c>
      <c r="W63" s="113">
        <v>11.38</v>
      </c>
      <c r="X63" s="113" t="s">
        <v>128</v>
      </c>
      <c r="Y63" s="80"/>
    </row>
    <row r="64" spans="12:25" ht="15.75" thickBot="1" x14ac:dyDescent="0.3">
      <c r="L64" s="112">
        <v>1</v>
      </c>
      <c r="M64" s="12">
        <v>6900</v>
      </c>
      <c r="N64" s="113">
        <v>200</v>
      </c>
      <c r="Q64" s="115"/>
      <c r="T64" s="115" t="s">
        <v>129</v>
      </c>
      <c r="W64" s="115">
        <v>1.423</v>
      </c>
      <c r="X64" s="115" t="s">
        <v>130</v>
      </c>
      <c r="Y64" s="80"/>
    </row>
    <row r="65" spans="2:25" ht="15.75" thickBot="1" x14ac:dyDescent="0.3">
      <c r="L65" s="114">
        <v>1</v>
      </c>
      <c r="M65" s="12">
        <v>13800</v>
      </c>
      <c r="N65" s="115">
        <v>100</v>
      </c>
      <c r="Q65" s="115"/>
      <c r="T65" s="115" t="s">
        <v>124</v>
      </c>
      <c r="W65" s="115">
        <v>17.010000000000002</v>
      </c>
      <c r="X65" s="115" t="s">
        <v>131</v>
      </c>
      <c r="Y65" s="80"/>
    </row>
    <row r="66" spans="2:25" ht="15.75" thickBot="1" x14ac:dyDescent="0.3">
      <c r="L66" s="114">
        <v>1</v>
      </c>
      <c r="M66" s="12">
        <v>9960</v>
      </c>
      <c r="N66" s="115">
        <v>625</v>
      </c>
      <c r="Q66" s="113"/>
      <c r="T66" s="113" t="s">
        <v>132</v>
      </c>
      <c r="W66" s="113">
        <v>9.36</v>
      </c>
      <c r="X66" s="113" t="s">
        <v>133</v>
      </c>
      <c r="Y66" s="80"/>
    </row>
    <row r="67" spans="2:25" ht="15.75" thickBot="1" x14ac:dyDescent="0.3">
      <c r="L67" s="112">
        <v>1</v>
      </c>
      <c r="M67" s="12">
        <v>7600</v>
      </c>
      <c r="N67" s="113">
        <v>200</v>
      </c>
      <c r="Q67" s="113"/>
      <c r="T67" s="113" t="s">
        <v>134</v>
      </c>
      <c r="W67" s="113">
        <v>1.25</v>
      </c>
      <c r="X67" s="113" t="s">
        <v>135</v>
      </c>
      <c r="Y67" s="80"/>
    </row>
    <row r="68" spans="2:25" ht="15.75" thickBot="1" x14ac:dyDescent="0.3">
      <c r="L68" s="112">
        <v>1</v>
      </c>
      <c r="M68" s="12">
        <v>13800</v>
      </c>
      <c r="N68" s="113">
        <v>90</v>
      </c>
      <c r="Q68" s="113"/>
      <c r="T68" s="113" t="s">
        <v>136</v>
      </c>
      <c r="W68" s="113">
        <v>11.36</v>
      </c>
      <c r="X68" s="113" t="s">
        <v>137</v>
      </c>
      <c r="Y68" s="80"/>
    </row>
    <row r="69" spans="2:25" ht="16.5" thickTop="1" thickBot="1" x14ac:dyDescent="0.3">
      <c r="B69" s="81"/>
      <c r="C69" s="81"/>
      <c r="L69" s="112">
        <v>2</v>
      </c>
      <c r="M69" s="12">
        <v>6900</v>
      </c>
      <c r="N69" s="113">
        <v>200</v>
      </c>
      <c r="Q69" s="113"/>
      <c r="T69" s="113" t="s">
        <v>138</v>
      </c>
      <c r="W69" s="113">
        <v>0.68899999999999995</v>
      </c>
      <c r="X69" s="113" t="s">
        <v>139</v>
      </c>
      <c r="Y69" s="80"/>
    </row>
    <row r="70" spans="2:25" ht="15.75" thickBot="1" x14ac:dyDescent="0.3">
      <c r="L70" s="112">
        <v>1</v>
      </c>
      <c r="M70" s="12">
        <v>19940</v>
      </c>
      <c r="N70" s="113">
        <v>100</v>
      </c>
      <c r="Q70" s="113"/>
      <c r="T70" s="113" t="s">
        <v>132</v>
      </c>
      <c r="W70" s="113">
        <v>9.44</v>
      </c>
      <c r="X70" s="113" t="s">
        <v>140</v>
      </c>
      <c r="Y70" s="80"/>
    </row>
    <row r="71" spans="2:25" ht="15.75" thickBot="1" x14ac:dyDescent="0.3">
      <c r="L71" s="112">
        <v>1</v>
      </c>
      <c r="M71" s="12">
        <v>7620</v>
      </c>
      <c r="N71" s="113">
        <v>200</v>
      </c>
      <c r="Q71" s="113"/>
      <c r="T71" s="113" t="s">
        <v>141</v>
      </c>
      <c r="W71" s="113">
        <v>8.3699999999999992</v>
      </c>
      <c r="X71" s="113" t="s">
        <v>142</v>
      </c>
      <c r="Y71" s="80"/>
    </row>
    <row r="72" spans="2:25" ht="15.75" thickBot="1" x14ac:dyDescent="0.3">
      <c r="L72" s="112">
        <v>1</v>
      </c>
      <c r="M72" s="12">
        <v>13800</v>
      </c>
      <c r="N72" s="113">
        <v>500</v>
      </c>
      <c r="Q72" s="113"/>
      <c r="T72" s="113" t="s">
        <v>143</v>
      </c>
      <c r="W72" s="113">
        <v>7.72</v>
      </c>
      <c r="X72" s="113" t="s">
        <v>144</v>
      </c>
      <c r="Y72" s="80"/>
    </row>
    <row r="73" spans="2:25" ht="15.75" thickBot="1" x14ac:dyDescent="0.3">
      <c r="L73" s="112">
        <v>1</v>
      </c>
      <c r="M73" s="12">
        <v>11970</v>
      </c>
      <c r="N73" s="113">
        <v>410</v>
      </c>
      <c r="Q73" s="113"/>
      <c r="T73" s="113" t="s">
        <v>145</v>
      </c>
      <c r="W73" s="113">
        <v>34.9</v>
      </c>
      <c r="X73" s="113" t="s">
        <v>146</v>
      </c>
      <c r="Y73" s="80"/>
    </row>
    <row r="74" spans="2:25" ht="15.75" thickBot="1" x14ac:dyDescent="0.3">
      <c r="L74" s="112">
        <v>3</v>
      </c>
      <c r="M74" s="12">
        <v>8720</v>
      </c>
      <c r="N74" s="113">
        <v>917</v>
      </c>
    </row>
  </sheetData>
  <mergeCells count="27">
    <mergeCell ref="J3:M3"/>
    <mergeCell ref="J5:K5"/>
    <mergeCell ref="J6:K6"/>
    <mergeCell ref="B3:H3"/>
    <mergeCell ref="B4:D4"/>
    <mergeCell ref="E4:H4"/>
    <mergeCell ref="B15:D15"/>
    <mergeCell ref="E15:H15"/>
    <mergeCell ref="E14:H14"/>
    <mergeCell ref="P6:Q6"/>
    <mergeCell ref="P7:Q7"/>
    <mergeCell ref="P8:Q8"/>
    <mergeCell ref="B10:D10"/>
    <mergeCell ref="J8:K8"/>
    <mergeCell ref="S57:X58"/>
    <mergeCell ref="P3:S3"/>
    <mergeCell ref="P4:Q4"/>
    <mergeCell ref="P5:Q5"/>
    <mergeCell ref="AA3:AC3"/>
    <mergeCell ref="AA12:AC12"/>
    <mergeCell ref="P9:Q9"/>
    <mergeCell ref="V12:X12"/>
    <mergeCell ref="V3:X3"/>
    <mergeCell ref="V4:W4"/>
    <mergeCell ref="V8:W8"/>
    <mergeCell ref="X4:X5"/>
    <mergeCell ref="X8:X9"/>
  </mergeCells>
  <conditionalFormatting sqref="F17:F24">
    <cfRule type="expression" dxfId="9" priority="20">
      <formula>$H$16=1</formula>
    </cfRule>
  </conditionalFormatting>
  <conditionalFormatting sqref="C23">
    <cfRule type="expression" dxfId="8" priority="17">
      <formula>$M$8=1</formula>
    </cfRule>
  </conditionalFormatting>
  <conditionalFormatting sqref="R4:R9">
    <cfRule type="expression" dxfId="7" priority="16">
      <formula>$M$8=0</formula>
    </cfRule>
  </conditionalFormatting>
  <conditionalFormatting sqref="F6:F12">
    <cfRule type="expression" dxfId="6" priority="15">
      <formula>$H$16=0</formula>
    </cfRule>
  </conditionalFormatting>
  <conditionalFormatting sqref="H12">
    <cfRule type="expression" dxfId="5" priority="14">
      <formula>$H$16=0</formula>
    </cfRule>
  </conditionalFormatting>
  <conditionalFormatting sqref="R13">
    <cfRule type="expression" dxfId="4" priority="9">
      <formula>$C$17&gt;($K$13*$Q$13)</formula>
    </cfRule>
  </conditionalFormatting>
  <conditionalFormatting sqref="R14:R18 R37:R42">
    <cfRule type="expression" dxfId="3" priority="5">
      <formula>$C$17&gt;(K14*Q14)</formula>
    </cfRule>
  </conditionalFormatting>
  <conditionalFormatting sqref="R19">
    <cfRule type="expression" dxfId="2" priority="3">
      <formula>$C$17&gt;(K19*Q19)</formula>
    </cfRule>
  </conditionalFormatting>
  <conditionalFormatting sqref="R38 R42 R20:R36">
    <cfRule type="expression" dxfId="1" priority="2">
      <formula>$C$17&gt;(K20*Q20)</formula>
    </cfRule>
  </conditionalFormatting>
  <conditionalFormatting sqref="P13:P36">
    <cfRule type="expression" dxfId="0" priority="1">
      <formula>P13*Q13&gt;J13</formula>
    </cfRule>
  </conditionalFormatting>
  <dataValidations disablePrompts="1" count="2">
    <dataValidation type="list" allowBlank="1" showInputMessage="1" showErrorMessage="1" sqref="C18" xr:uid="{00000000-0002-0000-0000-000000000000}">
      <formula1>#REF!</formula1>
    </dataValidation>
    <dataValidation type="list" allowBlank="1" showInputMessage="1" showErrorMessage="1" sqref="L8" xr:uid="{00000000-0002-0000-0000-000001000000}">
      <formula1>$AP$5:$AP$6</formula1>
    </dataValidation>
  </dataValidations>
  <pageMargins left="0.51181102362204722" right="0.51181102362204722" top="0.78740157480314965" bottom="0.78740157480314965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V23"/>
  <sheetViews>
    <sheetView workbookViewId="0">
      <selection activeCell="V16" sqref="V16"/>
    </sheetView>
  </sheetViews>
  <sheetFormatPr defaultRowHeight="15" x14ac:dyDescent="0.25"/>
  <cols>
    <col min="11" max="11" width="11.7109375" bestFit="1" customWidth="1"/>
  </cols>
  <sheetData>
    <row r="1" spans="1:22" x14ac:dyDescent="0.25">
      <c r="A1" t="s">
        <v>30</v>
      </c>
      <c r="B1" s="32">
        <v>27</v>
      </c>
      <c r="D1" t="s">
        <v>31</v>
      </c>
      <c r="E1">
        <f>((B1*10^6)/(B3*10^3*(SQRT(3))))</f>
        <v>67.775901165738688</v>
      </c>
    </row>
    <row r="3" spans="1:22" ht="15.75" thickBot="1" x14ac:dyDescent="0.3">
      <c r="A3" t="s">
        <v>0</v>
      </c>
      <c r="B3" s="32">
        <v>230</v>
      </c>
      <c r="D3" t="s">
        <v>4</v>
      </c>
      <c r="E3">
        <f>((B3*10^3)^2)/(B1*10^6)</f>
        <v>1959.2592592592594</v>
      </c>
      <c r="K3" s="76"/>
    </row>
    <row r="4" spans="1:22" ht="15.75" thickBot="1" x14ac:dyDescent="0.3">
      <c r="K4" s="77" t="s">
        <v>69</v>
      </c>
      <c r="L4" s="186" t="s">
        <v>70</v>
      </c>
      <c r="M4" s="187"/>
      <c r="N4" s="187"/>
      <c r="O4" s="187"/>
      <c r="P4" s="188"/>
      <c r="Q4" s="78">
        <v>0.83</v>
      </c>
      <c r="R4" s="78">
        <v>220</v>
      </c>
      <c r="S4" s="186">
        <v>369</v>
      </c>
      <c r="T4" s="188"/>
    </row>
    <row r="5" spans="1:22" ht="15.75" thickBot="1" x14ac:dyDescent="0.3">
      <c r="D5" t="s">
        <v>32</v>
      </c>
      <c r="E5">
        <f>E3/(2*PI()*60)</f>
        <v>5.1970965984946078</v>
      </c>
      <c r="K5" s="79" t="s">
        <v>71</v>
      </c>
      <c r="L5" s="186" t="s">
        <v>72</v>
      </c>
      <c r="M5" s="187"/>
      <c r="N5" s="187"/>
      <c r="O5" s="187"/>
      <c r="P5" s="188"/>
      <c r="Q5" s="78">
        <v>1.67</v>
      </c>
      <c r="R5" s="78">
        <v>220</v>
      </c>
      <c r="S5" s="186">
        <v>30</v>
      </c>
      <c r="T5" s="188"/>
    </row>
    <row r="6" spans="1:22" ht="15.75" thickBot="1" x14ac:dyDescent="0.3">
      <c r="K6" s="79" t="s">
        <v>73</v>
      </c>
      <c r="L6" s="186" t="s">
        <v>74</v>
      </c>
      <c r="M6" s="187"/>
      <c r="N6" s="187"/>
      <c r="O6" s="187"/>
      <c r="P6" s="188"/>
      <c r="Q6" s="78">
        <v>2.5</v>
      </c>
      <c r="R6" s="78">
        <v>220</v>
      </c>
      <c r="S6" s="186">
        <v>26</v>
      </c>
      <c r="T6" s="188"/>
    </row>
    <row r="7" spans="1:22" ht="15.75" thickBot="1" x14ac:dyDescent="0.3">
      <c r="K7" s="79" t="s">
        <v>75</v>
      </c>
      <c r="L7" s="186" t="s">
        <v>76</v>
      </c>
      <c r="M7" s="187"/>
      <c r="N7" s="187"/>
      <c r="O7" s="187"/>
      <c r="P7" s="188"/>
      <c r="Q7" s="78">
        <v>3.34</v>
      </c>
      <c r="R7" s="78">
        <v>440</v>
      </c>
      <c r="S7" s="186">
        <v>9</v>
      </c>
      <c r="T7" s="188"/>
    </row>
    <row r="8" spans="1:22" ht="15.75" thickBot="1" x14ac:dyDescent="0.3">
      <c r="K8" s="79" t="s">
        <v>77</v>
      </c>
      <c r="L8" s="186" t="s">
        <v>78</v>
      </c>
      <c r="M8" s="187"/>
      <c r="N8" s="187"/>
      <c r="O8" s="187"/>
      <c r="P8" s="188"/>
      <c r="Q8" s="78">
        <v>2.5</v>
      </c>
      <c r="R8" s="78">
        <v>440</v>
      </c>
      <c r="S8" s="186">
        <v>1</v>
      </c>
      <c r="T8" s="188"/>
    </row>
    <row r="9" spans="1:22" ht="15.75" thickBot="1" x14ac:dyDescent="0.3">
      <c r="K9" s="79" t="s">
        <v>79</v>
      </c>
      <c r="L9" s="186" t="s">
        <v>80</v>
      </c>
      <c r="M9" s="187"/>
      <c r="N9" s="187"/>
      <c r="O9" s="187"/>
      <c r="P9" s="188"/>
      <c r="Q9" s="78">
        <v>3.34</v>
      </c>
      <c r="R9" s="78">
        <v>480</v>
      </c>
      <c r="S9" s="186">
        <v>4</v>
      </c>
      <c r="T9" s="188"/>
    </row>
    <row r="10" spans="1:22" ht="15.75" thickBot="1" x14ac:dyDescent="0.3">
      <c r="K10" s="79" t="s">
        <v>81</v>
      </c>
      <c r="L10" s="186" t="s">
        <v>82</v>
      </c>
      <c r="M10" s="187"/>
      <c r="N10" s="187"/>
      <c r="O10" s="187"/>
      <c r="P10" s="188"/>
      <c r="Q10" s="78">
        <v>5</v>
      </c>
      <c r="R10" s="78">
        <v>480</v>
      </c>
      <c r="S10" s="186">
        <v>1</v>
      </c>
      <c r="T10" s="188"/>
    </row>
    <row r="11" spans="1:22" ht="15.75" thickBot="1" x14ac:dyDescent="0.3">
      <c r="K11" s="79" t="s">
        <v>83</v>
      </c>
      <c r="L11" s="186" t="s">
        <v>84</v>
      </c>
      <c r="M11" s="187"/>
      <c r="N11" s="187"/>
      <c r="O11" s="187"/>
      <c r="P11" s="188"/>
      <c r="Q11" s="78">
        <v>2.5</v>
      </c>
      <c r="R11" s="78">
        <v>380</v>
      </c>
      <c r="S11" s="186">
        <v>5</v>
      </c>
      <c r="T11" s="188"/>
    </row>
    <row r="12" spans="1:22" ht="15.75" thickBot="1" x14ac:dyDescent="0.3">
      <c r="K12" s="79" t="s">
        <v>85</v>
      </c>
      <c r="L12" s="186" t="s">
        <v>86</v>
      </c>
      <c r="M12" s="187"/>
      <c r="N12" s="187"/>
      <c r="O12" s="187"/>
      <c r="P12" s="188"/>
      <c r="Q12" s="78">
        <v>1.67</v>
      </c>
      <c r="R12" s="78">
        <v>380</v>
      </c>
      <c r="S12" s="186">
        <v>432</v>
      </c>
      <c r="T12" s="188"/>
    </row>
    <row r="13" spans="1:22" ht="15.75" thickBot="1" x14ac:dyDescent="0.3">
      <c r="K13" s="79" t="s">
        <v>87</v>
      </c>
      <c r="L13" s="186" t="s">
        <v>88</v>
      </c>
      <c r="M13" s="187"/>
      <c r="N13" s="187"/>
      <c r="O13" s="187"/>
      <c r="P13" s="188"/>
      <c r="Q13" s="78">
        <v>2.5</v>
      </c>
      <c r="R13" s="78">
        <v>480</v>
      </c>
      <c r="S13" s="186">
        <v>204</v>
      </c>
      <c r="T13" s="188"/>
    </row>
    <row r="14" spans="1:22" ht="15.75" thickBot="1" x14ac:dyDescent="0.3">
      <c r="K14" s="79" t="s">
        <v>89</v>
      </c>
      <c r="L14" s="186" t="s">
        <v>80</v>
      </c>
      <c r="M14" s="187"/>
      <c r="N14" s="187"/>
      <c r="O14" s="187"/>
      <c r="P14" s="188"/>
      <c r="Q14" s="78">
        <v>3.34</v>
      </c>
      <c r="R14" s="78">
        <v>480</v>
      </c>
      <c r="S14" s="186">
        <v>250</v>
      </c>
      <c r="T14" s="188"/>
    </row>
    <row r="15" spans="1:22" ht="15.75" thickBot="1" x14ac:dyDescent="0.3">
      <c r="K15" s="77" t="s">
        <v>90</v>
      </c>
      <c r="L15" s="186" t="s">
        <v>91</v>
      </c>
      <c r="M15" s="187"/>
      <c r="N15" s="187"/>
      <c r="O15" s="187"/>
      <c r="P15" s="188"/>
      <c r="Q15" s="78">
        <v>2.5</v>
      </c>
      <c r="R15" s="78">
        <v>535</v>
      </c>
      <c r="S15" s="186">
        <v>163</v>
      </c>
      <c r="T15" s="188"/>
      <c r="V15">
        <f>2.5*12</f>
        <v>30</v>
      </c>
    </row>
    <row r="16" spans="1:22" ht="15.75" thickBot="1" x14ac:dyDescent="0.3">
      <c r="K16" s="79" t="s">
        <v>85</v>
      </c>
      <c r="L16" s="186" t="s">
        <v>86</v>
      </c>
      <c r="M16" s="187"/>
      <c r="N16" s="187"/>
      <c r="O16" s="187"/>
      <c r="P16" s="188"/>
      <c r="Q16" s="78">
        <v>1.67</v>
      </c>
      <c r="R16" s="78">
        <v>380</v>
      </c>
      <c r="S16" s="186">
        <v>144</v>
      </c>
      <c r="T16" s="188"/>
    </row>
    <row r="17" spans="11:20" ht="15.75" thickBot="1" x14ac:dyDescent="0.3">
      <c r="K17" s="79" t="s">
        <v>92</v>
      </c>
      <c r="L17" s="186" t="s">
        <v>93</v>
      </c>
      <c r="M17" s="187"/>
      <c r="N17" s="187"/>
      <c r="O17" s="187"/>
      <c r="P17" s="188"/>
      <c r="Q17" s="78">
        <v>1.67</v>
      </c>
      <c r="R17" s="78">
        <v>535</v>
      </c>
      <c r="S17" s="186">
        <v>184</v>
      </c>
      <c r="T17" s="188"/>
    </row>
    <row r="18" spans="11:20" ht="15.75" thickBot="1" x14ac:dyDescent="0.3">
      <c r="K18" s="79" t="s">
        <v>94</v>
      </c>
      <c r="L18" s="186" t="s">
        <v>95</v>
      </c>
      <c r="M18" s="187"/>
      <c r="N18" s="187"/>
      <c r="O18" s="187"/>
      <c r="P18" s="188"/>
      <c r="Q18" s="78">
        <v>1.67</v>
      </c>
      <c r="R18" s="78">
        <v>480</v>
      </c>
      <c r="S18" s="186">
        <v>117</v>
      </c>
      <c r="T18" s="188"/>
    </row>
    <row r="19" spans="11:20" ht="15.75" thickBot="1" x14ac:dyDescent="0.3">
      <c r="K19" s="79" t="s">
        <v>96</v>
      </c>
      <c r="L19" s="186" t="s">
        <v>97</v>
      </c>
      <c r="M19" s="187"/>
      <c r="N19" s="187"/>
      <c r="O19" s="187"/>
      <c r="P19" s="188"/>
      <c r="Q19" s="78">
        <v>0.83</v>
      </c>
      <c r="R19" s="78">
        <v>440</v>
      </c>
      <c r="S19" s="186">
        <v>71</v>
      </c>
      <c r="T19" s="188"/>
    </row>
    <row r="20" spans="11:20" ht="15.75" thickBot="1" x14ac:dyDescent="0.3">
      <c r="K20" s="79" t="s">
        <v>98</v>
      </c>
      <c r="L20" s="186" t="s">
        <v>99</v>
      </c>
      <c r="M20" s="187"/>
      <c r="N20" s="187"/>
      <c r="O20" s="187"/>
      <c r="P20" s="188"/>
      <c r="Q20" s="78">
        <v>0.83</v>
      </c>
      <c r="R20" s="78">
        <v>0.83</v>
      </c>
      <c r="S20" s="186">
        <v>200</v>
      </c>
      <c r="T20" s="188"/>
    </row>
    <row r="21" spans="11:20" ht="15.75" thickBot="1" x14ac:dyDescent="0.3">
      <c r="K21" s="79" t="s">
        <v>100</v>
      </c>
      <c r="L21" s="186" t="s">
        <v>101</v>
      </c>
      <c r="M21" s="187"/>
      <c r="N21" s="187"/>
      <c r="O21" s="187"/>
      <c r="P21" s="188"/>
      <c r="Q21" s="78">
        <v>1.67</v>
      </c>
      <c r="R21" s="78">
        <v>1.67</v>
      </c>
      <c r="S21" s="186">
        <v>171</v>
      </c>
      <c r="T21" s="188"/>
    </row>
    <row r="22" spans="11:20" x14ac:dyDescent="0.25"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11:20" x14ac:dyDescent="0.25">
      <c r="K23" s="76"/>
    </row>
  </sheetData>
  <mergeCells count="36">
    <mergeCell ref="L20:P20"/>
    <mergeCell ref="S20:T20"/>
    <mergeCell ref="L21:P21"/>
    <mergeCell ref="S21:T21"/>
    <mergeCell ref="L17:P17"/>
    <mergeCell ref="S17:T17"/>
    <mergeCell ref="L18:P18"/>
    <mergeCell ref="S18:T18"/>
    <mergeCell ref="L19:P19"/>
    <mergeCell ref="S19:T19"/>
    <mergeCell ref="L14:P14"/>
    <mergeCell ref="S14:T14"/>
    <mergeCell ref="L15:P15"/>
    <mergeCell ref="S15:T15"/>
    <mergeCell ref="L16:P16"/>
    <mergeCell ref="S16:T16"/>
    <mergeCell ref="L11:P11"/>
    <mergeCell ref="S11:T11"/>
    <mergeCell ref="L12:P12"/>
    <mergeCell ref="S12:T12"/>
    <mergeCell ref="L13:P13"/>
    <mergeCell ref="S13:T13"/>
    <mergeCell ref="L9:P9"/>
    <mergeCell ref="S9:T9"/>
    <mergeCell ref="L10:P10"/>
    <mergeCell ref="S10:T10"/>
    <mergeCell ref="L7:P7"/>
    <mergeCell ref="S7:T7"/>
    <mergeCell ref="L8:P8"/>
    <mergeCell ref="S8:T8"/>
    <mergeCell ref="L4:P4"/>
    <mergeCell ref="S4:T4"/>
    <mergeCell ref="L5:P5"/>
    <mergeCell ref="S5:T5"/>
    <mergeCell ref="L6:P6"/>
    <mergeCell ref="S6:T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Plan1!Area_de_impressao</vt:lpstr>
      <vt:lpstr>Plan1!VA</vt:lpstr>
      <vt:lpstr>Plan1!VS</vt:lpstr>
    </vt:vector>
  </TitlesOfParts>
  <Company>Iesa Projetos Equipamentos e Montangens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Iesa</dc:creator>
  <cp:lastModifiedBy>Felipe Franchi Pires</cp:lastModifiedBy>
  <cp:lastPrinted>2021-12-07T12:46:56Z</cp:lastPrinted>
  <dcterms:created xsi:type="dcterms:W3CDTF">2018-01-11T15:47:43Z</dcterms:created>
  <dcterms:modified xsi:type="dcterms:W3CDTF">2023-02-06T18:39:23Z</dcterms:modified>
</cp:coreProperties>
</file>