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:\4-Engenharias\4.3-Engenharia MT\Programa Cálculo - Desenvolvimento\Dist\Resultados\"/>
    </mc:Choice>
  </mc:AlternateContent>
  <xr:revisionPtr revIDLastSave="0" documentId="13_ncr:1_{74A31975-9DC9-46D3-B0EB-D13610E756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pacitor de potênci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1" l="1"/>
  <c r="D81" i="1" s="1"/>
  <c r="D80" i="1"/>
  <c r="B46" i="1"/>
  <c r="B79" i="1"/>
  <c r="B88" i="1"/>
  <c r="B82" i="1"/>
  <c r="B69" i="1"/>
  <c r="B66" i="1"/>
  <c r="D67" i="1"/>
  <c r="D91" i="1"/>
  <c r="D90" i="1"/>
  <c r="D89" i="1"/>
  <c r="B91" i="1"/>
  <c r="B90" i="1"/>
  <c r="D88" i="1"/>
  <c r="D85" i="1"/>
  <c r="D75" i="1"/>
  <c r="B43" i="1"/>
  <c r="B75" i="1" s="1"/>
  <c r="B80" i="1" l="1"/>
  <c r="B77" i="1"/>
  <c r="B76" i="1"/>
  <c r="B73" i="1" l="1"/>
  <c r="B41" i="1"/>
  <c r="D86" i="1" l="1"/>
  <c r="B81" i="1"/>
  <c r="B42" i="1"/>
  <c r="D87" i="1"/>
  <c r="B87" i="1" s="1"/>
</calcChain>
</file>

<file path=xl/sharedStrings.xml><?xml version="1.0" encoding="utf-8"?>
<sst xmlns="http://schemas.openxmlformats.org/spreadsheetml/2006/main" count="145" uniqueCount="117">
  <si>
    <t>0- Fator de espaço</t>
  </si>
  <si>
    <t>1- comp foil (in)</t>
  </si>
  <si>
    <t>2- comp foil (dm)</t>
  </si>
  <si>
    <t>3- F. esp. bobinag.</t>
  </si>
  <si>
    <t>4- Voltas foil</t>
  </si>
  <si>
    <t>5-  Sobre voltas</t>
  </si>
  <si>
    <t>6- Total de bobinas</t>
  </si>
  <si>
    <t>7- Esp. bobina (in)</t>
  </si>
  <si>
    <t>8- Esp. bobina (mm)</t>
  </si>
  <si>
    <t>9- Capacit/unidade</t>
  </si>
  <si>
    <t>10- Capacit/bobina</t>
  </si>
  <si>
    <t>11- diametro do mandril</t>
  </si>
  <si>
    <t>12- Volts/bobina</t>
  </si>
  <si>
    <t>13- Largura (mm)</t>
  </si>
  <si>
    <t>14- P. F. Principal</t>
  </si>
  <si>
    <t>15- 95% PF</t>
  </si>
  <si>
    <t>16- Perdas foil</t>
  </si>
  <si>
    <t>17- Peso total seção</t>
  </si>
  <si>
    <t>18- Peso papel seção</t>
  </si>
  <si>
    <t>19- Peso filme seção</t>
  </si>
  <si>
    <t>20- Peso foil seção</t>
  </si>
  <si>
    <t>21- Peso total unidade</t>
  </si>
  <si>
    <t>22- Peso papel unidade</t>
  </si>
  <si>
    <t>23- Peso filme unidade</t>
  </si>
  <si>
    <t>24- Peso foil unidade</t>
  </si>
  <si>
    <t>25- Material básico</t>
  </si>
  <si>
    <t>26- Enrolamento</t>
  </si>
  <si>
    <t>27- Dry teste</t>
  </si>
  <si>
    <t>28- Índice mandril</t>
  </si>
  <si>
    <t>29- Potência</t>
  </si>
  <si>
    <t>30- Tensão</t>
  </si>
  <si>
    <t>31- Frequência</t>
  </si>
  <si>
    <t>Modelo</t>
  </si>
  <si>
    <t>FE - Fusível externo</t>
  </si>
  <si>
    <t>NBI</t>
  </si>
  <si>
    <t># Filmes</t>
  </si>
  <si>
    <t>filme1</t>
  </si>
  <si>
    <t>filme2</t>
  </si>
  <si>
    <t>1.0</t>
  </si>
  <si>
    <t>1.1</t>
  </si>
  <si>
    <t>1.2</t>
  </si>
  <si>
    <t>Item</t>
  </si>
  <si>
    <t>Código</t>
  </si>
  <si>
    <t>Quantidade</t>
  </si>
  <si>
    <t>Descrição</t>
  </si>
  <si>
    <t>MH 400kvar 7960V</t>
  </si>
  <si>
    <t>SC Óleo</t>
  </si>
  <si>
    <t>Unidade</t>
  </si>
  <si>
    <t>pç</t>
  </si>
  <si>
    <t>kg</t>
  </si>
  <si>
    <t>B14008</t>
  </si>
  <si>
    <t>SC Pintura</t>
  </si>
  <si>
    <t>Buscar Código pela caixa</t>
  </si>
  <si>
    <t>2.0</t>
  </si>
  <si>
    <t>2.1</t>
  </si>
  <si>
    <t>2.2</t>
  </si>
  <si>
    <t>2.3</t>
  </si>
  <si>
    <t>2.4</t>
  </si>
  <si>
    <t>2.5</t>
  </si>
  <si>
    <t>2.6</t>
  </si>
  <si>
    <t>SC Grupo de Montagem</t>
  </si>
  <si>
    <t>Caixa Altura</t>
  </si>
  <si>
    <t>Caixa Largura</t>
  </si>
  <si>
    <t>SC Caixa Capacitor</t>
  </si>
  <si>
    <t>SC Tampa Capacitor</t>
  </si>
  <si>
    <t>Buscar Código pela Tampa</t>
  </si>
  <si>
    <t>Cartão Duplo</t>
  </si>
  <si>
    <t xml:space="preserve">Corrente </t>
  </si>
  <si>
    <t>Caminhos de Solda</t>
  </si>
  <si>
    <t>B02023A</t>
  </si>
  <si>
    <t>Bobina Envoltória</t>
  </si>
  <si>
    <t>2.7</t>
  </si>
  <si>
    <t>2.8</t>
  </si>
  <si>
    <t>2.9</t>
  </si>
  <si>
    <t>2.10</t>
  </si>
  <si>
    <t>2.11</t>
  </si>
  <si>
    <t>2.12</t>
  </si>
  <si>
    <t>Fio de Solda 60Sn x 40Pb</t>
  </si>
  <si>
    <t>Voltas de papel Bobina Envoltória</t>
  </si>
  <si>
    <t>Placa lateral</t>
  </si>
  <si>
    <t xml:space="preserve">Cantoneira de Isolação </t>
  </si>
  <si>
    <t>Placa Superior de Isolação</t>
  </si>
  <si>
    <t>3.0</t>
  </si>
  <si>
    <t>SC Pacote com Caixa</t>
  </si>
  <si>
    <t>Calço Lateral</t>
  </si>
  <si>
    <t>Divisor Moldado</t>
  </si>
  <si>
    <t>Grupo Série</t>
  </si>
  <si>
    <t>3.1</t>
  </si>
  <si>
    <t>3.2</t>
  </si>
  <si>
    <t>3.3</t>
  </si>
  <si>
    <t>3.4</t>
  </si>
  <si>
    <t>3.5</t>
  </si>
  <si>
    <t>B02021A</t>
  </si>
  <si>
    <t>Solda em Barra 62Snx38Zn</t>
  </si>
  <si>
    <t>Fita de Cobre 0,5 x 12mm</t>
  </si>
  <si>
    <t>4.0</t>
  </si>
  <si>
    <t>Seção Capacitiva</t>
  </si>
  <si>
    <t>4.1</t>
  </si>
  <si>
    <t>4.2</t>
  </si>
  <si>
    <t>4.3</t>
  </si>
  <si>
    <t>Folha de Aluminio</t>
  </si>
  <si>
    <t>Filme Polipropileno</t>
  </si>
  <si>
    <t xml:space="preserve">B02007D08      </t>
  </si>
  <si>
    <t>Código Capacitor</t>
  </si>
  <si>
    <t>SCSCNM</t>
  </si>
  <si>
    <t>SC Solda Cordoalha no Núcleo</t>
  </si>
  <si>
    <t>Tubo de Papel</t>
  </si>
  <si>
    <t>SC Isolação da Cordoalha</t>
  </si>
  <si>
    <t>Grupo Série Par ?</t>
  </si>
  <si>
    <t>m</t>
  </si>
  <si>
    <t>Cordoalha</t>
  </si>
  <si>
    <t>Tamanho Cordoalha em Função da Bucha</t>
  </si>
  <si>
    <t>Lista Técnica para modelos MI MH MG MF ME ST VDC</t>
  </si>
  <si>
    <t>Buscar Código planilha pintura</t>
  </si>
  <si>
    <t>Buscar Código planilha Resistor</t>
  </si>
  <si>
    <t>Buscar configuração do cálculo de resistor</t>
  </si>
  <si>
    <t>Buscar Código Planilha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</si>
</sst>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</font>
    <font>
      <sz val="11"/>
      <color theme="3" tint="-0.249977111117893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2" fontId="4" fillId="0" borderId="0" xfId="0" applyNumberFormat="1" applyFont="1"/>
    <xf numFmtId="0" fontId="6" fillId="0" borderId="2" xfId="0" applyFont="1" applyBorder="1" applyAlignment="1">
      <alignment horizontal="center" vertical="top"/>
    </xf>
    <xf numFmtId="0" fontId="7" fillId="0" borderId="3" xfId="0" applyFont="1" applyBorder="1" applyAlignment="1"/>
    <xf numFmtId="0" fontId="7" fillId="0" borderId="4" xfId="0" applyFont="1" applyBorder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116416</xdr:colOff>
      <xdr:row>49</xdr:row>
      <xdr:rowOff>13656</xdr:rowOff>
    </xdr:from>
    <xdr:to>
      <xdr:col>1</xdr:col>
      <xdr:colOff>52916</xdr:colOff>
      <xdr:row>60</xdr:row>
      <xdr:rowOff>74289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A63BAAF-F7E8-9814-C158-138EE1BA6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16" y="9348156"/>
          <a:ext cx="2455333" cy="2156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zoomScale="90" zoomScaleNormal="90" workbookViewId="0">
      <selection activeCell="H74" sqref="H74"/>
    </sheetView>
  </sheetViews>
  <sheetFormatPr defaultRowHeight="15" x14ac:dyDescent="0.25"/>
  <cols>
    <col min="1" max="1" width="37.7109375" bestFit="1" customWidth="1"/>
    <col min="2" max="2" width="38.85546875" customWidth="1"/>
    <col min="3" max="3" width="48.28515625" bestFit="1" customWidth="1"/>
    <col min="4" max="4" width="27.5703125" bestFit="1" customWidth="1"/>
  </cols>
  <sheetData>
    <row r="1" spans="1:2" x14ac:dyDescent="0.25">
      <c r="B1" s="1">
        <v>0</v>
      </c>
    </row>
    <row r="2" spans="1:2" x14ac:dyDescent="0.25">
      <c r="A2" s="1" t="s">
        <v>0</v>
      </c>
      <c r="B2">
        <v>1.3048657837482649</v>
      </c>
    </row>
    <row r="3" spans="1:2" x14ac:dyDescent="0.25">
      <c r="A3" s="1" t="s">
        <v>1</v>
      </c>
      <c r="B3">
        <v>1623.279266268218</v>
      </c>
    </row>
    <row r="4" spans="1:2" x14ac:dyDescent="0.25">
      <c r="A4" s="1" t="s">
        <v>2</v>
      </c>
      <c r="B4">
        <v>412.31293363212751</v>
      </c>
    </row>
    <row r="5" spans="1:2" x14ac:dyDescent="0.25">
      <c r="A5" s="1" t="s">
        <v>3</v>
      </c>
      <c r="B5">
        <v>1.2088508186057501</v>
      </c>
    </row>
    <row r="6" spans="1:2" x14ac:dyDescent="0.25">
      <c r="A6" s="1" t="s">
        <v>4</v>
      </c>
      <c r="B6">
        <v>112.06588446457719</v>
      </c>
    </row>
    <row r="7" spans="1:2" x14ac:dyDescent="0.25">
      <c r="A7" s="1" t="s">
        <v>5</v>
      </c>
      <c r="B7">
        <v>22.522899003262889</v>
      </c>
    </row>
    <row r="8" spans="1:2" x14ac:dyDescent="0.25">
      <c r="A8" s="1" t="s">
        <v>6</v>
      </c>
      <c r="B8">
        <v>20</v>
      </c>
    </row>
    <row r="9" spans="1:2" x14ac:dyDescent="0.25">
      <c r="A9" s="1" t="s">
        <v>7</v>
      </c>
      <c r="B9">
        <v>0.77164999999999995</v>
      </c>
    </row>
    <row r="10" spans="1:2" x14ac:dyDescent="0.25">
      <c r="A10" s="1" t="s">
        <v>8</v>
      </c>
      <c r="B10">
        <v>19.599910000000001</v>
      </c>
    </row>
    <row r="11" spans="1:2" x14ac:dyDescent="0.25">
      <c r="A11" s="1" t="s">
        <v>9</v>
      </c>
      <c r="B11">
        <v>16.745678043893609</v>
      </c>
    </row>
    <row r="12" spans="1:2" x14ac:dyDescent="0.25">
      <c r="A12" s="1" t="s">
        <v>10</v>
      </c>
      <c r="B12">
        <v>13.396542435114879</v>
      </c>
    </row>
    <row r="13" spans="1:2" x14ac:dyDescent="0.25">
      <c r="A13" s="1" t="s">
        <v>11</v>
      </c>
      <c r="B13">
        <v>4.25</v>
      </c>
    </row>
    <row r="14" spans="1:2" x14ac:dyDescent="0.25">
      <c r="A14" s="1" t="s">
        <v>12</v>
      </c>
      <c r="B14">
        <v>1990</v>
      </c>
    </row>
    <row r="15" spans="1:2" x14ac:dyDescent="0.25">
      <c r="A15" s="1" t="s">
        <v>13</v>
      </c>
      <c r="B15">
        <v>187</v>
      </c>
    </row>
    <row r="16" spans="1:2" x14ac:dyDescent="0.25">
      <c r="A16" s="1" t="s">
        <v>14</v>
      </c>
      <c r="B16">
        <v>1.2E-2</v>
      </c>
    </row>
    <row r="17" spans="1:2" x14ac:dyDescent="0.25">
      <c r="A17" s="1" t="s">
        <v>15</v>
      </c>
      <c r="B17">
        <v>1.32E-2</v>
      </c>
    </row>
    <row r="18" spans="1:2" x14ac:dyDescent="0.25">
      <c r="A18" s="1" t="s">
        <v>16</v>
      </c>
      <c r="B18">
        <v>0</v>
      </c>
    </row>
    <row r="19" spans="1:2" x14ac:dyDescent="0.25">
      <c r="A19" s="1" t="s">
        <v>17</v>
      </c>
      <c r="B19">
        <v>1.072407883827375</v>
      </c>
    </row>
    <row r="20" spans="1:2" x14ac:dyDescent="0.25">
      <c r="A20" s="1" t="s">
        <v>18</v>
      </c>
      <c r="B20">
        <v>0</v>
      </c>
    </row>
    <row r="21" spans="1:2" x14ac:dyDescent="0.25">
      <c r="A21" s="1" t="s">
        <v>19</v>
      </c>
      <c r="B21">
        <v>0.70803160599162873</v>
      </c>
    </row>
    <row r="22" spans="1:2" x14ac:dyDescent="0.25">
      <c r="A22" s="1" t="s">
        <v>20</v>
      </c>
      <c r="B22">
        <v>0.36437627783574639</v>
      </c>
    </row>
    <row r="23" spans="1:2" x14ac:dyDescent="0.25">
      <c r="A23" s="1" t="s">
        <v>21</v>
      </c>
      <c r="B23">
        <v>21.448157676547499</v>
      </c>
    </row>
    <row r="24" spans="1:2" x14ac:dyDescent="0.25">
      <c r="A24" s="1" t="s">
        <v>22</v>
      </c>
      <c r="B24">
        <v>0</v>
      </c>
    </row>
    <row r="25" spans="1:2" x14ac:dyDescent="0.25">
      <c r="A25" s="1" t="s">
        <v>23</v>
      </c>
      <c r="B25">
        <v>14.16063211983257</v>
      </c>
    </row>
    <row r="26" spans="1:2" x14ac:dyDescent="0.25">
      <c r="A26" s="1" t="s">
        <v>24</v>
      </c>
      <c r="B26">
        <v>7.287525556714928</v>
      </c>
    </row>
    <row r="27" spans="1:2" x14ac:dyDescent="0.25">
      <c r="A27" s="1" t="s">
        <v>25</v>
      </c>
      <c r="B27">
        <v>111.00887685917419</v>
      </c>
    </row>
    <row r="28" spans="1:2" x14ac:dyDescent="0.25">
      <c r="A28" s="1" t="s">
        <v>26</v>
      </c>
      <c r="B28">
        <v>6.4935243738153741</v>
      </c>
    </row>
    <row r="29" spans="1:2" x14ac:dyDescent="0.25">
      <c r="A29" s="1" t="s">
        <v>27</v>
      </c>
      <c r="B29">
        <v>3.5250720369896862</v>
      </c>
    </row>
    <row r="30" spans="1:2" x14ac:dyDescent="0.25">
      <c r="A30" s="1" t="s">
        <v>28</v>
      </c>
      <c r="B30">
        <v>1</v>
      </c>
    </row>
    <row r="31" spans="1:2" x14ac:dyDescent="0.25">
      <c r="A31" s="1" t="s">
        <v>29</v>
      </c>
      <c r="B31">
        <v>400</v>
      </c>
    </row>
    <row r="32" spans="1:2" x14ac:dyDescent="0.25">
      <c r="A32" s="1" t="s">
        <v>30</v>
      </c>
      <c r="B32">
        <v>7960</v>
      </c>
    </row>
    <row r="33" spans="1:2" x14ac:dyDescent="0.25">
      <c r="A33" s="1" t="s">
        <v>31</v>
      </c>
      <c r="B33">
        <v>60</v>
      </c>
    </row>
    <row r="34" spans="1:2" x14ac:dyDescent="0.25">
      <c r="A34" s="1" t="s">
        <v>32</v>
      </c>
      <c r="B34" t="s">
        <v>33</v>
      </c>
    </row>
    <row r="35" spans="1:2" x14ac:dyDescent="0.25">
      <c r="A35" s="1" t="s">
        <v>34</v>
      </c>
      <c r="B35">
        <v>110</v>
      </c>
    </row>
    <row r="36" spans="1:2" x14ac:dyDescent="0.25">
      <c r="A36" s="1" t="s">
        <v>35</v>
      </c>
      <c r="B36">
        <v>2</v>
      </c>
    </row>
    <row r="37" spans="1:2" x14ac:dyDescent="0.25">
      <c r="A37" s="1" t="s">
        <v>36</v>
      </c>
      <c r="B37">
        <v>55</v>
      </c>
    </row>
    <row r="38" spans="1:2" x14ac:dyDescent="0.25">
      <c r="A38" s="1" t="s">
        <v>37</v>
      </c>
      <c r="B38">
        <v>60</v>
      </c>
    </row>
    <row r="39" spans="1:2" x14ac:dyDescent="0.25">
      <c r="A39" s="5" t="s">
        <v>61</v>
      </c>
      <c r="B39" s="6">
        <v>460</v>
      </c>
    </row>
    <row r="40" spans="1:2" x14ac:dyDescent="0.25">
      <c r="A40" s="5" t="s">
        <v>62</v>
      </c>
      <c r="B40" s="6">
        <v>203</v>
      </c>
    </row>
    <row r="41" spans="1:2" x14ac:dyDescent="0.25">
      <c r="A41" s="5" t="s">
        <v>67</v>
      </c>
      <c r="B41" s="10">
        <f>(B31*1000)/B32</f>
        <v>50.251256281407038</v>
      </c>
    </row>
    <row r="42" spans="1:2" x14ac:dyDescent="0.25">
      <c r="A42" s="5" t="s">
        <v>68</v>
      </c>
      <c r="B42" s="6">
        <f>IF(B41&lt;20,1,IF(AND(B41&gt;20,B41&lt;40),2,IF(AND(B41&gt;40,B15&gt;=182),3,IF(AND(B41&gt;=40,B15&lt;=153),"2F",))))</f>
        <v>3</v>
      </c>
    </row>
    <row r="43" spans="1:2" x14ac:dyDescent="0.25">
      <c r="A43" s="5" t="s">
        <v>78</v>
      </c>
      <c r="B43" s="6">
        <f>IF(B32&lt;0.6,5,IF(AND(B32&gt;0.6,B32&lt;2400),7,IF(AND(B32&gt;2400,B32&lt;9960),9,IF(AND(B32&gt;9960,B32&lt;14440),13,IF(B32&gt;14440,17)))))</f>
        <v>9</v>
      </c>
    </row>
    <row r="44" spans="1:2" x14ac:dyDescent="0.25">
      <c r="A44" s="5" t="s">
        <v>79</v>
      </c>
      <c r="B44" s="6">
        <v>400</v>
      </c>
    </row>
    <row r="45" spans="1:2" x14ac:dyDescent="0.25">
      <c r="A45" s="5" t="s">
        <v>86</v>
      </c>
      <c r="B45" s="6">
        <v>4</v>
      </c>
    </row>
    <row r="46" spans="1:2" x14ac:dyDescent="0.25">
      <c r="A46" s="5" t="s">
        <v>108</v>
      </c>
      <c r="B46" s="8" t="b">
        <f>ISEVEN(B45)</f>
        <v>1</v>
      </c>
    </row>
    <row r="47" spans="1:2" x14ac:dyDescent="0.25">
      <c r="A47" s="5" t="s">
        <v>84</v>
      </c>
      <c r="B47" s="6">
        <v>4</v>
      </c>
    </row>
    <row r="48" spans="1:2" x14ac:dyDescent="0.25">
      <c r="A48" s="5" t="s">
        <v>103</v>
      </c>
      <c r="B48" s="6">
        <v>4875140</v>
      </c>
    </row>
    <row r="49" spans="1:5" x14ac:dyDescent="0.25">
      <c r="A49" s="5" t="s">
        <v>111</v>
      </c>
      <c r="B49" s="6">
        <f>IF(B35=60,470,IF(B35=110,660,IF(B35=125,730,IF(B35=150,820))))</f>
        <v>660</v>
      </c>
    </row>
    <row r="50" spans="1:5" x14ac:dyDescent="0.25">
      <c r="A50" s="5"/>
      <c r="B50" s="6"/>
    </row>
    <row r="51" spans="1:5" x14ac:dyDescent="0.25">
      <c r="A51" s="5"/>
      <c r="B51" s="6"/>
    </row>
    <row r="52" spans="1:5" x14ac:dyDescent="0.25">
      <c r="A52" s="5"/>
      <c r="B52" s="6"/>
    </row>
    <row r="53" spans="1:5" x14ac:dyDescent="0.25">
      <c r="A53" s="5"/>
      <c r="B53" s="6"/>
    </row>
    <row r="54" spans="1:5" x14ac:dyDescent="0.25">
      <c r="A54" s="5"/>
      <c r="B54" s="6"/>
    </row>
    <row r="55" spans="1:5" x14ac:dyDescent="0.25">
      <c r="A55" s="5"/>
      <c r="B55" s="6"/>
    </row>
    <row r="56" spans="1:5" x14ac:dyDescent="0.25">
      <c r="A56" s="5"/>
      <c r="B56" s="6"/>
    </row>
    <row r="57" spans="1:5" x14ac:dyDescent="0.25">
      <c r="A57" s="5"/>
      <c r="B57" s="6"/>
    </row>
    <row r="58" spans="1:5" x14ac:dyDescent="0.25">
      <c r="A58" s="5"/>
      <c r="B58" s="6"/>
    </row>
    <row r="59" spans="1:5" x14ac:dyDescent="0.25">
      <c r="A59" s="5"/>
      <c r="B59" s="6"/>
    </row>
    <row r="60" spans="1:5" x14ac:dyDescent="0.25">
      <c r="A60" s="5"/>
      <c r="B60" s="6"/>
    </row>
    <row r="61" spans="1:5" x14ac:dyDescent="0.25">
      <c r="A61" s="5"/>
      <c r="B61" s="6"/>
    </row>
    <row r="62" spans="1:5" ht="15.75" thickBot="1" x14ac:dyDescent="0.3">
      <c r="A62" s="5"/>
      <c r="B62" s="6"/>
    </row>
    <row r="63" spans="1:5" ht="15.75" thickBot="1" x14ac:dyDescent="0.3">
      <c r="A63" s="11" t="s">
        <v>112</v>
      </c>
      <c r="B63" s="12"/>
      <c r="C63" s="12"/>
      <c r="D63" s="12"/>
      <c r="E63" s="13"/>
    </row>
    <row r="65" spans="1:5" x14ac:dyDescent="0.25">
      <c r="A65" s="2" t="s">
        <v>41</v>
      </c>
      <c r="B65" s="14" t="s">
        <v>42</v>
      </c>
      <c r="C65" s="14" t="s">
        <v>44</v>
      </c>
      <c r="D65" s="14" t="s">
        <v>43</v>
      </c>
      <c r="E65" s="14" t="s">
        <v>47</v>
      </c>
    </row>
    <row r="66" spans="1:5" x14ac:dyDescent="0.25">
      <c r="A66" s="2" t="s">
        <v>38</v>
      </c>
      <c r="B66" s="14">
        <f>B48</f>
        <v>4875140</v>
      </c>
      <c r="C66" s="14" t="s">
        <v>45</v>
      </c>
      <c r="D66" s="14">
        <v>1</v>
      </c>
      <c r="E66" s="14" t="s">
        <v>48</v>
      </c>
    </row>
    <row r="67" spans="1:5" x14ac:dyDescent="0.25">
      <c r="A67" s="15" t="s">
        <v>39</v>
      </c>
      <c r="B67" s="3" t="s">
        <v>50</v>
      </c>
      <c r="C67" s="3" t="s">
        <v>46</v>
      </c>
      <c r="D67" s="7">
        <f>(B39*343*B40/1000000)*0.3597*0.988</f>
        <v>11.382702154824001</v>
      </c>
      <c r="E67" s="3" t="s">
        <v>49</v>
      </c>
    </row>
    <row r="68" spans="1:5" x14ac:dyDescent="0.25">
      <c r="A68" s="15" t="s">
        <v>40</v>
      </c>
      <c r="B68" s="4" t="s">
        <v>113</v>
      </c>
      <c r="C68" s="3" t="s">
        <v>51</v>
      </c>
      <c r="D68" s="3">
        <v>1</v>
      </c>
      <c r="E68" s="3" t="s">
        <v>48</v>
      </c>
    </row>
    <row r="69" spans="1:5" x14ac:dyDescent="0.25">
      <c r="A69" s="14" t="s">
        <v>53</v>
      </c>
      <c r="B69" s="14" t="str">
        <f>"GM"&amp;B48</f>
        <v>GM4875140</v>
      </c>
      <c r="C69" s="14" t="s">
        <v>60</v>
      </c>
      <c r="D69" s="14">
        <v>1</v>
      </c>
      <c r="E69" s="14" t="s">
        <v>48</v>
      </c>
    </row>
    <row r="70" spans="1:5" x14ac:dyDescent="0.25">
      <c r="A70" s="3" t="s">
        <v>54</v>
      </c>
      <c r="B70" s="4" t="s">
        <v>52</v>
      </c>
      <c r="C70" s="3" t="s">
        <v>63</v>
      </c>
      <c r="D70" s="3">
        <v>1</v>
      </c>
      <c r="E70" s="3" t="s">
        <v>48</v>
      </c>
    </row>
    <row r="71" spans="1:5" x14ac:dyDescent="0.25">
      <c r="A71" s="3" t="s">
        <v>55</v>
      </c>
      <c r="B71" s="4" t="s">
        <v>65</v>
      </c>
      <c r="C71" s="3" t="s">
        <v>64</v>
      </c>
      <c r="D71" s="3">
        <v>1</v>
      </c>
      <c r="E71" s="3" t="s">
        <v>48</v>
      </c>
    </row>
    <row r="72" spans="1:5" x14ac:dyDescent="0.25">
      <c r="A72" s="3" t="s">
        <v>56</v>
      </c>
      <c r="B72" s="4" t="s">
        <v>114</v>
      </c>
      <c r="C72" s="4" t="s">
        <v>115</v>
      </c>
      <c r="D72" s="3">
        <v>1</v>
      </c>
      <c r="E72" s="3" t="s">
        <v>48</v>
      </c>
    </row>
    <row r="73" spans="1:5" x14ac:dyDescent="0.25">
      <c r="A73" s="3" t="s">
        <v>57</v>
      </c>
      <c r="B73" s="3" t="str">
        <f>IF(B40=105,"4430521H03",IF(B40=115,"4430521H18",IF(B40=130,"4430521H01",IF(B40=140,"4430521H06",IF(B40=153,"4430521H06",IF(B40=182,"4430521H04",IF(B40=203,"4430521H08")))))))</f>
        <v>4430521H08</v>
      </c>
      <c r="C73" s="3" t="s">
        <v>66</v>
      </c>
      <c r="D73" s="3">
        <v>1</v>
      </c>
      <c r="E73" s="3" t="s">
        <v>48</v>
      </c>
    </row>
    <row r="74" spans="1:5" x14ac:dyDescent="0.25">
      <c r="A74" s="3" t="s">
        <v>58</v>
      </c>
      <c r="B74" s="3" t="s">
        <v>69</v>
      </c>
      <c r="C74" s="3" t="s">
        <v>77</v>
      </c>
      <c r="D74" s="3">
        <v>0.01</v>
      </c>
      <c r="E74" s="3" t="s">
        <v>49</v>
      </c>
    </row>
    <row r="75" spans="1:5" x14ac:dyDescent="0.25">
      <c r="A75" s="3" t="s">
        <v>59</v>
      </c>
      <c r="B75" s="3" t="str">
        <f>"BE"&amp;B43&amp;B40</f>
        <v>BE9203</v>
      </c>
      <c r="C75" s="3" t="s">
        <v>70</v>
      </c>
      <c r="D75" s="7">
        <f>((B15*1.5)+B44)/1000</f>
        <v>0.68049999999999999</v>
      </c>
      <c r="E75" s="3" t="s">
        <v>49</v>
      </c>
    </row>
    <row r="76" spans="1:5" x14ac:dyDescent="0.25">
      <c r="A76" s="3" t="s">
        <v>71</v>
      </c>
      <c r="B76" s="3" t="str">
        <f>IF(B43=9,"E00172","Usar Placa Superior de Isolação")</f>
        <v>E00172</v>
      </c>
      <c r="C76" s="3" t="s">
        <v>80</v>
      </c>
      <c r="D76" s="3">
        <v>2</v>
      </c>
      <c r="E76" s="3" t="s">
        <v>48</v>
      </c>
    </row>
    <row r="77" spans="1:5" x14ac:dyDescent="0.25">
      <c r="A77" s="3" t="s">
        <v>72</v>
      </c>
      <c r="B77" s="3" t="b">
        <f>IF(AND(B43&gt;=13,B40=105),"4430424H01",IF(AND(B43&gt;=13,B40=115),"4430424H04",IF(AND(B43&gt;=13,B40=130),"4430424H02",IF(AND(B43&gt;=13,B40=140),"4430424H08",IF(AND(B43&gt;=13,B40=153),"4430424H09",IF(AND(B43&gt;=13,B40=182),"4430424H10",IF(AND(B43&gt;=13,B40=203),"4430424H07")))))))</f>
        <v>0</v>
      </c>
      <c r="C77" s="3" t="s">
        <v>81</v>
      </c>
      <c r="D77" s="3">
        <v>1</v>
      </c>
      <c r="E77" s="3" t="s">
        <v>48</v>
      </c>
    </row>
    <row r="78" spans="1:5" x14ac:dyDescent="0.25">
      <c r="A78" s="3" t="s">
        <v>73</v>
      </c>
      <c r="B78" s="3" t="s">
        <v>104</v>
      </c>
      <c r="C78" s="3" t="s">
        <v>105</v>
      </c>
      <c r="D78" s="3">
        <v>2</v>
      </c>
      <c r="E78" s="3" t="s">
        <v>48</v>
      </c>
    </row>
    <row r="79" spans="1:5" x14ac:dyDescent="0.25">
      <c r="A79" s="3" t="s">
        <v>74</v>
      </c>
      <c r="B79" s="3" t="str">
        <f>IF(B35=60,"TU40180",IF(B35=110,"TU70250",IF(B35=125,"TU70250",IF(B35=150,"TU90340",IF(B35=200,"TU90340")))))</f>
        <v>TU70250</v>
      </c>
      <c r="C79" s="3" t="s">
        <v>106</v>
      </c>
      <c r="D79" s="3">
        <v>2</v>
      </c>
      <c r="E79" s="3" t="s">
        <v>48</v>
      </c>
    </row>
    <row r="80" spans="1:5" x14ac:dyDescent="0.25">
      <c r="A80" s="3" t="s">
        <v>75</v>
      </c>
      <c r="B80" s="3" t="str">
        <f>IF(B43=9,"SCIC9",IF(B43=13,"SCIC13",IF(B43=17,"SCIC17",IF(B43=20,"SCIC20"))))</f>
        <v>SCIC9</v>
      </c>
      <c r="C80" s="3" t="s">
        <v>107</v>
      </c>
      <c r="D80" s="9">
        <f>IF(ISEVEN(B45),SQRT(B44^2+332^2)+(B39-B44)+100,B44+(B39-B44)+100)</f>
        <v>679.83074168425242</v>
      </c>
      <c r="E80" s="3" t="s">
        <v>109</v>
      </c>
    </row>
    <row r="81" spans="1:5" x14ac:dyDescent="0.25">
      <c r="A81" s="3" t="s">
        <v>76</v>
      </c>
      <c r="B81" s="3" t="str">
        <f>IF(B41&lt;=48,"B02061C",IF(AND(B41&gt;=49,B41&lt;=80),"B02061D",IF(AND(B41&gt;=81,B41&lt;=115),"B02061G",IF(AND(B41&gt;=116,B41&lt;=150),"B02061H","Verificar"))))</f>
        <v>B02061D</v>
      </c>
      <c r="C81" s="3" t="s">
        <v>110</v>
      </c>
      <c r="D81" s="9">
        <f>IF(ISEVEN(B45),SQRT(B44^2+332^2)+(B39-B44)+B49,B44+(B39-B44)+B49)</f>
        <v>1239.8307416842524</v>
      </c>
      <c r="E81" s="3" t="s">
        <v>109</v>
      </c>
    </row>
    <row r="82" spans="1:5" x14ac:dyDescent="0.25">
      <c r="A82" s="14" t="s">
        <v>82</v>
      </c>
      <c r="B82" s="14" t="str">
        <f>"PC"&amp;B48</f>
        <v>PC4875140</v>
      </c>
      <c r="C82" s="14" t="s">
        <v>83</v>
      </c>
      <c r="D82" s="14">
        <v>1</v>
      </c>
      <c r="E82" s="14" t="s">
        <v>48</v>
      </c>
    </row>
    <row r="83" spans="1:5" x14ac:dyDescent="0.25">
      <c r="A83" s="3" t="s">
        <v>87</v>
      </c>
      <c r="B83" s="4" t="s">
        <v>116</v>
      </c>
      <c r="C83" s="3" t="s">
        <v>84</v>
      </c>
      <c r="D83" s="3">
        <v>2</v>
      </c>
      <c r="E83" s="3" t="s">
        <v>48</v>
      </c>
    </row>
    <row r="84" spans="1:5" x14ac:dyDescent="0.25">
      <c r="A84" s="3" t="s">
        <v>88</v>
      </c>
      <c r="B84" s="4" t="s">
        <v>116</v>
      </c>
      <c r="C84" s="3" t="s">
        <v>79</v>
      </c>
      <c r="D84" s="3">
        <v>2</v>
      </c>
      <c r="E84" s="3" t="s">
        <v>48</v>
      </c>
    </row>
    <row r="85" spans="1:5" x14ac:dyDescent="0.25">
      <c r="A85" s="3" t="s">
        <v>89</v>
      </c>
      <c r="B85" s="4" t="s">
        <v>116</v>
      </c>
      <c r="C85" s="3" t="s">
        <v>85</v>
      </c>
      <c r="D85" s="3">
        <f>(B45-1)*4</f>
        <v>12</v>
      </c>
      <c r="E85" s="3" t="s">
        <v>48</v>
      </c>
    </row>
    <row r="86" spans="1:5" x14ac:dyDescent="0.25">
      <c r="A86" s="3" t="s">
        <v>90</v>
      </c>
      <c r="B86" s="3" t="s">
        <v>92</v>
      </c>
      <c r="C86" s="3" t="s">
        <v>93</v>
      </c>
      <c r="D86" s="7">
        <f>IF(B41&lt;20,B10*B8*0.000843,IF(AND(B41&gt;=20,B41&lt;=40),(B10*B8*0.000843)*2,IF(B15&gt;160,(B10*B8*0.000843)*3,(B10*B8*0.000843)*2)))</f>
        <v>0.99136344779999996</v>
      </c>
      <c r="E86" s="3" t="s">
        <v>49</v>
      </c>
    </row>
    <row r="87" spans="1:5" x14ac:dyDescent="0.25">
      <c r="A87" s="3" t="s">
        <v>91</v>
      </c>
      <c r="B87" s="3" t="str">
        <f>IF(D87="Não","Não Utiliza","B02057A06")</f>
        <v>Não Utiliza</v>
      </c>
      <c r="C87" s="3" t="s">
        <v>94</v>
      </c>
      <c r="D87" s="7" t="str">
        <f>IF(AND(B41&gt;40,B15&lt;160),(B44-(B47*2))*0.5*12*8.96/1000000,"Não")</f>
        <v>Não</v>
      </c>
      <c r="E87" s="3" t="s">
        <v>49</v>
      </c>
    </row>
    <row r="88" spans="1:5" x14ac:dyDescent="0.25">
      <c r="A88" s="14" t="s">
        <v>95</v>
      </c>
      <c r="B88" s="14" t="str">
        <f>"SC"&amp;B48</f>
        <v>SC4875140</v>
      </c>
      <c r="C88" s="14" t="s">
        <v>96</v>
      </c>
      <c r="D88" s="14">
        <f>B8</f>
        <v>20</v>
      </c>
      <c r="E88" s="14" t="s">
        <v>48</v>
      </c>
    </row>
    <row r="89" spans="1:5" x14ac:dyDescent="0.25">
      <c r="A89" s="3" t="s">
        <v>97</v>
      </c>
      <c r="B89" s="3" t="s">
        <v>102</v>
      </c>
      <c r="C89" s="3" t="s">
        <v>100</v>
      </c>
      <c r="D89" s="7">
        <f>B22</f>
        <v>0.36437627783574639</v>
      </c>
      <c r="E89" s="3" t="s">
        <v>49</v>
      </c>
    </row>
    <row r="90" spans="1:5" x14ac:dyDescent="0.25">
      <c r="A90" s="3" t="s">
        <v>98</v>
      </c>
      <c r="B90" s="3" t="str">
        <f>IF(B37=24,"B03018AAD",IF(B37=40,"B03018AED",IF(B37=47,"B03018AFD",IF(B37=50,"B03018AGD",IF(B37=55,"B03018AHD",IF(B37=60,"B03018AID"))))))</f>
        <v>B03018AHD</v>
      </c>
      <c r="C90" s="3" t="s">
        <v>101</v>
      </c>
      <c r="D90" s="7">
        <f>(B21*B37)/(B37+B38)</f>
        <v>0.33862381156121374</v>
      </c>
      <c r="E90" s="3" t="s">
        <v>49</v>
      </c>
    </row>
    <row r="91" spans="1:5" x14ac:dyDescent="0.25">
      <c r="A91" s="3" t="s">
        <v>99</v>
      </c>
      <c r="B91" s="3" t="str">
        <f>IF(B38=24,"B03018AAD",IF(B38=40,"B03018AED",IF(B38=47,"B03018AFD",IF(B38=50,"B03018AGD",IF(B38=55,"B03018AHD",IF(B38=60,"B03018AID"))))))</f>
        <v>B03018AID</v>
      </c>
      <c r="C91" s="3" t="s">
        <v>101</v>
      </c>
      <c r="D91" s="7">
        <f>(B21*B38)/(B38+B37)</f>
        <v>0.36940779443041499</v>
      </c>
      <c r="E91" s="3" t="s">
        <v>49</v>
      </c>
    </row>
    <row r="92" spans="1:5" x14ac:dyDescent="0.25">
      <c r="A92" s="3"/>
      <c r="B92" s="3"/>
      <c r="C92" s="3"/>
      <c r="D92" s="7"/>
      <c r="E92" s="3"/>
    </row>
    <row r="93" spans="1:5" x14ac:dyDescent="0.25">
      <c r="A93" s="3"/>
      <c r="B93" s="3"/>
      <c r="C93" s="3"/>
    </row>
    <row r="94" spans="1:5" x14ac:dyDescent="0.25">
      <c r="A94" s="3"/>
      <c r="B94" s="3"/>
      <c r="C94" s="3"/>
    </row>
    <row r="95" spans="1:5" x14ac:dyDescent="0.25">
      <c r="A95" s="3"/>
      <c r="B95" s="3"/>
      <c r="C95" s="3"/>
    </row>
    <row r="96" spans="1:5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</sheetData>
  <mergeCells count="1">
    <mergeCell ref="A63:E6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Capacitor de potência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M. Rigoni</cp:lastModifiedBy>
  <dcterms:created xsi:type="dcterms:W3CDTF">2022-09-26T10:54:24Z</dcterms:created>
  <dcterms:modified xsi:type="dcterms:W3CDTF">2022-09-28T10:28:14Z</dcterms:modified>
</cp:coreProperties>
</file>