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molina\Desktop\GUI\"/>
    </mc:Choice>
  </mc:AlternateContent>
  <xr:revisionPtr revIDLastSave="0" documentId="13_ncr:1_{CBFB5C27-F80F-485F-8990-17F88B304C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Änderungen" sheetId="3" r:id="rId1"/>
    <sheet name="Technologiedaten" sheetId="1" r:id="rId2"/>
    <sheet name="Datenblatt (Siemens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P154" i="1"/>
  <c r="N154" i="1"/>
  <c r="M154" i="1"/>
  <c r="J154" i="1"/>
  <c r="H154" i="1"/>
  <c r="G154" i="1"/>
  <c r="F154" i="1"/>
  <c r="P178" i="1" l="1"/>
  <c r="O25" i="1" l="1"/>
  <c r="O33" i="1" s="1"/>
  <c r="O34" i="1" s="1"/>
  <c r="K25" i="1"/>
  <c r="I25" i="1"/>
  <c r="P158" i="1"/>
  <c r="P157" i="1"/>
  <c r="O26" i="1" l="1"/>
  <c r="O27" i="1" s="1"/>
  <c r="O151" i="1" s="1"/>
  <c r="K33" i="1"/>
  <c r="K34" i="1" s="1"/>
  <c r="I33" i="1"/>
  <c r="I34" i="1" s="1"/>
  <c r="P156" i="1"/>
  <c r="K26" i="1" l="1"/>
  <c r="K27" i="1" s="1"/>
  <c r="K151" i="1" s="1"/>
  <c r="I26" i="1"/>
  <c r="I27" i="1" s="1"/>
  <c r="I151" i="1" s="1"/>
  <c r="N158" i="1"/>
  <c r="N157" i="1"/>
  <c r="N156" i="1" l="1"/>
  <c r="M158" i="1" l="1"/>
  <c r="M157" i="1"/>
  <c r="M156" i="1" l="1"/>
  <c r="J158" i="1" l="1"/>
  <c r="J157" i="1"/>
  <c r="H158" i="1"/>
  <c r="H157" i="1"/>
  <c r="G158" i="1"/>
  <c r="G156" i="1"/>
  <c r="G157" i="1" l="1"/>
  <c r="J156" i="1"/>
  <c r="H156" i="1"/>
  <c r="G28" i="1" l="1"/>
  <c r="F158" i="1" l="1"/>
  <c r="F157" i="1"/>
  <c r="F156" i="1" l="1"/>
  <c r="H186" i="1"/>
  <c r="H185" i="1"/>
  <c r="H184" i="1"/>
  <c r="H183" i="1"/>
  <c r="H182" i="1"/>
  <c r="H181" i="1"/>
  <c r="H180" i="1"/>
  <c r="H179" i="1"/>
  <c r="H178" i="1"/>
  <c r="F179" i="1"/>
  <c r="F180" i="1"/>
  <c r="F181" i="1"/>
  <c r="F182" i="1"/>
  <c r="F183" i="1"/>
  <c r="F184" i="1"/>
  <c r="F185" i="1"/>
  <c r="F186" i="1"/>
  <c r="F178" i="1"/>
  <c r="H198" i="1" l="1"/>
  <c r="H197" i="1"/>
  <c r="H196" i="1"/>
  <c r="H195" i="1"/>
  <c r="H194" i="1"/>
  <c r="H193" i="1"/>
  <c r="H192" i="1"/>
  <c r="H191" i="1"/>
  <c r="H190" i="1"/>
  <c r="F193" i="1" l="1"/>
  <c r="F194" i="1"/>
  <c r="F196" i="1"/>
  <c r="F198" i="1"/>
  <c r="F191" i="1"/>
  <c r="F192" i="1"/>
  <c r="F195" i="1"/>
  <c r="F197" i="1"/>
  <c r="F190" i="1"/>
  <c r="P118" i="1" l="1"/>
  <c r="N118" i="1"/>
  <c r="M118" i="1"/>
  <c r="J118" i="1"/>
  <c r="H118" i="1"/>
  <c r="G118" i="1"/>
  <c r="F118" i="1" l="1"/>
  <c r="Q48" i="1"/>
  <c r="O48" i="1"/>
  <c r="M48" i="1"/>
  <c r="K48" i="1"/>
  <c r="I48" i="1"/>
  <c r="P48" i="1"/>
  <c r="N48" i="1"/>
  <c r="J48" i="1"/>
  <c r="H48" i="1"/>
  <c r="N99" i="1" l="1"/>
  <c r="N103" i="1" s="1"/>
  <c r="P99" i="1"/>
  <c r="P103" i="1" s="1"/>
  <c r="M99" i="1"/>
  <c r="M103" i="1" s="1"/>
  <c r="J99" i="1"/>
  <c r="J103" i="1" s="1"/>
  <c r="H99" i="1"/>
  <c r="H103" i="1" s="1"/>
  <c r="G103" i="1"/>
  <c r="F99" i="1"/>
  <c r="F103" i="1" s="1"/>
  <c r="P94" i="1"/>
  <c r="N94" i="1"/>
  <c r="M94" i="1"/>
  <c r="J94" i="1"/>
  <c r="H94" i="1"/>
  <c r="G94" i="1"/>
  <c r="F94" i="1"/>
  <c r="P87" i="1"/>
  <c r="P90" i="1" s="1"/>
  <c r="N87" i="1"/>
  <c r="N90" i="1" s="1"/>
  <c r="M87" i="1"/>
  <c r="M90" i="1" s="1"/>
  <c r="J87" i="1"/>
  <c r="J90" i="1" s="1"/>
  <c r="H87" i="1"/>
  <c r="H90" i="1" s="1"/>
  <c r="G87" i="1"/>
  <c r="G90" i="1" s="1"/>
  <c r="F87" i="1"/>
  <c r="F90" i="1" s="1"/>
  <c r="G48" i="1"/>
  <c r="F48" i="1"/>
  <c r="Q47" i="1"/>
  <c r="O47" i="1"/>
  <c r="M47" i="1"/>
  <c r="K47" i="1"/>
  <c r="I47" i="1"/>
  <c r="P47" i="1"/>
  <c r="N47" i="1"/>
  <c r="J47" i="1"/>
  <c r="H47" i="1"/>
  <c r="G47" i="1"/>
  <c r="F47" i="1"/>
  <c r="P25" i="1" l="1"/>
  <c r="N25" i="1"/>
  <c r="M25" i="1"/>
  <c r="J25" i="1"/>
  <c r="H25" i="1"/>
  <c r="G25" i="1"/>
  <c r="F25" i="1"/>
  <c r="A118" i="1" l="1"/>
  <c r="F33" i="1"/>
  <c r="F26" i="1" s="1"/>
  <c r="F27" i="1" s="1"/>
  <c r="F160" i="1" s="1"/>
  <c r="F162" i="1" s="1"/>
  <c r="G33" i="1"/>
  <c r="G26" i="1" s="1"/>
  <c r="G27" i="1" s="1"/>
  <c r="G160" i="1" s="1"/>
  <c r="G162" i="1" s="1"/>
  <c r="H33" i="1"/>
  <c r="H26" i="1" s="1"/>
  <c r="H27" i="1" s="1"/>
  <c r="H160" i="1" s="1"/>
  <c r="H162" i="1" s="1"/>
  <c r="J33" i="1"/>
  <c r="J26" i="1" s="1"/>
  <c r="J27" i="1" s="1"/>
  <c r="J160" i="1" s="1"/>
  <c r="J162" i="1" s="1"/>
  <c r="M33" i="1"/>
  <c r="M26" i="1" s="1"/>
  <c r="M27" i="1" s="1"/>
  <c r="M160" i="1" s="1"/>
  <c r="M162" i="1" s="1"/>
  <c r="N33" i="1"/>
  <c r="N26" i="1" s="1"/>
  <c r="N27" i="1" s="1"/>
  <c r="N160" i="1" s="1"/>
  <c r="N162" i="1" s="1"/>
  <c r="P33" i="1"/>
  <c r="P26" i="1" s="1"/>
  <c r="P27" i="1" s="1"/>
  <c r="P160" i="1" s="1"/>
  <c r="P162" i="1" s="1"/>
  <c r="F100" i="1"/>
  <c r="J100" i="1"/>
  <c r="M100" i="1"/>
  <c r="G100" i="1"/>
  <c r="P100" i="1"/>
  <c r="N100" i="1"/>
  <c r="H100" i="1"/>
  <c r="A100" i="1"/>
  <c r="P54" i="1"/>
  <c r="P55" i="1" s="1"/>
  <c r="N54" i="1"/>
  <c r="N55" i="1" s="1"/>
  <c r="M54" i="1"/>
  <c r="M55" i="1" s="1"/>
  <c r="J54" i="1"/>
  <c r="J55" i="1" s="1"/>
  <c r="G54" i="1"/>
  <c r="G55" i="1" s="1"/>
  <c r="H54" i="1"/>
  <c r="H55" i="1" s="1"/>
  <c r="F54" i="1"/>
  <c r="F55" i="1" s="1"/>
  <c r="A55" i="1"/>
  <c r="A54" i="1"/>
  <c r="A26" i="1"/>
  <c r="A27" i="1"/>
  <c r="A33" i="1"/>
  <c r="A34" i="1"/>
  <c r="P151" i="1" l="1"/>
  <c r="N151" i="1"/>
  <c r="M151" i="1"/>
  <c r="J151" i="1"/>
  <c r="H151" i="1"/>
  <c r="G151" i="1"/>
  <c r="F151" i="1"/>
  <c r="M101" i="1"/>
  <c r="M104" i="1"/>
  <c r="M105" i="1" s="1"/>
  <c r="N101" i="1"/>
  <c r="N104" i="1"/>
  <c r="N105" i="1" s="1"/>
  <c r="F101" i="1"/>
  <c r="F104" i="1"/>
  <c r="F105" i="1" s="1"/>
  <c r="P101" i="1"/>
  <c r="P104" i="1"/>
  <c r="P105" i="1" s="1"/>
  <c r="P159" i="1" s="1"/>
  <c r="P161" i="1" s="1"/>
  <c r="J101" i="1"/>
  <c r="J104" i="1"/>
  <c r="J105" i="1" s="1"/>
  <c r="G101" i="1"/>
  <c r="G104" i="1"/>
  <c r="G105" i="1" s="1"/>
  <c r="H101" i="1"/>
  <c r="H104" i="1"/>
  <c r="H105" i="1" s="1"/>
  <c r="P34" i="1"/>
  <c r="N34" i="1"/>
  <c r="M34" i="1"/>
  <c r="J34" i="1"/>
  <c r="H34" i="1"/>
  <c r="H106" i="1" l="1"/>
  <c r="H107" i="1" s="1"/>
  <c r="H110" i="1" s="1"/>
  <c r="H159" i="1"/>
  <c r="H161" i="1" s="1"/>
  <c r="N106" i="1"/>
  <c r="N107" i="1" s="1"/>
  <c r="N159" i="1"/>
  <c r="N161" i="1" s="1"/>
  <c r="F106" i="1"/>
  <c r="F107" i="1" s="1"/>
  <c r="F108" i="1" s="1"/>
  <c r="F159" i="1"/>
  <c r="F161" i="1" s="1"/>
  <c r="G106" i="1"/>
  <c r="G107" i="1" s="1"/>
  <c r="G110" i="1" s="1"/>
  <c r="G159" i="1"/>
  <c r="G161" i="1" s="1"/>
  <c r="J106" i="1"/>
  <c r="J107" i="1" s="1"/>
  <c r="J159" i="1"/>
  <c r="J161" i="1" s="1"/>
  <c r="M106" i="1"/>
  <c r="M107" i="1" s="1"/>
  <c r="M108" i="1" s="1"/>
  <c r="M159" i="1"/>
  <c r="M161" i="1" s="1"/>
  <c r="P106" i="1"/>
  <c r="P107" i="1" s="1"/>
  <c r="P110" i="1" s="1"/>
  <c r="H108" i="1"/>
  <c r="J110" i="1"/>
  <c r="J108" i="1"/>
  <c r="N110" i="1"/>
  <c r="N108" i="1"/>
  <c r="M110" i="1"/>
  <c r="F34" i="1"/>
  <c r="G34" i="1"/>
  <c r="F110" i="1" l="1"/>
  <c r="G108" i="1"/>
  <c r="P108" i="1"/>
</calcChain>
</file>

<file path=xl/sharedStrings.xml><?xml version="1.0" encoding="utf-8"?>
<sst xmlns="http://schemas.openxmlformats.org/spreadsheetml/2006/main" count="1288" uniqueCount="776">
  <si>
    <t>Parameter</t>
  </si>
  <si>
    <t>Einheit</t>
  </si>
  <si>
    <t>Datenübergabe</t>
  </si>
  <si>
    <t>NN</t>
  </si>
  <si>
    <t>Ø Stator innen</t>
  </si>
  <si>
    <t>Ø Stator außen</t>
  </si>
  <si>
    <t>Ø Rotor außen</t>
  </si>
  <si>
    <t>mm</t>
  </si>
  <si>
    <t>Nutfläche</t>
  </si>
  <si>
    <t>mm²</t>
  </si>
  <si>
    <t>Zahnbreite</t>
  </si>
  <si>
    <t>Kennung Technologie</t>
  </si>
  <si>
    <t>Magnethöhe</t>
  </si>
  <si>
    <t>mVs</t>
  </si>
  <si>
    <t>Drehmoment  bei einer Motorlänge von 100mm und den Durchflutungen k*250A, k = 1…..15</t>
  </si>
  <si>
    <t>Nm</t>
  </si>
  <si>
    <t>Rastmomentscheitelwert</t>
  </si>
  <si>
    <t>Windungsdaten</t>
  </si>
  <si>
    <t>Basis Induktivität</t>
  </si>
  <si>
    <t>Induktivität für N = 1</t>
  </si>
  <si>
    <t>Modell Eisenverluste</t>
  </si>
  <si>
    <t>Thermisches Modell</t>
  </si>
  <si>
    <t>Anpassung1</t>
  </si>
  <si>
    <t>Anpassung2</t>
  </si>
  <si>
    <t>D1</t>
  </si>
  <si>
    <t>D2</t>
  </si>
  <si>
    <t>D3</t>
  </si>
  <si>
    <t>D4</t>
  </si>
  <si>
    <t>D5</t>
  </si>
  <si>
    <t>Ø Rotor Nutgrund</t>
  </si>
  <si>
    <t>D6</t>
  </si>
  <si>
    <t>D7</t>
  </si>
  <si>
    <t>(Ø) min. Rotor innen</t>
  </si>
  <si>
    <t>Ø Blechpaket innen</t>
  </si>
  <si>
    <t>Ø Blechpaket Nutgrund</t>
  </si>
  <si>
    <t xml:space="preserve">Geometriedaten </t>
  </si>
  <si>
    <t xml:space="preserve">Bezeichnung </t>
  </si>
  <si>
    <t>F1</t>
  </si>
  <si>
    <t>B1</t>
  </si>
  <si>
    <t>F2</t>
  </si>
  <si>
    <t>R1</t>
  </si>
  <si>
    <t>gearde / gebogen / gesplitted</t>
  </si>
  <si>
    <t>gerade</t>
  </si>
  <si>
    <t>gebogen</t>
  </si>
  <si>
    <t xml:space="preserve">gebogen </t>
  </si>
  <si>
    <t>H</t>
  </si>
  <si>
    <t>stk.</t>
  </si>
  <si>
    <t>Magnettiefe</t>
  </si>
  <si>
    <t>T</t>
  </si>
  <si>
    <t>R2</t>
  </si>
  <si>
    <t>R3</t>
  </si>
  <si>
    <t xml:space="preserve">Rastmoment Radius </t>
  </si>
  <si>
    <t>Magnet Radius</t>
  </si>
  <si>
    <t>Grat Radius</t>
  </si>
  <si>
    <t>Seriel</t>
  </si>
  <si>
    <t>2TM</t>
  </si>
  <si>
    <t>3TM</t>
  </si>
  <si>
    <t>4TM</t>
  </si>
  <si>
    <t>5TM</t>
  </si>
  <si>
    <t>6TM</t>
  </si>
  <si>
    <t>8TM</t>
  </si>
  <si>
    <t>10TM</t>
  </si>
  <si>
    <t>12TM</t>
  </si>
  <si>
    <t>166-0412</t>
  </si>
  <si>
    <t>166-0406</t>
  </si>
  <si>
    <t>067-0064</t>
  </si>
  <si>
    <t>166-0440</t>
  </si>
  <si>
    <t>067-0063</t>
  </si>
  <si>
    <t>067-0067/0068</t>
  </si>
  <si>
    <t>Anzahl Nutflächen</t>
  </si>
  <si>
    <t xml:space="preserve">Anzahl Magnete </t>
  </si>
  <si>
    <t>166-0427</t>
  </si>
  <si>
    <t>067-0062</t>
  </si>
  <si>
    <t>166-0442</t>
  </si>
  <si>
    <t>166-0391</t>
  </si>
  <si>
    <t>067-0069/0070</t>
  </si>
  <si>
    <t>Stabmaß</t>
  </si>
  <si>
    <t>B</t>
  </si>
  <si>
    <t>Magnetbreite</t>
  </si>
  <si>
    <t>166-0328</t>
  </si>
  <si>
    <t>067-0061</t>
  </si>
  <si>
    <t>2 Schicht</t>
  </si>
  <si>
    <t>Parallel</t>
  </si>
  <si>
    <t>Außenspule</t>
  </si>
  <si>
    <t>Innenspule</t>
  </si>
  <si>
    <t>Definition lt. zng. rechts --&gt;</t>
  </si>
  <si>
    <t>Daten lt. Motor Id. ---&gt;</t>
  </si>
  <si>
    <t>Daten lt. Magnet Id. ---&gt;</t>
  </si>
  <si>
    <t>Daten lt. Spule Id. ---&gt; Innen/Außen</t>
  </si>
  <si>
    <t>182-0440/0441</t>
  </si>
  <si>
    <t>Magnetdaten</t>
  </si>
  <si>
    <t>182-0491</t>
  </si>
  <si>
    <t>182-0298/218</t>
  </si>
  <si>
    <t>182-0316/0315</t>
  </si>
  <si>
    <t>182-0444</t>
  </si>
  <si>
    <t>182-0338/0337</t>
  </si>
  <si>
    <t>182-0349</t>
  </si>
  <si>
    <t>Elektroblechsorte</t>
  </si>
  <si>
    <t>M270-50A</t>
  </si>
  <si>
    <t>Blechisolation</t>
  </si>
  <si>
    <t>Stabolit 70</t>
  </si>
  <si>
    <t xml:space="preserve">Wärmeleitfähigkeit </t>
  </si>
  <si>
    <t>Thyssenkrupp</t>
  </si>
  <si>
    <t xml:space="preserve">λ </t>
  </si>
  <si>
    <t>W/(m*K)</t>
  </si>
  <si>
    <t>Rembrandtin EB 549</t>
  </si>
  <si>
    <t>Isolationsschichtdicke</t>
  </si>
  <si>
    <t>pro Seite</t>
  </si>
  <si>
    <t xml:space="preserve">Dichte </t>
  </si>
  <si>
    <t>kg/dm³</t>
  </si>
  <si>
    <t>%</t>
  </si>
  <si>
    <t>EN 10106</t>
  </si>
  <si>
    <t>Wälzholz</t>
  </si>
  <si>
    <t>Ummagnetisierungsverluste</t>
  </si>
  <si>
    <t>(Si+Al) Gehalt</t>
  </si>
  <si>
    <t>bei 50 Hz - 1,5T</t>
  </si>
  <si>
    <t>W/kg</t>
  </si>
  <si>
    <t>bei 50 Hz - 1T</t>
  </si>
  <si>
    <t>Min. Polarisation</t>
  </si>
  <si>
    <t>2.500 (A/m)</t>
  </si>
  <si>
    <t>5.000 (A/m)</t>
  </si>
  <si>
    <t>10.000 (A/m)</t>
  </si>
  <si>
    <t>µm</t>
  </si>
  <si>
    <t>Bez. Thys.</t>
  </si>
  <si>
    <t>dm³</t>
  </si>
  <si>
    <t>kg</t>
  </si>
  <si>
    <t>Blechpakethöhe</t>
  </si>
  <si>
    <t>Eisen (ohne Isolation)</t>
  </si>
  <si>
    <t>Material-kennung</t>
  </si>
  <si>
    <t>Remanenz</t>
  </si>
  <si>
    <t>Koerzitivfeldstärke</t>
  </si>
  <si>
    <t>Energiedichte</t>
  </si>
  <si>
    <t>max.</t>
  </si>
  <si>
    <t>Tempe-</t>
  </si>
  <si>
    <t>ratur</t>
  </si>
  <si>
    <t>Br</t>
  </si>
  <si>
    <t>normal, bHc</t>
  </si>
  <si>
    <t>intrinsisch, iHc</t>
  </si>
  <si>
    <r>
      <t>(BxH)</t>
    </r>
    <r>
      <rPr>
        <sz val="7.5"/>
        <color rgb="FF504F43"/>
        <rFont val="Arial"/>
        <family val="2"/>
      </rPr>
      <t>max</t>
    </r>
  </si>
  <si>
    <t>kG</t>
  </si>
  <si>
    <t>kOe</t>
  </si>
  <si>
    <t>kA/m</t>
  </si>
  <si>
    <t>MGOe</t>
  </si>
  <si>
    <t>kJ/m3</t>
  </si>
  <si>
    <t>°C</t>
  </si>
  <si>
    <t>N35</t>
  </si>
  <si>
    <t>11.7...12.2</t>
  </si>
  <si>
    <t>1.17...1.22</t>
  </si>
  <si>
    <t>≥ 10.9</t>
  </si>
  <si>
    <t>≥ 868</t>
  </si>
  <si>
    <t>≥ 12</t>
  </si>
  <si>
    <t>≥ 955</t>
  </si>
  <si>
    <t>33...36</t>
  </si>
  <si>
    <t>263...287</t>
  </si>
  <si>
    <t>N38</t>
  </si>
  <si>
    <t>12.2...12.5</t>
  </si>
  <si>
    <t>1.22...1.25</t>
  </si>
  <si>
    <t>≥ 11.3</t>
  </si>
  <si>
    <t>≥ 899</t>
  </si>
  <si>
    <t>36...39</t>
  </si>
  <si>
    <t>287...310</t>
  </si>
  <si>
    <t>N40</t>
  </si>
  <si>
    <t>12.5...12.8</t>
  </si>
  <si>
    <t>1.25...1.28</t>
  </si>
  <si>
    <t>≥ 11.4</t>
  </si>
  <si>
    <t>≥ 907</t>
  </si>
  <si>
    <t>38...41</t>
  </si>
  <si>
    <t>302...326</t>
  </si>
  <si>
    <t>N42</t>
  </si>
  <si>
    <t>12.8...13.2</t>
  </si>
  <si>
    <t>1.28...1.32</t>
  </si>
  <si>
    <t>≥ 11.5</t>
  </si>
  <si>
    <t>≥ 915</t>
  </si>
  <si>
    <t>40...43</t>
  </si>
  <si>
    <t>318...342</t>
  </si>
  <si>
    <t>N45</t>
  </si>
  <si>
    <t>13.2...13.8</t>
  </si>
  <si>
    <t>1.32...1.38</t>
  </si>
  <si>
    <t>≥ 11.6</t>
  </si>
  <si>
    <t>≥ 923</t>
  </si>
  <si>
    <t>43...46</t>
  </si>
  <si>
    <t>342...366</t>
  </si>
  <si>
    <t>N48</t>
  </si>
  <si>
    <t>13.8...14.2</t>
  </si>
  <si>
    <t>1.38...1.42</t>
  </si>
  <si>
    <t>46...49</t>
  </si>
  <si>
    <t>366...390</t>
  </si>
  <si>
    <t>N50</t>
  </si>
  <si>
    <t>14.0...14.5</t>
  </si>
  <si>
    <t>1.40...1.45</t>
  </si>
  <si>
    <t>≥ 10.0</t>
  </si>
  <si>
    <t>≥ 796</t>
  </si>
  <si>
    <t>≥ 11</t>
  </si>
  <si>
    <t>≥ 876</t>
  </si>
  <si>
    <t>48...51</t>
  </si>
  <si>
    <t>382...406</t>
  </si>
  <si>
    <t>N52</t>
  </si>
  <si>
    <t>14.3...14.8</t>
  </si>
  <si>
    <t>1.43...1.48</t>
  </si>
  <si>
    <t>50...53</t>
  </si>
  <si>
    <t>398...422</t>
  </si>
  <si>
    <t>33M</t>
  </si>
  <si>
    <t>11.3...11.7</t>
  </si>
  <si>
    <t>1.13...1.17</t>
  </si>
  <si>
    <t>≥ 10.5</t>
  </si>
  <si>
    <t>≥ 836</t>
  </si>
  <si>
    <t>≥ 14</t>
  </si>
  <si>
    <t>≥ 1114</t>
  </si>
  <si>
    <t>31...33</t>
  </si>
  <si>
    <t>247...263</t>
  </si>
  <si>
    <t>35M</t>
  </si>
  <si>
    <t>38M</t>
  </si>
  <si>
    <t>40M</t>
  </si>
  <si>
    <t>42M</t>
  </si>
  <si>
    <t>≥ 12.0</t>
  </si>
  <si>
    <t>45M</t>
  </si>
  <si>
    <t>≥ 12.5</t>
  </si>
  <si>
    <t>≥ 995</t>
  </si>
  <si>
    <t>48M</t>
  </si>
  <si>
    <t>13.7...14.3</t>
  </si>
  <si>
    <t>1.37...1.43</t>
  </si>
  <si>
    <t>≥ 12.9</t>
  </si>
  <si>
    <t>≥ 1027</t>
  </si>
  <si>
    <t>50M</t>
  </si>
  <si>
    <t>≥ 13.0</t>
  </si>
  <si>
    <t>≥ 1033</t>
  </si>
  <si>
    <t>35H</t>
  </si>
  <si>
    <t>≥ 17</t>
  </si>
  <si>
    <t>≥ 1353</t>
  </si>
  <si>
    <t>38H</t>
  </si>
  <si>
    <t>40H</t>
  </si>
  <si>
    <t>42H</t>
  </si>
  <si>
    <t>45H</t>
  </si>
  <si>
    <t>13.2...13.6</t>
  </si>
  <si>
    <t>1.32...1.36</t>
  </si>
  <si>
    <t>≥ 12.1</t>
  </si>
  <si>
    <t>≥ 963</t>
  </si>
  <si>
    <t>48H</t>
  </si>
  <si>
    <t>35SH</t>
  </si>
  <si>
    <t>≥ 11.0</t>
  </si>
  <si>
    <t>≥ 20</t>
  </si>
  <si>
    <t>≥ 1592</t>
  </si>
  <si>
    <t>38SH</t>
  </si>
  <si>
    <t>40SH</t>
  </si>
  <si>
    <t>≥ 11.8</t>
  </si>
  <si>
    <t>≥ 939</t>
  </si>
  <si>
    <t>42SH</t>
  </si>
  <si>
    <t>≥ 12.4</t>
  </si>
  <si>
    <t>≥ 987</t>
  </si>
  <si>
    <t>45SH</t>
  </si>
  <si>
    <t>≥ 12.6</t>
  </si>
  <si>
    <t>≥ 1003</t>
  </si>
  <si>
    <t>28UH</t>
  </si>
  <si>
    <t>10.4...10.8</t>
  </si>
  <si>
    <t>1.04...1.08</t>
  </si>
  <si>
    <t>≥ 9.6</t>
  </si>
  <si>
    <t>≥ 764</t>
  </si>
  <si>
    <t>≥ 25</t>
  </si>
  <si>
    <t>≥ 1990</t>
  </si>
  <si>
    <t>26...29</t>
  </si>
  <si>
    <t>207...231</t>
  </si>
  <si>
    <t>30UH</t>
  </si>
  <si>
    <t>10.8...11.3</t>
  </si>
  <si>
    <t>1.08...1.13</t>
  </si>
  <si>
    <t>≥ 10.2</t>
  </si>
  <si>
    <t>≥ 812</t>
  </si>
  <si>
    <t>28...31</t>
  </si>
  <si>
    <t>223...247</t>
  </si>
  <si>
    <t>33UH</t>
  </si>
  <si>
    <t>≥ 10.7</t>
  </si>
  <si>
    <t>≥ 852</t>
  </si>
  <si>
    <t>31...34</t>
  </si>
  <si>
    <t>247...271</t>
  </si>
  <si>
    <t>35UH</t>
  </si>
  <si>
    <t>≥ 10.8</t>
  </si>
  <si>
    <t>≥ 860</t>
  </si>
  <si>
    <t>38UH</t>
  </si>
  <si>
    <t>40UH</t>
  </si>
  <si>
    <t>28EH</t>
  </si>
  <si>
    <t>≥ 9.8</t>
  </si>
  <si>
    <t>≥ 780</t>
  </si>
  <si>
    <t>≥ 30</t>
  </si>
  <si>
    <t>≥ 2388</t>
  </si>
  <si>
    <t>30EH</t>
  </si>
  <si>
    <t>33EH</t>
  </si>
  <si>
    <t>35EH</t>
  </si>
  <si>
    <t>38EH</t>
  </si>
  <si>
    <t>28AH</t>
  </si>
  <si>
    <t>≥ 9.9</t>
  </si>
  <si>
    <t>≥ 787</t>
  </si>
  <si>
    <t>≥ 33</t>
  </si>
  <si>
    <t>≥ 2624</t>
  </si>
  <si>
    <t>30AH</t>
  </si>
  <si>
    <t>≥ 10.3</t>
  </si>
  <si>
    <t>≥ 819</t>
  </si>
  <si>
    <t>33AH</t>
  </si>
  <si>
    <t>≥ 10.6</t>
  </si>
  <si>
    <t>≥ 843</t>
  </si>
  <si>
    <t>52M</t>
  </si>
  <si>
    <t>14.2...14.4</t>
  </si>
  <si>
    <t>1.42...1.44</t>
  </si>
  <si>
    <t>≥ 1059</t>
  </si>
  <si>
    <t>≥ 13.3</t>
  </si>
  <si>
    <t>49...53</t>
  </si>
  <si>
    <t>390...422</t>
  </si>
  <si>
    <t>Curie-Temperatur</t>
  </si>
  <si>
    <t>310 ... 370 °C</t>
  </si>
  <si>
    <t>maximale Betriebstemperatur</t>
  </si>
  <si>
    <t>60 ... 230 °C</t>
  </si>
  <si>
    <t>Temperaturkoeffizient der Remananz Br</t>
  </si>
  <si>
    <t>-0,0012 ... -0,0010 /K</t>
  </si>
  <si>
    <t>Temperaturkoeffizient der Koerzitivfeldstärke iHc</t>
  </si>
  <si>
    <t>-0,006 /K</t>
  </si>
  <si>
    <t>Wärmeleitfähigkeit</t>
  </si>
  <si>
    <t>ca. 8,5 W/(m·K)</t>
  </si>
  <si>
    <t>spezifische Wärme</t>
  </si>
  <si>
    <t>ca. 440 J/(kg·K)</t>
  </si>
  <si>
    <t>thermischer Ausdehnungskoeffizient</t>
  </si>
  <si>
    <r>
      <t>ca. 5·10</t>
    </r>
    <r>
      <rPr>
        <vertAlign val="superscript"/>
        <sz val="10"/>
        <color rgb="FF504F43"/>
        <rFont val="Arial"/>
        <family val="2"/>
      </rPr>
      <t>-6</t>
    </r>
    <r>
      <rPr>
        <sz val="10"/>
        <color rgb="FF504F43"/>
        <rFont val="Arial"/>
        <family val="2"/>
      </rPr>
      <t>/K</t>
    </r>
  </si>
  <si>
    <t>Dichte</t>
  </si>
  <si>
    <t>7,4 ... 7,5 g/cm³</t>
  </si>
  <si>
    <t>Elastizitätsmodul</t>
  </si>
  <si>
    <t>ca. 160 kN/mm²</t>
  </si>
  <si>
    <t>Biegefestigkeit</t>
  </si>
  <si>
    <t>ca. 250 N/mm²</t>
  </si>
  <si>
    <t>Druckfestigkeit</t>
  </si>
  <si>
    <t>ca. 900 N/mm²</t>
  </si>
  <si>
    <t>Vickers-Härte</t>
  </si>
  <si>
    <t>560 ... 580</t>
  </si>
  <si>
    <t>spezifischer elektischer Widerstand</t>
  </si>
  <si>
    <t>ca. 1,6 Ω·mm²/m</t>
  </si>
  <si>
    <t>Oberfläche</t>
  </si>
  <si>
    <t>Schichtaufbau</t>
  </si>
  <si>
    <t>Dicke/μm</t>
  </si>
  <si>
    <t>Farbe</t>
  </si>
  <si>
    <t>Widerstandsfähigkeit</t>
  </si>
  <si>
    <t>Passivierung</t>
  </si>
  <si>
    <t>-</t>
  </si>
  <si>
    <t>silbergrau</t>
  </si>
  <si>
    <t>vorübergehender Schutz</t>
  </si>
  <si>
    <t>Nickel</t>
  </si>
  <si>
    <t>Ni+Ni</t>
  </si>
  <si>
    <t>Ni+Cu+Ni</t>
  </si>
  <si>
    <t>10 ... 20</t>
  </si>
  <si>
    <t>silberfarben</t>
  </si>
  <si>
    <t>sehr gut gegen Feuchtigkeit</t>
  </si>
  <si>
    <t>Zink</t>
  </si>
  <si>
    <t>Zn</t>
  </si>
  <si>
    <t>C-Zn</t>
  </si>
  <si>
    <t>8 ... 20</t>
  </si>
  <si>
    <t>blau schimmernd</t>
  </si>
  <si>
    <t>farbig schillernd</t>
  </si>
  <si>
    <t>gut gegen Salznebel</t>
  </si>
  <si>
    <t>sehr gut gegen Salznebel</t>
  </si>
  <si>
    <t>Zinn</t>
  </si>
  <si>
    <t>Ni+Cu+Sn</t>
  </si>
  <si>
    <t>15 ... 20</t>
  </si>
  <si>
    <t>ausgezeichnet gegen Feuchtigkeit</t>
  </si>
  <si>
    <t>Gold</t>
  </si>
  <si>
    <t>Ni+Cu+Au</t>
  </si>
  <si>
    <t>goldfarben</t>
  </si>
  <si>
    <t>Kupfer</t>
  </si>
  <si>
    <t>Ni+Cu</t>
  </si>
  <si>
    <t>kupferfarben</t>
  </si>
  <si>
    <t>Epoxidharz</t>
  </si>
  <si>
    <t>Ni+Cu+Epoxidh.</t>
  </si>
  <si>
    <t>Zn+Epoxidharz</t>
  </si>
  <si>
    <t>15 ... 25</t>
  </si>
  <si>
    <t>schwarz, rot, grau</t>
  </si>
  <si>
    <t>sehr gut gegen Feuchtigkeit und Salznebel</t>
  </si>
  <si>
    <t>Chemisch</t>
  </si>
  <si>
    <t>Ni</t>
  </si>
  <si>
    <t>Parylene</t>
  </si>
  <si>
    <t>5 ... 20</t>
  </si>
  <si>
    <t>grau</t>
  </si>
  <si>
    <t>sehr gut gegen Feuchtigkeit und Salznebel, ausgezeichnet gegen Lösungsmittel, Gase, Säuren und Bakterien</t>
  </si>
  <si>
    <t>Magnetvolumen</t>
  </si>
  <si>
    <t>Blech Querschnittsfläche</t>
  </si>
  <si>
    <t>Magnet Querschnittsfläche</t>
  </si>
  <si>
    <t>Material</t>
  </si>
  <si>
    <t>Kennung</t>
  </si>
  <si>
    <t>M52</t>
  </si>
  <si>
    <t>N42SH</t>
  </si>
  <si>
    <t>c</t>
  </si>
  <si>
    <t>J/(kg*K)</t>
  </si>
  <si>
    <t>MegaGauss * Oerstedt</t>
  </si>
  <si>
    <t>Nd2Fe14B</t>
  </si>
  <si>
    <t>BxHxT (x Anzahl)</t>
  </si>
  <si>
    <t>Temperatur max</t>
  </si>
  <si>
    <t>Anordnung</t>
  </si>
  <si>
    <t>Blechstärke</t>
  </si>
  <si>
    <t>g/m</t>
  </si>
  <si>
    <t>IEC 60317</t>
  </si>
  <si>
    <t>Nennwiderstand</t>
  </si>
  <si>
    <t>Ω/m</t>
  </si>
  <si>
    <t>EN1977 ETP/ETP1</t>
  </si>
  <si>
    <t>spezifische Wärmekapazität</t>
  </si>
  <si>
    <t>370-400</t>
  </si>
  <si>
    <t>J/(g*K)</t>
  </si>
  <si>
    <t>Ωmm²/m</t>
  </si>
  <si>
    <t>Kufpferquerschnitt</t>
  </si>
  <si>
    <t xml:space="preserve">Kupfermasse </t>
  </si>
  <si>
    <t>20°</t>
  </si>
  <si>
    <t>Drahtwiderstrand bei</t>
  </si>
  <si>
    <t>Temperaturkoeffizent</t>
  </si>
  <si>
    <t>Widerstand</t>
  </si>
  <si>
    <t>Grade 2B - C200 / Damidbond</t>
  </si>
  <si>
    <t>Kupferdrahtisolierung</t>
  </si>
  <si>
    <t>Drahtdurchmesser</t>
  </si>
  <si>
    <t>Kupferdurchmesser</t>
  </si>
  <si>
    <t>mit Isolation</t>
  </si>
  <si>
    <t xml:space="preserve">Drahtmasse </t>
  </si>
  <si>
    <t>Kupfer + Grade 2B - C200</t>
  </si>
  <si>
    <t>m/kg</t>
  </si>
  <si>
    <t>Kupfervolumen Wickelköpfe</t>
  </si>
  <si>
    <t>pro Stator</t>
  </si>
  <si>
    <t>Spule 1</t>
  </si>
  <si>
    <t>Spule 2</t>
  </si>
  <si>
    <t>mm³</t>
  </si>
  <si>
    <t>Wickelkopfkupferanteil Spule 1</t>
  </si>
  <si>
    <t>Wickelkopfkupferanteil Spule 2</t>
  </si>
  <si>
    <t xml:space="preserve">Wickelkopfanteil </t>
  </si>
  <si>
    <t>Verhältnis Kupferanteile</t>
  </si>
  <si>
    <t>oben + unten / Exact nach CAD</t>
  </si>
  <si>
    <t xml:space="preserve">Vergussmasse </t>
  </si>
  <si>
    <t>CW2243-2 L</t>
  </si>
  <si>
    <t>HY2966</t>
  </si>
  <si>
    <t>25°C</t>
  </si>
  <si>
    <t>kV/mm</t>
  </si>
  <si>
    <t>Durchschlagsfestigkeit IEC 243</t>
  </si>
  <si>
    <t>λ (18°C) (DIN 52612)</t>
  </si>
  <si>
    <t xml:space="preserve">Temperatur max. </t>
  </si>
  <si>
    <t xml:space="preserve">Isolierstoffklasse </t>
  </si>
  <si>
    <t>Härter Wickelkopf</t>
  </si>
  <si>
    <t>CW2243-2 L + HY2966</t>
  </si>
  <si>
    <t>Härter zwischen Spulen</t>
  </si>
  <si>
    <t>g/mm</t>
  </si>
  <si>
    <t>Epoxid Wickelkopf</t>
  </si>
  <si>
    <t>Epoxid zwischen Spulen</t>
  </si>
  <si>
    <t>100 GT</t>
  </si>
  <si>
    <t>11 GT</t>
  </si>
  <si>
    <t>DW 0137-1</t>
  </si>
  <si>
    <t>5 GT</t>
  </si>
  <si>
    <t>Elektrisch (23°C)</t>
  </si>
  <si>
    <t>Farbpaste Schwarz Wickelkopf</t>
  </si>
  <si>
    <t>Farbpaste Schwarz zwischen Spulen</t>
  </si>
  <si>
    <t>Kühlmittel</t>
  </si>
  <si>
    <t>20°C</t>
  </si>
  <si>
    <t>Dichte Gemisch 30%</t>
  </si>
  <si>
    <t>Spezifische Wärmekapazität 30%</t>
  </si>
  <si>
    <t>Wärmeleitfähigkeit 30%</t>
  </si>
  <si>
    <t>kJ/kg*K</t>
  </si>
  <si>
    <t>Wasser/Tyfocor</t>
  </si>
  <si>
    <t>kg/m³</t>
  </si>
  <si>
    <t>Kinematische Viskosität</t>
  </si>
  <si>
    <t>mm²/s</t>
  </si>
  <si>
    <t>30°C</t>
  </si>
  <si>
    <t>Daten lt. Kühlgehäuse Id. ---&gt;</t>
  </si>
  <si>
    <t>dm²</t>
  </si>
  <si>
    <t>Min. Querschnitt Kühlwendel</t>
  </si>
  <si>
    <t>Gemisch</t>
  </si>
  <si>
    <t>30 Vol.-%</t>
  </si>
  <si>
    <t xml:space="preserve">Kontaktfläche </t>
  </si>
  <si>
    <t>Wall to Fluid</t>
  </si>
  <si>
    <t>139-0468/0469</t>
  </si>
  <si>
    <t>Daten lt. Vergussmasse Id. ---&gt;</t>
  </si>
  <si>
    <t>Mfunktion- Absolutwert</t>
  </si>
  <si>
    <t>Mfunktion- Linearanteil</t>
  </si>
  <si>
    <t>Mfunktion- Quad.Anteil</t>
  </si>
  <si>
    <t xml:space="preserve">2 Schicht / Parallel </t>
  </si>
  <si>
    <t>Spannungskonstante</t>
  </si>
  <si>
    <t>Drehmomentkonstante</t>
  </si>
  <si>
    <t>Verschaltungsvarianten</t>
  </si>
  <si>
    <t>Anpassung Drehmomentkonstante</t>
  </si>
  <si>
    <t>Anpassung Spannungskonstante</t>
  </si>
  <si>
    <t>Rth</t>
  </si>
  <si>
    <t>therm. Widerstand Wickelkopf Kühlung</t>
  </si>
  <si>
    <t>therm. Widerstand Blech Kühlung</t>
  </si>
  <si>
    <t>Rwk</t>
  </si>
  <si>
    <t>Rwb</t>
  </si>
  <si>
    <t>Rbk</t>
  </si>
  <si>
    <t>thermischer Gesamtwiderstand H2O</t>
  </si>
  <si>
    <t>therm. Gesamtwiderstand ungekühlt</t>
  </si>
  <si>
    <t>Rnk</t>
  </si>
  <si>
    <t>therm. Kapazität Wicklung</t>
  </si>
  <si>
    <t>Cw</t>
  </si>
  <si>
    <t>Cb</t>
  </si>
  <si>
    <t>K/W</t>
  </si>
  <si>
    <t>spezifische Wärmekapazität Stahl</t>
  </si>
  <si>
    <t>cu gewicht</t>
  </si>
  <si>
    <t>g/dm³</t>
  </si>
  <si>
    <t>cu gewicht wickelköpfe</t>
  </si>
  <si>
    <t>g</t>
  </si>
  <si>
    <t xml:space="preserve">cu gewicht nut </t>
  </si>
  <si>
    <t>cu gewicht ges.</t>
  </si>
  <si>
    <t xml:space="preserve">cu gewicht pro spule </t>
  </si>
  <si>
    <t>m</t>
  </si>
  <si>
    <t>Daten im Bemessungspunkt</t>
  </si>
  <si>
    <t>Grenzdaten</t>
  </si>
  <si>
    <t>Physikalische Konstanten</t>
  </si>
  <si>
    <t>Daten Motor-Hauptkühler</t>
  </si>
  <si>
    <t>Daten Motor-Präzisionskühler</t>
  </si>
  <si>
    <t xml:space="preserve">Randbedingungen </t>
  </si>
  <si>
    <t xml:space="preserve">Kurzbezeichnung </t>
  </si>
  <si>
    <t xml:space="preserve">Einheit </t>
  </si>
  <si>
    <t>Wert</t>
  </si>
  <si>
    <t>UDC</t>
  </si>
  <si>
    <t>TVORL</t>
  </si>
  <si>
    <t>TN</t>
  </si>
  <si>
    <t>MN</t>
  </si>
  <si>
    <t>IN</t>
  </si>
  <si>
    <t>nN</t>
  </si>
  <si>
    <t>PV,N</t>
  </si>
  <si>
    <t>MMAX</t>
  </si>
  <si>
    <t>IMAX</t>
  </si>
  <si>
    <t>PEL,MAX</t>
  </si>
  <si>
    <t>nMAX</t>
  </si>
  <si>
    <t>nMAX,MMAX</t>
  </si>
  <si>
    <t>nMAX,INV</t>
  </si>
  <si>
    <t>nMAX,0</t>
  </si>
  <si>
    <t>M0</t>
  </si>
  <si>
    <t>I0</t>
  </si>
  <si>
    <t>M0*</t>
  </si>
  <si>
    <t>I0*</t>
  </si>
  <si>
    <t>kT,20</t>
  </si>
  <si>
    <t>kE</t>
  </si>
  <si>
    <t>kM,20</t>
  </si>
  <si>
    <t>tTH</t>
  </si>
  <si>
    <t>p</t>
  </si>
  <si>
    <t>MCOG</t>
  </si>
  <si>
    <t>mS</t>
  </si>
  <si>
    <t>mL</t>
  </si>
  <si>
    <t>JL</t>
  </si>
  <si>
    <t>RSTR,20</t>
  </si>
  <si>
    <t>LSTR</t>
  </si>
  <si>
    <t>QH,MAX</t>
  </si>
  <si>
    <t>VH,MIN</t>
  </si>
  <si>
    <t>ΔTH</t>
  </si>
  <si>
    <t>ΔpH</t>
  </si>
  <si>
    <t>QP,MAX</t>
  </si>
  <si>
    <t>VP,MIN</t>
  </si>
  <si>
    <t>ΔTP</t>
  </si>
  <si>
    <t>ΔpP</t>
  </si>
  <si>
    <t>Zwischenkreisspannung</t>
  </si>
  <si>
    <t>Vorlauftemperatur der Wasserkühlung</t>
  </si>
  <si>
    <t>Bemessungstemperatur der Wicklung</t>
  </si>
  <si>
    <t>Bemessungsmoment</t>
  </si>
  <si>
    <t>Bemessungsstrom</t>
  </si>
  <si>
    <t>Bemessungsdrehzahl</t>
  </si>
  <si>
    <t>Bemessungsverlustleistung</t>
  </si>
  <si>
    <t>Maximalmoment</t>
  </si>
  <si>
    <t>Maximalstrom</t>
  </si>
  <si>
    <t>elektrische Leistung des Motors bei MMAX</t>
  </si>
  <si>
    <t>maximale Drehzahl</t>
  </si>
  <si>
    <t>maximale Drehzahl bei Maximalmoment</t>
  </si>
  <si>
    <t>maximale Drehzahl ohne VPM</t>
  </si>
  <si>
    <t>Leerlaufdrehzahl</t>
  </si>
  <si>
    <t>Drehmoment bei n = 1 min-1</t>
  </si>
  <si>
    <t>Strom bei M0 und n = 1 min-1</t>
  </si>
  <si>
    <t>thermisches Stillstandsmoment</t>
  </si>
  <si>
    <t>thermischer Stillstandsstrom</t>
  </si>
  <si>
    <t>Momentenkonstante bei 20 °C</t>
  </si>
  <si>
    <t>Motorkonstante bei 20 °C</t>
  </si>
  <si>
    <t>thermische Zeitkonstante</t>
  </si>
  <si>
    <t>Polpaarzahl</t>
  </si>
  <si>
    <t>Rastmoment</t>
  </si>
  <si>
    <t>Masse des Ständers</t>
  </si>
  <si>
    <t>Masse des Läufers</t>
  </si>
  <si>
    <t>Trägheitsmoment des Läufers</t>
  </si>
  <si>
    <t>Strangwiderstand der Wicklung bei 20 °C</t>
  </si>
  <si>
    <t>Stranginduktivität der Wicklung</t>
  </si>
  <si>
    <t>maximal abgeführte Wärmeleistung</t>
  </si>
  <si>
    <t>empfohlener Mindest-Volumenstrom</t>
  </si>
  <si>
    <t>Temperaturanstieg des Kühlmediums</t>
  </si>
  <si>
    <t>Druckabfall</t>
  </si>
  <si>
    <t>V</t>
  </si>
  <si>
    <t>C</t>
  </si>
  <si>
    <t>A</t>
  </si>
  <si>
    <t>min-1</t>
  </si>
  <si>
    <t>kW</t>
  </si>
  <si>
    <t>Nm/A</t>
  </si>
  <si>
    <t>V/(1000/min)</t>
  </si>
  <si>
    <t>Nm/(W0,5)</t>
  </si>
  <si>
    <t>s</t>
  </si>
  <si>
    <t>10-2 kgm2</t>
  </si>
  <si>
    <t>Ω</t>
  </si>
  <si>
    <t>mH</t>
  </si>
  <si>
    <t>l/min</t>
  </si>
  <si>
    <t>K</t>
  </si>
  <si>
    <t>bar</t>
  </si>
  <si>
    <t>56.3</t>
  </si>
  <si>
    <t>30.2</t>
  </si>
  <si>
    <t>66.2</t>
  </si>
  <si>
    <t>45.4</t>
  </si>
  <si>
    <t>0.121</t>
  </si>
  <si>
    <t>27.5</t>
  </si>
  <si>
    <t>4.03</t>
  </si>
  <si>
    <t>28.6</t>
  </si>
  <si>
    <t>20.2</t>
  </si>
  <si>
    <t>24.4</t>
  </si>
  <si>
    <t>6.25</t>
  </si>
  <si>
    <t>27.3</t>
  </si>
  <si>
    <t>1.15</t>
  </si>
  <si>
    <t>8.85</t>
  </si>
  <si>
    <t>3.35</t>
  </si>
  <si>
    <t>6.75</t>
  </si>
  <si>
    <t>7.14</t>
  </si>
  <si>
    <t>P305 (0)</t>
  </si>
  <si>
    <t>P311 (0)</t>
  </si>
  <si>
    <t>P314 (0)</t>
  </si>
  <si>
    <t>P316 (0)</t>
  </si>
  <si>
    <t>P322 (0)</t>
  </si>
  <si>
    <t>P323 (0)</t>
  </si>
  <si>
    <t>P338 (0)</t>
  </si>
  <si>
    <t>P341 (0)</t>
  </si>
  <si>
    <t>P307 (0)</t>
  </si>
  <si>
    <t>P312 (0)</t>
  </si>
  <si>
    <t>P317 (0)</t>
  </si>
  <si>
    <t>P318 (0)</t>
  </si>
  <si>
    <t>P319 (0)</t>
  </si>
  <si>
    <t>P320 (0)</t>
  </si>
  <si>
    <t>P326 (0)</t>
  </si>
  <si>
    <t>P327 (0)</t>
  </si>
  <si>
    <t>P328(0)</t>
  </si>
  <si>
    <t>P329 (0)</t>
  </si>
  <si>
    <t>P348 (0)</t>
  </si>
  <si>
    <t>P391 (0)</t>
  </si>
  <si>
    <t>P392 (0)</t>
  </si>
  <si>
    <t>P393 (0)</t>
  </si>
  <si>
    <t>P350 (0)</t>
  </si>
  <si>
    <t>P356 (0)</t>
  </si>
  <si>
    <t>Parametertext</t>
  </si>
  <si>
    <t>Motor-Bemessungsstrom</t>
  </si>
  <si>
    <t>Motor-Bemessungsdrehzahl</t>
  </si>
  <si>
    <t>Motor-Polpaarzahl</t>
  </si>
  <si>
    <t>Motor-Drehmomentkonstante</t>
  </si>
  <si>
    <t>Motor-Maximaldrehzahl</t>
  </si>
  <si>
    <t>Motor-Maximalstrom</t>
  </si>
  <si>
    <t>Motor-Grenzstrom</t>
  </si>
  <si>
    <t>Motor-Trägheitsmoment</t>
  </si>
  <si>
    <t>Motor-Bemessungsleistung</t>
  </si>
  <si>
    <t>Motor-Bemessungsdrehmoment</t>
  </si>
  <si>
    <t>Motor-Spannungskonstante</t>
  </si>
  <si>
    <t>Motor-Stillstandsstrom</t>
  </si>
  <si>
    <t>Motor-Stillstandsdrehmoment</t>
  </si>
  <si>
    <t>Motor-Bemessungsmagnetisierungsstrom</t>
  </si>
  <si>
    <t>Motor-Kippmomentkorrekturfaktor</t>
  </si>
  <si>
    <t>Motor-Lastwinkel optimal</t>
  </si>
  <si>
    <t>Motor-Reluktanzmomentkonstante</t>
  </si>
  <si>
    <t>Motor-Pollageidentifikation Strom</t>
  </si>
  <si>
    <t>Einsatzgeschwindigkeit Feldschwächung</t>
  </si>
  <si>
    <t>Stromregleradaption Einsatzpunkt</t>
  </si>
  <si>
    <t>Stromregleradaption P-Verstärkung</t>
  </si>
  <si>
    <t>Motor-Ständerwiderstand kalt</t>
  </si>
  <si>
    <t>Motor-Ständerstreuinduktivität</t>
  </si>
  <si>
    <t>43.8</t>
  </si>
  <si>
    <t>40.7</t>
  </si>
  <si>
    <t>57.8</t>
  </si>
  <si>
    <t>53.4</t>
  </si>
  <si>
    <t>108</t>
  </si>
  <si>
    <t>42</t>
  </si>
  <si>
    <t>1220</t>
  </si>
  <si>
    <t>1.1</t>
  </si>
  <si>
    <t>13.6</t>
  </si>
  <si>
    <t>1250</t>
  </si>
  <si>
    <t>2740</t>
  </si>
  <si>
    <t>904</t>
  </si>
  <si>
    <t>90</t>
  </si>
  <si>
    <t>0</t>
  </si>
  <si>
    <t>14.6</t>
  </si>
  <si>
    <t>155</t>
  </si>
  <si>
    <t>20.8</t>
  </si>
  <si>
    <t>53</t>
  </si>
  <si>
    <t>Aeff</t>
  </si>
  <si>
    <t>1/min</t>
  </si>
  <si>
    <t>kgm²</t>
  </si>
  <si>
    <t>Veff</t>
  </si>
  <si>
    <t>°</t>
  </si>
  <si>
    <t>Ohm</t>
  </si>
  <si>
    <t>200 HX</t>
  </si>
  <si>
    <t>200 UHX</t>
  </si>
  <si>
    <t>240 HX</t>
  </si>
  <si>
    <t>240 UHX</t>
  </si>
  <si>
    <t>310 HX</t>
  </si>
  <si>
    <t>310 UHX</t>
  </si>
  <si>
    <t>360 UHX</t>
  </si>
  <si>
    <t>410 HX</t>
  </si>
  <si>
    <t>410 UHX</t>
  </si>
  <si>
    <t>564 HX</t>
  </si>
  <si>
    <t>564 UHX</t>
  </si>
  <si>
    <t>360 HX</t>
  </si>
  <si>
    <t>nicht in Planung</t>
  </si>
  <si>
    <t>in Planung</t>
  </si>
  <si>
    <t>lfde. Nr.</t>
  </si>
  <si>
    <t>Datum</t>
  </si>
  <si>
    <t>Wer</t>
  </si>
  <si>
    <t>Was</t>
  </si>
  <si>
    <t>Wo</t>
  </si>
  <si>
    <t>Bemerkung</t>
  </si>
  <si>
    <t>Version</t>
  </si>
  <si>
    <t>R.W.</t>
  </si>
  <si>
    <t>Änderungen</t>
  </si>
  <si>
    <t>Änderungsmappe eingefügt</t>
  </si>
  <si>
    <t xml:space="preserve">UHT </t>
  </si>
  <si>
    <t>Technologiedaten</t>
  </si>
  <si>
    <t>Geometriedaten eingefügt</t>
  </si>
  <si>
    <t>Dateinname</t>
  </si>
  <si>
    <t>YYYY/MM/DD Technologiedaten Online</t>
  </si>
  <si>
    <t>Syntax Name der Datei</t>
  </si>
  <si>
    <t>Verschaltung</t>
  </si>
  <si>
    <t>Bezeichnung TM raus</t>
  </si>
  <si>
    <t>Wunsch S.Klein</t>
  </si>
  <si>
    <t>therm. Zeitkonstanrte Wicklung</t>
  </si>
  <si>
    <t>therm. Zeitkonstante Blech</t>
  </si>
  <si>
    <t>Tw</t>
  </si>
  <si>
    <t>Tb</t>
  </si>
  <si>
    <t>Ws/K</t>
  </si>
  <si>
    <t>Koeff. Hysterese in W/kg</t>
  </si>
  <si>
    <t>Koeff. Wirbelstrom in W/kg</t>
  </si>
  <si>
    <t>Exponent Wirbelstrom</t>
  </si>
  <si>
    <t>Exponent Flussdichte</t>
  </si>
  <si>
    <r>
      <t>B</t>
    </r>
    <r>
      <rPr>
        <vertAlign val="subscript"/>
        <sz val="10"/>
        <color theme="1"/>
        <rFont val="Arial"/>
        <family val="2"/>
      </rPr>
      <t>max</t>
    </r>
  </si>
  <si>
    <r>
      <t>V</t>
    </r>
    <r>
      <rPr>
        <vertAlign val="subscript"/>
        <sz val="10"/>
        <color theme="1"/>
        <rFont val="Arial"/>
        <family val="2"/>
      </rPr>
      <t>H</t>
    </r>
  </si>
  <si>
    <r>
      <t>V</t>
    </r>
    <r>
      <rPr>
        <vertAlign val="subscript"/>
        <sz val="10"/>
        <color theme="1"/>
        <rFont val="Arial"/>
        <family val="2"/>
      </rPr>
      <t>W</t>
    </r>
  </si>
  <si>
    <t>a</t>
  </si>
  <si>
    <t>b</t>
  </si>
  <si>
    <r>
      <t>k</t>
    </r>
    <r>
      <rPr>
        <vertAlign val="subscript"/>
        <sz val="10"/>
        <color theme="1"/>
        <rFont val="Arial"/>
        <family val="2"/>
      </rPr>
      <t>b</t>
    </r>
  </si>
  <si>
    <t>Masse Blechpaket</t>
  </si>
  <si>
    <t>mb</t>
  </si>
  <si>
    <t>α20Cu</t>
  </si>
  <si>
    <t>J.H.</t>
  </si>
  <si>
    <t>Korrektur Temp.Koeffizient Cu in Z89, Berechnung Strangwiderstand in Z96, zwei Leerzeilen in Z139, 140 für Induktivitäten, Eisenverlustmodel in Z142 - 149</t>
  </si>
  <si>
    <t>Weiterentwicklung</t>
  </si>
  <si>
    <t>thermischen Modell in Z151-160, Daten für 564-100</t>
  </si>
  <si>
    <t>Drahtlänge pro Spule</t>
  </si>
  <si>
    <t>Zellen "G 103-108" kopiert</t>
  </si>
  <si>
    <t xml:space="preserve">Drahtlänge Spule </t>
  </si>
  <si>
    <t>in "F- M- N- P (103-106)"</t>
  </si>
  <si>
    <t xml:space="preserve">Strangwiderstand </t>
  </si>
  <si>
    <t>Seriell verschaltet</t>
  </si>
  <si>
    <t>errechnet</t>
  </si>
  <si>
    <t>Widerstand pro Spule</t>
  </si>
  <si>
    <t>0,126 Ω (23°C)</t>
  </si>
  <si>
    <t>0,210 Ω (20°C)</t>
  </si>
  <si>
    <t>0,182 Ω (23°C)</t>
  </si>
  <si>
    <t>0,216 Ω (25°C)</t>
  </si>
  <si>
    <t>0,240 Ω (20°C)</t>
  </si>
  <si>
    <t>Lt. Spulenhersteller gemessen</t>
  </si>
  <si>
    <t>Zeilen "108-110" hinzu</t>
  </si>
  <si>
    <t>Spulenwiderstände</t>
  </si>
  <si>
    <t>Zeile 109 (aus Prüfbericht KUK")</t>
  </si>
  <si>
    <r>
      <t xml:space="preserve">mag. Flussdichte in T             </t>
    </r>
    <r>
      <rPr>
        <b/>
        <sz val="10"/>
        <color rgb="FFFF0000"/>
        <rFont val="Arial"/>
        <family val="2"/>
      </rPr>
      <t>Vorläufig</t>
    </r>
  </si>
  <si>
    <r>
      <t xml:space="preserve">Korrektur Blechdicke             </t>
    </r>
    <r>
      <rPr>
        <b/>
        <sz val="10"/>
        <color rgb="FFFF0000"/>
        <rFont val="Arial"/>
        <family val="2"/>
      </rPr>
      <t>Vorläufig</t>
    </r>
  </si>
  <si>
    <t>spez. Wärmekapazität Epoxy</t>
  </si>
  <si>
    <t>Zeile 120 neu</t>
  </si>
  <si>
    <t>Eisenverlustmdelle Zahlenwerte</t>
  </si>
  <si>
    <t>Zeilen 145 - 151</t>
  </si>
  <si>
    <t>Korrektur Blechdicke und mag. Flussdichte Vorläufig</t>
  </si>
  <si>
    <t>Wert 1 J/(g*K)</t>
  </si>
  <si>
    <t>Zeilen 154 - 163</t>
  </si>
  <si>
    <t>flächenbezogene Flussscheitelwert</t>
  </si>
  <si>
    <t>Φ</t>
  </si>
  <si>
    <t>neue Zeile 177</t>
  </si>
  <si>
    <t>Übernahme aus Simulationsergebnissen</t>
  </si>
  <si>
    <t>Ergänzung flächenbezogenen Fluss</t>
  </si>
  <si>
    <t>Scheitel- und Strangwert</t>
  </si>
  <si>
    <t>Vs</t>
  </si>
  <si>
    <t>Änderung "Simulationsergebnisse" in "Drehmomentkonstante" und Inhalt Zeile 58 nach Zeile 177 (Flussscheitelwert)</t>
  </si>
  <si>
    <t>thermisches Modell: Berechnung Wärmekapazität Kupfer incl. Epoxy zw. Spulen, Berechnung der Zeitkonstanten, Masse Blech um Masse der Kühlehülse erweitert</t>
  </si>
  <si>
    <t xml:space="preserve"> Zeile 57 und Teile 177</t>
  </si>
  <si>
    <t xml:space="preserve">therm. Kapazität Blech </t>
  </si>
  <si>
    <t>Masse der Kühlhülse mit D1 und D2 sowie Motorlänge, zusätzlich 15mm auf jeder Seite für Überstand</t>
  </si>
  <si>
    <t>Längenanpassung Rth und Rwk=konstant</t>
  </si>
  <si>
    <t>Zeile 154 und 155</t>
  </si>
  <si>
    <t>therm. Widerstand Wicklung-Blech</t>
  </si>
  <si>
    <t>pro-stk.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</si>
</sst>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0#&quot; stk.&quot;"/>
    <numFmt numFmtId="165" formatCode="0.00#&quot; mm&quot;"/>
    <numFmt numFmtId="166" formatCode="0.00#&quot; mm²&quot;"/>
    <numFmt numFmtId="167" formatCode="0#&quot; Wndg.&quot;"/>
    <numFmt numFmtId="168" formatCode="#&quot; µm&quot;"/>
    <numFmt numFmtId="169" formatCode="0.00#&quot; dm³&quot;"/>
    <numFmt numFmtId="170" formatCode="0.0#&quot; kg&quot;"/>
    <numFmt numFmtId="171" formatCode="0.00#&quot; kg&quot;"/>
    <numFmt numFmtId="172" formatCode="0#&quot; mm&quot;"/>
    <numFmt numFmtId="173" formatCode="0.00000#&quot; dm³&quot;"/>
    <numFmt numFmtId="174" formatCode="0.0#&quot; mm²&quot;"/>
    <numFmt numFmtId="175" formatCode="0.00#&quot; g&quot;"/>
    <numFmt numFmtId="176" formatCode="0.0#&quot; mm&quot;"/>
    <numFmt numFmtId="177" formatCode="0.0000#&quot; Ω&quot;"/>
    <numFmt numFmtId="178" formatCode="0#&quot; °C&quot;"/>
    <numFmt numFmtId="179" formatCode="0.00000#&quot; Ω&quot;"/>
    <numFmt numFmtId="180" formatCode="0.0000#&quot; mm&quot;"/>
    <numFmt numFmtId="181" formatCode="0#&quot; m&quot;"/>
    <numFmt numFmtId="182" formatCode="0.0000#&quot; dm³&quot;"/>
    <numFmt numFmtId="183" formatCode="0.00\'&quot; mm³&quot;"/>
    <numFmt numFmtId="184" formatCode="0.00#&quot; mm³&quot;"/>
    <numFmt numFmtId="185" formatCode="0.000"/>
    <numFmt numFmtId="186" formatCode="0#&quot; g&quot;"/>
    <numFmt numFmtId="187" formatCode="0.000#&quot; g&quot;"/>
    <numFmt numFmtId="188" formatCode="0.0000"/>
    <numFmt numFmtId="189" formatCode="0.0"/>
    <numFmt numFmtId="190" formatCode="0.000000"/>
  </numFmts>
  <fonts count="2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504F43"/>
      <name val="Arial"/>
      <family val="2"/>
    </font>
    <font>
      <sz val="7.5"/>
      <color rgb="FF504F43"/>
      <name val="Arial"/>
      <family val="2"/>
    </font>
    <font>
      <u/>
      <sz val="11"/>
      <color theme="10"/>
      <name val="Calibri"/>
      <family val="2"/>
      <scheme val="minor"/>
    </font>
    <font>
      <vertAlign val="superscript"/>
      <sz val="10"/>
      <color rgb="FF504F43"/>
      <name val="Arial"/>
      <family val="2"/>
    </font>
    <font>
      <b/>
      <sz val="10"/>
      <color rgb="FF504F43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7.5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D7C1"/>
        <bgColor indexed="64"/>
      </patternFill>
    </fill>
    <fill>
      <patternFill patternType="solid">
        <fgColor rgb="FFD0D8D8"/>
        <bgColor indexed="64"/>
      </patternFill>
    </fill>
    <fill>
      <patternFill patternType="solid">
        <fgColor rgb="FFD8E0E0"/>
        <bgColor indexed="64"/>
      </patternFill>
    </fill>
    <fill>
      <patternFill patternType="solid">
        <fgColor rgb="FFD8D8D0"/>
        <bgColor indexed="64"/>
      </patternFill>
    </fill>
    <fill>
      <patternFill patternType="solid">
        <fgColor rgb="FFE0E0D8"/>
        <bgColor indexed="64"/>
      </patternFill>
    </fill>
    <fill>
      <patternFill patternType="solid">
        <fgColor rgb="FFE0D8C8"/>
        <bgColor indexed="64"/>
      </patternFill>
    </fill>
    <fill>
      <patternFill patternType="solid">
        <fgColor rgb="FFE8E0C0"/>
        <bgColor indexed="64"/>
      </patternFill>
    </fill>
    <fill>
      <patternFill patternType="solid">
        <fgColor rgb="FFE8D8C0"/>
        <bgColor indexed="64"/>
      </patternFill>
    </fill>
    <fill>
      <patternFill patternType="solid">
        <fgColor rgb="FFF0E0B8"/>
        <bgColor indexed="64"/>
      </patternFill>
    </fill>
    <fill>
      <patternFill patternType="solid">
        <fgColor rgb="FFF0D8B8"/>
        <bgColor indexed="64"/>
      </patternFill>
    </fill>
    <fill>
      <patternFill patternType="solid">
        <fgColor rgb="FFF8E0B0"/>
        <bgColor indexed="64"/>
      </patternFill>
    </fill>
    <fill>
      <patternFill patternType="solid">
        <fgColor rgb="FFF8D8B0"/>
        <bgColor indexed="64"/>
      </patternFill>
    </fill>
    <fill>
      <patternFill patternType="solid">
        <fgColor rgb="FFFFE0A8"/>
        <bgColor indexed="64"/>
      </patternFill>
    </fill>
    <fill>
      <patternFill patternType="solid">
        <fgColor rgb="FFF8D09C"/>
        <bgColor indexed="64"/>
      </patternFill>
    </fill>
    <fill>
      <patternFill patternType="solid">
        <fgColor rgb="FFFFD8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Alignment="1"/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5" fillId="2" borderId="0" xfId="0" applyFont="1" applyFill="1"/>
    <xf numFmtId="0" fontId="3" fillId="2" borderId="0" xfId="0" applyFont="1" applyFill="1"/>
    <xf numFmtId="0" fontId="3" fillId="0" borderId="0" xfId="0" applyFont="1"/>
    <xf numFmtId="0" fontId="5" fillId="2" borderId="0" xfId="0" applyFont="1" applyFill="1" applyAlignment="1">
      <alignment horizontal="left"/>
    </xf>
    <xf numFmtId="9" fontId="0" fillId="0" borderId="0" xfId="1" applyFont="1"/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8" fontId="0" fillId="0" borderId="0" xfId="0" quotePrefix="1" applyNumberFormat="1" applyAlignment="1">
      <alignment horizontal="left"/>
    </xf>
    <xf numFmtId="0" fontId="7" fillId="2" borderId="0" xfId="0" applyFont="1" applyFill="1"/>
    <xf numFmtId="166" fontId="3" fillId="2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9" fillId="16" borderId="0" xfId="0" applyFont="1" applyFill="1" applyAlignment="1">
      <alignment horizontal="center" vertical="center" wrapText="1"/>
    </xf>
    <xf numFmtId="0" fontId="9" fillId="17" borderId="0" xfId="0" applyFont="1" applyFill="1" applyAlignment="1">
      <alignment horizontal="center" vertical="center" wrapText="1"/>
    </xf>
    <xf numFmtId="0" fontId="9" fillId="18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17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/>
    </xf>
    <xf numFmtId="174" fontId="0" fillId="0" borderId="0" xfId="0" applyNumberFormat="1" applyAlignment="1">
      <alignment horizontal="left"/>
    </xf>
    <xf numFmtId="0" fontId="2" fillId="19" borderId="0" xfId="0" applyFont="1" applyFill="1"/>
    <xf numFmtId="172" fontId="0" fillId="19" borderId="0" xfId="0" applyNumberFormat="1" applyFill="1" applyAlignment="1">
      <alignment horizontal="left"/>
    </xf>
    <xf numFmtId="169" fontId="0" fillId="19" borderId="0" xfId="0" applyNumberFormat="1" applyFill="1" applyAlignment="1">
      <alignment horizontal="left"/>
    </xf>
    <xf numFmtId="170" fontId="0" fillId="19" borderId="0" xfId="0" applyNumberFormat="1" applyFill="1" applyAlignment="1">
      <alignment horizontal="left"/>
    </xf>
    <xf numFmtId="171" fontId="0" fillId="19" borderId="0" xfId="0" applyNumberFormat="1" applyFill="1" applyAlignment="1">
      <alignment horizontal="left"/>
    </xf>
    <xf numFmtId="0" fontId="14" fillId="0" borderId="0" xfId="0" applyFont="1"/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6" fillId="0" borderId="0" xfId="0" applyFont="1" applyFill="1"/>
    <xf numFmtId="0" fontId="14" fillId="0" borderId="0" xfId="0" applyFont="1" applyFill="1"/>
    <xf numFmtId="166" fontId="14" fillId="0" borderId="0" xfId="0" applyNumberFormat="1" applyFont="1" applyFill="1" applyAlignment="1">
      <alignment horizontal="left"/>
    </xf>
    <xf numFmtId="165" fontId="14" fillId="0" borderId="0" xfId="0" applyNumberFormat="1" applyFont="1" applyFill="1" applyAlignment="1">
      <alignment horizontal="left"/>
    </xf>
    <xf numFmtId="175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178" fontId="0" fillId="3" borderId="0" xfId="0" applyNumberFormat="1" applyFill="1" applyAlignment="1">
      <alignment horizontal="left"/>
    </xf>
    <xf numFmtId="179" fontId="0" fillId="19" borderId="0" xfId="0" applyNumberFormat="1" applyFill="1" applyAlignment="1">
      <alignment horizontal="left"/>
    </xf>
    <xf numFmtId="180" fontId="0" fillId="0" borderId="0" xfId="0" applyNumberFormat="1" applyAlignment="1">
      <alignment horizontal="left"/>
    </xf>
    <xf numFmtId="181" fontId="0" fillId="0" borderId="0" xfId="0" applyNumberFormat="1" applyAlignment="1">
      <alignment horizontal="left"/>
    </xf>
    <xf numFmtId="182" fontId="0" fillId="0" borderId="0" xfId="0" applyNumberFormat="1" applyAlignment="1">
      <alignment horizontal="left"/>
    </xf>
    <xf numFmtId="183" fontId="0" fillId="0" borderId="0" xfId="0" applyNumberFormat="1" applyAlignment="1">
      <alignment horizontal="left"/>
    </xf>
    <xf numFmtId="184" fontId="0" fillId="0" borderId="0" xfId="0" applyNumberFormat="1" applyAlignment="1">
      <alignment horizontal="left"/>
    </xf>
    <xf numFmtId="185" fontId="0" fillId="0" borderId="0" xfId="0" applyNumberForma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0" applyNumberFormat="1"/>
    <xf numFmtId="1" fontId="0" fillId="0" borderId="0" xfId="1" applyNumberFormat="1" applyFont="1" applyAlignment="1">
      <alignment horizontal="left"/>
    </xf>
    <xf numFmtId="186" fontId="0" fillId="0" borderId="0" xfId="1" applyNumberFormat="1" applyFont="1" applyAlignment="1">
      <alignment horizontal="left"/>
    </xf>
    <xf numFmtId="178" fontId="0" fillId="0" borderId="0" xfId="1" applyNumberFormat="1" applyFont="1" applyAlignment="1">
      <alignment horizontal="left"/>
    </xf>
    <xf numFmtId="178" fontId="0" fillId="0" borderId="0" xfId="0" applyNumberFormat="1" applyAlignment="1">
      <alignment horizontal="left"/>
    </xf>
    <xf numFmtId="187" fontId="0" fillId="0" borderId="0" xfId="1" applyNumberFormat="1" applyFont="1" applyAlignment="1">
      <alignment horizontal="left"/>
    </xf>
    <xf numFmtId="0" fontId="2" fillId="0" borderId="0" xfId="0" applyFont="1" applyFill="1"/>
    <xf numFmtId="182" fontId="0" fillId="19" borderId="0" xfId="0" applyNumberFormat="1" applyFill="1" applyAlignment="1">
      <alignment horizontal="left"/>
    </xf>
    <xf numFmtId="10" fontId="0" fillId="19" borderId="0" xfId="1" applyNumberFormat="1" applyFont="1" applyFill="1" applyAlignment="1">
      <alignment horizontal="left"/>
    </xf>
    <xf numFmtId="171" fontId="0" fillId="19" borderId="0" xfId="1" applyNumberFormat="1" applyFont="1" applyFill="1" applyAlignment="1">
      <alignment horizontal="left"/>
    </xf>
    <xf numFmtId="0" fontId="0" fillId="0" borderId="0" xfId="1" applyNumberFormat="1" applyFont="1"/>
    <xf numFmtId="0" fontId="17" fillId="2" borderId="0" xfId="0" applyFont="1" applyFill="1"/>
    <xf numFmtId="2" fontId="3" fillId="2" borderId="0" xfId="1" applyNumberFormat="1" applyFont="1" applyFill="1" applyAlignment="1">
      <alignment horizontal="left"/>
    </xf>
    <xf numFmtId="0" fontId="3" fillId="2" borderId="0" xfId="1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9" fontId="0" fillId="0" borderId="0" xfId="0" applyNumberFormat="1"/>
    <xf numFmtId="185" fontId="0" fillId="0" borderId="0" xfId="1" applyNumberFormat="1" applyFont="1" applyAlignment="1">
      <alignment horizontal="left"/>
    </xf>
    <xf numFmtId="0" fontId="0" fillId="0" borderId="0" xfId="0" applyFont="1" applyFill="1"/>
    <xf numFmtId="2" fontId="0" fillId="0" borderId="0" xfId="0" applyNumberFormat="1" applyFont="1" applyFill="1"/>
    <xf numFmtId="2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188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190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5" fillId="20" borderId="0" xfId="0" applyFont="1" applyFill="1" applyAlignment="1">
      <alignment horizontal="left"/>
    </xf>
    <xf numFmtId="49" fontId="5" fillId="2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8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83" fontId="0" fillId="21" borderId="0" xfId="0" applyNumberFormat="1" applyFill="1" applyAlignment="1">
      <alignment horizontal="left"/>
    </xf>
    <xf numFmtId="0" fontId="2" fillId="23" borderId="0" xfId="0" applyFont="1" applyFill="1"/>
    <xf numFmtId="0" fontId="16" fillId="23" borderId="0" xfId="0" applyFont="1" applyFill="1"/>
    <xf numFmtId="0" fontId="0" fillId="23" borderId="0" xfId="0" applyFill="1"/>
    <xf numFmtId="0" fontId="0" fillId="22" borderId="0" xfId="0" applyFill="1"/>
    <xf numFmtId="0" fontId="0" fillId="0" borderId="0" xfId="0" applyFill="1"/>
    <xf numFmtId="179" fontId="0" fillId="23" borderId="0" xfId="0" applyNumberFormat="1" applyFill="1" applyAlignment="1">
      <alignment horizontal="left"/>
    </xf>
    <xf numFmtId="0" fontId="0" fillId="23" borderId="0" xfId="0" applyFont="1" applyFill="1" applyAlignment="1">
      <alignment horizontal="left"/>
    </xf>
    <xf numFmtId="164" fontId="0" fillId="23" borderId="0" xfId="0" applyNumberFormat="1" applyFont="1" applyFill="1" applyAlignment="1">
      <alignment horizontal="left"/>
    </xf>
    <xf numFmtId="0" fontId="13" fillId="23" borderId="0" xfId="0" applyFont="1" applyFill="1"/>
    <xf numFmtId="0" fontId="0" fillId="23" borderId="0" xfId="0" applyFill="1" applyAlignment="1">
      <alignment horizontal="left"/>
    </xf>
    <xf numFmtId="0" fontId="9" fillId="23" borderId="0" xfId="0" applyFont="1" applyFill="1" applyAlignment="1">
      <alignment horizontal="center" vertical="center" wrapText="1"/>
    </xf>
    <xf numFmtId="0" fontId="14" fillId="23" borderId="0" xfId="0" applyFont="1" applyFill="1"/>
    <xf numFmtId="177" fontId="0" fillId="23" borderId="0" xfId="0" applyNumberFormat="1" applyFill="1" applyAlignment="1">
      <alignment horizontal="left"/>
    </xf>
    <xf numFmtId="0" fontId="0" fillId="2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left"/>
    </xf>
    <xf numFmtId="0" fontId="8" fillId="4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0" fillId="4" borderId="0" xfId="2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571499</xdr:colOff>
      <xdr:row>5</xdr:row>
      <xdr:rowOff>145676</xdr:rowOff>
    </xdr:from>
    <xdr:to>
      <xdr:col>30</xdr:col>
      <xdr:colOff>45719</xdr:colOff>
      <xdr:row>32</xdr:row>
      <xdr:rowOff>166145</xdr:rowOff>
    </xdr:to>
    <xdr:grpSp>
      <xdr:nvGrpSpPr>
        <xdr:cNvPr id="7" name="Group 2871">
          <a:extLst>
            <a:ext uri="{FF2B5EF4-FFF2-40B4-BE49-F238E27FC236}">
              <a16:creationId xmlns:a16="http://schemas.microsoft.com/office/drawing/2014/main" id="{5CA720BB-B5BB-4E77-AD2F-88F0B5CC924C}"/>
            </a:ext>
          </a:extLst>
        </xdr:cNvPr>
        <xdr:cNvGrpSpPr/>
      </xdr:nvGrpSpPr>
      <xdr:grpSpPr>
        <a:xfrm>
          <a:off x="25072040" y="1275229"/>
          <a:ext cx="9729844" cy="4933128"/>
          <a:chOff x="0" y="0"/>
          <a:chExt cx="9380729" cy="5108449"/>
        </a:xfrm>
      </xdr:grpSpPr>
      <xdr:pic>
        <xdr:nvPicPr>
          <xdr:cNvPr id="11" name="Picture 2863">
            <a:extLst>
              <a:ext uri="{FF2B5EF4-FFF2-40B4-BE49-F238E27FC236}">
                <a16:creationId xmlns:a16="http://schemas.microsoft.com/office/drawing/2014/main" id="{9FDD833B-61A2-45AC-BAC4-23E7CD4B9B1A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4038600" cy="5108449"/>
          </a:xfrm>
          <a:prstGeom prst="rect">
            <a:avLst/>
          </a:prstGeom>
        </xdr:spPr>
      </xdr:pic>
      <xdr:pic>
        <xdr:nvPicPr>
          <xdr:cNvPr id="12" name="Picture 2865">
            <a:extLst>
              <a:ext uri="{FF2B5EF4-FFF2-40B4-BE49-F238E27FC236}">
                <a16:creationId xmlns:a16="http://schemas.microsoft.com/office/drawing/2014/main" id="{B30C9882-2010-4793-97B5-F622C9B6B991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02048" y="191008"/>
            <a:ext cx="4678681" cy="415137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73</xdr:row>
      <xdr:rowOff>0</xdr:rowOff>
    </xdr:from>
    <xdr:to>
      <xdr:col>8</xdr:col>
      <xdr:colOff>292869</xdr:colOff>
      <xdr:row>108</xdr:row>
      <xdr:rowOff>162878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9195810-BA59-4EE8-ADF8-9BCD68916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84941"/>
          <a:ext cx="10860016" cy="68303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8</xdr:col>
      <xdr:colOff>273816</xdr:colOff>
      <xdr:row>146</xdr:row>
      <xdr:rowOff>10484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718EA62-DF91-4422-B0D0-D5CF3A866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033441"/>
          <a:ext cx="10840963" cy="6868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8</xdr:col>
      <xdr:colOff>273816</xdr:colOff>
      <xdr:row>183</xdr:row>
      <xdr:rowOff>10484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C0DAC3E-74B8-4EE1-9545-AB560344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081941"/>
          <a:ext cx="10840963" cy="6868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8</xdr:col>
      <xdr:colOff>264290</xdr:colOff>
      <xdr:row>219</xdr:row>
      <xdr:rowOff>181931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C915236-6954-445F-8966-01A3BD6F8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130441"/>
          <a:ext cx="10831437" cy="68494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8</xdr:col>
      <xdr:colOff>188079</xdr:colOff>
      <xdr:row>256</xdr:row>
      <xdr:rowOff>162878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CCD53D4-3728-43F9-8B7D-4301C6F18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2178941"/>
          <a:ext cx="10755226" cy="683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e.wikipedia.org/wiki/Dauermagnet" TargetMode="External"/><Relationship Id="rId2" Type="http://schemas.openxmlformats.org/officeDocument/2006/relationships/hyperlink" Target="http://de.wikipedia.org/wiki/Koerzitivfeldst%C3%A4rke" TargetMode="External"/><Relationship Id="rId1" Type="http://schemas.openxmlformats.org/officeDocument/2006/relationships/hyperlink" Target="http://de.wikipedia.org/wiki/Remanenz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F16" sqref="F16"/>
    </sheetView>
  </sheetViews>
  <sheetFormatPr baseColWidth="10" defaultRowHeight="14.4" x14ac:dyDescent="0.3"/>
  <cols>
    <col min="1" max="1" width="9" bestFit="1" customWidth="1"/>
    <col min="2" max="2" width="18.5546875" customWidth="1"/>
    <col min="3" max="3" width="20.88671875" customWidth="1"/>
    <col min="4" max="4" width="31.5546875" customWidth="1"/>
    <col min="5" max="5" width="34.44140625" customWidth="1"/>
    <col min="6" max="6" width="38.6640625" customWidth="1"/>
    <col min="7" max="7" width="28" customWidth="1"/>
  </cols>
  <sheetData>
    <row r="1" spans="1:7" x14ac:dyDescent="0.3">
      <c r="A1" s="119" t="s">
        <v>693</v>
      </c>
      <c r="B1" s="119" t="s">
        <v>694</v>
      </c>
      <c r="C1" s="119" t="s">
        <v>695</v>
      </c>
      <c r="D1" s="119" t="s">
        <v>696</v>
      </c>
      <c r="E1" s="119" t="s">
        <v>697</v>
      </c>
      <c r="F1" s="119" t="s">
        <v>698</v>
      </c>
      <c r="G1" s="119" t="s">
        <v>699</v>
      </c>
    </row>
    <row r="2" spans="1:7" x14ac:dyDescent="0.3">
      <c r="A2" s="9"/>
      <c r="B2" s="9"/>
      <c r="C2" s="9"/>
      <c r="D2" s="9"/>
      <c r="E2" s="9"/>
      <c r="F2" s="9"/>
      <c r="G2" s="9"/>
    </row>
    <row r="3" spans="1:7" x14ac:dyDescent="0.3">
      <c r="A3" s="9">
        <v>1</v>
      </c>
      <c r="B3" s="120">
        <v>44242</v>
      </c>
      <c r="C3" s="9" t="s">
        <v>700</v>
      </c>
      <c r="D3" s="9" t="s">
        <v>701</v>
      </c>
      <c r="E3" s="9" t="s">
        <v>701</v>
      </c>
      <c r="F3" s="9" t="s">
        <v>702</v>
      </c>
      <c r="G3" s="9"/>
    </row>
    <row r="4" spans="1:7" x14ac:dyDescent="0.3">
      <c r="A4" s="9">
        <v>2</v>
      </c>
      <c r="B4" s="120">
        <v>44242</v>
      </c>
      <c r="C4" s="9" t="s">
        <v>700</v>
      </c>
      <c r="D4" s="9" t="s">
        <v>703</v>
      </c>
      <c r="E4" s="9" t="s">
        <v>704</v>
      </c>
      <c r="F4" s="9" t="s">
        <v>705</v>
      </c>
      <c r="G4" s="9"/>
    </row>
    <row r="5" spans="1:7" x14ac:dyDescent="0.3">
      <c r="A5" s="9">
        <v>3</v>
      </c>
      <c r="B5" s="120">
        <v>44249</v>
      </c>
      <c r="C5" s="9" t="s">
        <v>700</v>
      </c>
      <c r="D5" s="9" t="s">
        <v>708</v>
      </c>
      <c r="E5" s="9" t="s">
        <v>706</v>
      </c>
      <c r="F5" s="9" t="s">
        <v>707</v>
      </c>
      <c r="G5" s="9"/>
    </row>
    <row r="6" spans="1:7" x14ac:dyDescent="0.3">
      <c r="A6" s="9">
        <v>4</v>
      </c>
      <c r="B6" s="120">
        <v>44263</v>
      </c>
      <c r="C6" s="9" t="s">
        <v>700</v>
      </c>
      <c r="D6" s="9" t="s">
        <v>709</v>
      </c>
      <c r="E6" s="9" t="s">
        <v>710</v>
      </c>
      <c r="F6" s="9" t="s">
        <v>711</v>
      </c>
      <c r="G6" s="9"/>
    </row>
    <row r="7" spans="1:7" ht="72" x14ac:dyDescent="0.3">
      <c r="A7" s="9">
        <v>5</v>
      </c>
      <c r="B7" s="120">
        <v>44314</v>
      </c>
      <c r="C7" s="9" t="s">
        <v>730</v>
      </c>
      <c r="D7" s="107" t="s">
        <v>731</v>
      </c>
      <c r="E7" s="9"/>
      <c r="F7" s="9" t="s">
        <v>732</v>
      </c>
      <c r="G7" s="9"/>
    </row>
    <row r="8" spans="1:7" ht="28.8" x14ac:dyDescent="0.3">
      <c r="A8" s="9">
        <v>6</v>
      </c>
      <c r="B8" s="120">
        <v>44314</v>
      </c>
      <c r="C8" s="9" t="s">
        <v>730</v>
      </c>
      <c r="D8" s="107" t="s">
        <v>733</v>
      </c>
      <c r="E8" s="9"/>
      <c r="F8" s="9" t="s">
        <v>732</v>
      </c>
      <c r="G8" s="9"/>
    </row>
    <row r="9" spans="1:7" x14ac:dyDescent="0.3">
      <c r="A9" s="9">
        <v>7</v>
      </c>
      <c r="B9" s="120">
        <v>44315</v>
      </c>
      <c r="C9" s="9" t="s">
        <v>700</v>
      </c>
      <c r="D9" s="9" t="s">
        <v>735</v>
      </c>
      <c r="E9" s="9" t="s">
        <v>737</v>
      </c>
      <c r="F9" s="9" t="s">
        <v>736</v>
      </c>
      <c r="G9" s="9"/>
    </row>
    <row r="10" spans="1:7" x14ac:dyDescent="0.3">
      <c r="A10" s="9">
        <v>8</v>
      </c>
      <c r="B10" s="120">
        <v>44315</v>
      </c>
      <c r="C10" s="9" t="s">
        <v>700</v>
      </c>
      <c r="D10" s="9" t="s">
        <v>748</v>
      </c>
      <c r="E10" s="9" t="s">
        <v>749</v>
      </c>
      <c r="F10" s="9" t="s">
        <v>750</v>
      </c>
      <c r="G10" s="9"/>
    </row>
    <row r="11" spans="1:7" x14ac:dyDescent="0.3">
      <c r="A11" s="9">
        <v>9</v>
      </c>
      <c r="B11" s="120">
        <v>44318</v>
      </c>
      <c r="C11" s="9" t="s">
        <v>730</v>
      </c>
      <c r="D11" s="9" t="s">
        <v>753</v>
      </c>
      <c r="E11" s="9" t="s">
        <v>754</v>
      </c>
      <c r="F11" s="9" t="s">
        <v>758</v>
      </c>
      <c r="G11" s="9"/>
    </row>
    <row r="12" spans="1:7" x14ac:dyDescent="0.3">
      <c r="A12" s="9">
        <v>10</v>
      </c>
      <c r="B12" s="120">
        <v>44318</v>
      </c>
      <c r="C12" s="9" t="s">
        <v>730</v>
      </c>
      <c r="D12" s="9" t="s">
        <v>755</v>
      </c>
      <c r="E12" s="9" t="s">
        <v>756</v>
      </c>
      <c r="F12" s="9" t="s">
        <v>757</v>
      </c>
      <c r="G12" s="9"/>
    </row>
    <row r="13" spans="1:7" ht="72" x14ac:dyDescent="0.3">
      <c r="A13" s="9">
        <v>11</v>
      </c>
      <c r="B13" s="120">
        <v>44318</v>
      </c>
      <c r="C13" s="9" t="s">
        <v>730</v>
      </c>
      <c r="D13" s="107" t="s">
        <v>768</v>
      </c>
      <c r="E13" s="9" t="s">
        <v>759</v>
      </c>
      <c r="F13" s="107" t="s">
        <v>771</v>
      </c>
      <c r="G13" s="9"/>
    </row>
    <row r="14" spans="1:7" x14ac:dyDescent="0.3">
      <c r="A14" s="9">
        <v>12</v>
      </c>
      <c r="B14" s="120">
        <v>44318</v>
      </c>
      <c r="C14" s="9" t="s">
        <v>730</v>
      </c>
      <c r="D14" s="107" t="s">
        <v>764</v>
      </c>
      <c r="E14" s="9" t="s">
        <v>762</v>
      </c>
      <c r="F14" s="9" t="s">
        <v>763</v>
      </c>
      <c r="G14" s="9"/>
    </row>
    <row r="15" spans="1:7" ht="57.6" x14ac:dyDescent="0.3">
      <c r="A15" s="9">
        <v>13</v>
      </c>
      <c r="B15" s="120">
        <v>44318</v>
      </c>
      <c r="C15" s="9" t="s">
        <v>730</v>
      </c>
      <c r="D15" s="107" t="s">
        <v>767</v>
      </c>
      <c r="E15" s="9" t="s">
        <v>769</v>
      </c>
      <c r="F15" s="9"/>
      <c r="G15" s="9"/>
    </row>
    <row r="16" spans="1:7" ht="28.8" x14ac:dyDescent="0.3">
      <c r="A16" s="9">
        <v>14</v>
      </c>
      <c r="B16" s="120">
        <v>44321</v>
      </c>
      <c r="C16" s="9" t="s">
        <v>730</v>
      </c>
      <c r="D16" s="107" t="s">
        <v>772</v>
      </c>
      <c r="E16" s="9" t="s">
        <v>773</v>
      </c>
      <c r="F16" s="9"/>
      <c r="G16" s="9"/>
    </row>
    <row r="17" spans="1:7" x14ac:dyDescent="0.3">
      <c r="A17" s="9">
        <v>15</v>
      </c>
      <c r="B17" s="9"/>
      <c r="C17" s="9"/>
      <c r="D17" s="107"/>
      <c r="E17" s="9"/>
      <c r="F17" s="9"/>
      <c r="G17" s="9"/>
    </row>
    <row r="18" spans="1:7" x14ac:dyDescent="0.3">
      <c r="A18" s="9">
        <v>16</v>
      </c>
      <c r="B18" s="9"/>
      <c r="C18" s="9"/>
      <c r="D18" s="107"/>
      <c r="E18" s="9"/>
      <c r="F18" s="9"/>
      <c r="G18" s="9"/>
    </row>
    <row r="19" spans="1:7" x14ac:dyDescent="0.3">
      <c r="A19" s="9">
        <v>17</v>
      </c>
      <c r="B19" s="9"/>
      <c r="C19" s="9"/>
      <c r="D19" s="9"/>
      <c r="E19" s="9"/>
      <c r="F19" s="9"/>
      <c r="G19" s="9"/>
    </row>
    <row r="20" spans="1:7" x14ac:dyDescent="0.3">
      <c r="A20" s="9">
        <v>18</v>
      </c>
      <c r="B20" s="9"/>
      <c r="C20" s="9"/>
      <c r="D20" s="9"/>
      <c r="E20" s="9"/>
      <c r="F20" s="9"/>
      <c r="G20" s="9"/>
    </row>
    <row r="21" spans="1:7" x14ac:dyDescent="0.3">
      <c r="A21" s="9">
        <v>19</v>
      </c>
      <c r="B21" s="9"/>
      <c r="C21" s="9"/>
      <c r="D21" s="9"/>
      <c r="E21" s="9"/>
      <c r="F21" s="9"/>
      <c r="G21" s="9"/>
    </row>
    <row r="22" spans="1:7" x14ac:dyDescent="0.3">
      <c r="A22" s="9">
        <v>20</v>
      </c>
      <c r="B22" s="9"/>
      <c r="C22" s="9"/>
      <c r="D22" s="9"/>
      <c r="E22" s="9"/>
      <c r="F22" s="9"/>
      <c r="G22" s="9"/>
    </row>
    <row r="23" spans="1:7" x14ac:dyDescent="0.3">
      <c r="A23" s="9">
        <v>21</v>
      </c>
      <c r="B23" s="9"/>
      <c r="C23" s="9"/>
      <c r="D23" s="9"/>
      <c r="E23" s="9"/>
      <c r="F23" s="9"/>
      <c r="G23" s="9"/>
    </row>
    <row r="24" spans="1:7" x14ac:dyDescent="0.3">
      <c r="A24" s="9">
        <v>22</v>
      </c>
      <c r="B24" s="9"/>
      <c r="C24" s="9"/>
      <c r="D24" s="9"/>
      <c r="E24" s="9"/>
      <c r="F24" s="9"/>
      <c r="G24" s="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98"/>
  <sheetViews>
    <sheetView tabSelected="1" zoomScale="85" zoomScaleNormal="85" workbookViewId="0">
      <pane xSplit="3" ySplit="2" topLeftCell="D163" activePane="bottomRight" state="frozen"/>
      <selection pane="topRight" activeCell="D1" sqref="D1"/>
      <selection pane="bottomLeft" activeCell="A3" sqref="A3"/>
      <selection pane="bottomRight" activeCell="B86" sqref="B86"/>
    </sheetView>
  </sheetViews>
  <sheetFormatPr baseColWidth="10" defaultRowHeight="14.4" x14ac:dyDescent="0.3"/>
  <cols>
    <col min="1" max="1" width="35.33203125" customWidth="1"/>
    <col min="2" max="2" width="29" customWidth="1"/>
    <col min="3" max="3" width="11.44140625" customWidth="1"/>
    <col min="4" max="4" width="22.109375" customWidth="1"/>
    <col min="6" max="7" width="20.6640625" customWidth="1"/>
    <col min="8" max="11" width="20.6640625" style="1" customWidth="1"/>
    <col min="12" max="12" width="20.6640625" style="114" customWidth="1"/>
    <col min="13" max="17" width="20.6640625" style="1" customWidth="1"/>
    <col min="42" max="42" width="41.44140625" bestFit="1" customWidth="1"/>
    <col min="43" max="43" width="18.6640625" bestFit="1" customWidth="1"/>
    <col min="44" max="44" width="9.6640625" bestFit="1" customWidth="1"/>
    <col min="45" max="45" width="16.5546875" bestFit="1" customWidth="1"/>
    <col min="46" max="46" width="94" bestFit="1" customWidth="1"/>
  </cols>
  <sheetData>
    <row r="1" spans="1:53" ht="28.95" customHeight="1" x14ac:dyDescent="0.3">
      <c r="A1" s="6" t="s">
        <v>36</v>
      </c>
      <c r="B1" s="6" t="s">
        <v>0</v>
      </c>
      <c r="C1" s="7" t="s">
        <v>1</v>
      </c>
      <c r="D1" s="7" t="s">
        <v>2</v>
      </c>
      <c r="E1" s="8"/>
      <c r="F1" s="4" t="s">
        <v>679</v>
      </c>
      <c r="G1" s="5" t="s">
        <v>680</v>
      </c>
      <c r="H1" s="4" t="s">
        <v>681</v>
      </c>
      <c r="I1" s="5" t="s">
        <v>682</v>
      </c>
      <c r="J1" s="4" t="s">
        <v>683</v>
      </c>
      <c r="K1" s="5" t="s">
        <v>684</v>
      </c>
      <c r="L1" s="4" t="s">
        <v>690</v>
      </c>
      <c r="M1" s="5" t="s">
        <v>685</v>
      </c>
      <c r="N1" s="4" t="s">
        <v>686</v>
      </c>
      <c r="O1" s="5" t="s">
        <v>687</v>
      </c>
      <c r="P1" s="4" t="s">
        <v>688</v>
      </c>
      <c r="Q1" s="5" t="s">
        <v>689</v>
      </c>
      <c r="AF1" s="152" t="s">
        <v>128</v>
      </c>
      <c r="AG1" s="155" t="s">
        <v>129</v>
      </c>
      <c r="AH1" s="155"/>
      <c r="AI1" s="155" t="s">
        <v>130</v>
      </c>
      <c r="AJ1" s="155"/>
      <c r="AK1" s="155"/>
      <c r="AL1" s="155"/>
      <c r="AM1" s="155" t="s">
        <v>131</v>
      </c>
      <c r="AN1" s="155"/>
      <c r="AO1" s="37" t="s">
        <v>132</v>
      </c>
    </row>
    <row r="2" spans="1:53" ht="15.75" customHeight="1" x14ac:dyDescent="0.3">
      <c r="A2" s="10" t="s">
        <v>35</v>
      </c>
      <c r="B2" s="11" t="s">
        <v>85</v>
      </c>
      <c r="C2" s="151" t="s">
        <v>86</v>
      </c>
      <c r="D2" s="151"/>
      <c r="E2" s="151"/>
      <c r="F2" s="13" t="s">
        <v>64</v>
      </c>
      <c r="G2" s="13" t="s">
        <v>73</v>
      </c>
      <c r="H2" s="13" t="s">
        <v>71</v>
      </c>
      <c r="I2" s="13"/>
      <c r="J2" s="13" t="s">
        <v>74</v>
      </c>
      <c r="K2" s="13"/>
      <c r="L2" s="113"/>
      <c r="M2" s="13" t="s">
        <v>63</v>
      </c>
      <c r="N2" s="13" t="s">
        <v>66</v>
      </c>
      <c r="O2" s="13"/>
      <c r="P2" s="13" t="s">
        <v>79</v>
      </c>
      <c r="Q2" s="13"/>
      <c r="AF2" s="152"/>
      <c r="AG2" s="155"/>
      <c r="AH2" s="155"/>
      <c r="AI2" s="155"/>
      <c r="AJ2" s="155"/>
      <c r="AK2" s="155"/>
      <c r="AL2" s="155"/>
      <c r="AM2" s="155"/>
      <c r="AN2" s="155"/>
      <c r="AO2" s="37" t="s">
        <v>133</v>
      </c>
    </row>
    <row r="3" spans="1:53" ht="15" customHeight="1" x14ac:dyDescent="0.3">
      <c r="A3" s="2" t="s">
        <v>4</v>
      </c>
      <c r="B3" s="2" t="s">
        <v>24</v>
      </c>
      <c r="C3" t="s">
        <v>7</v>
      </c>
      <c r="F3" s="18">
        <v>128</v>
      </c>
      <c r="G3" s="18">
        <v>133</v>
      </c>
      <c r="H3" s="18">
        <v>153</v>
      </c>
      <c r="I3" s="18">
        <v>178</v>
      </c>
      <c r="J3" s="18">
        <v>199.5</v>
      </c>
      <c r="K3" s="18">
        <v>230</v>
      </c>
      <c r="L3" s="154" t="s">
        <v>691</v>
      </c>
      <c r="M3" s="18">
        <v>275</v>
      </c>
      <c r="N3" s="18">
        <v>300.5</v>
      </c>
      <c r="O3" s="18">
        <v>330</v>
      </c>
      <c r="P3" s="18">
        <v>457</v>
      </c>
      <c r="Q3" s="154" t="s">
        <v>692</v>
      </c>
      <c r="AF3" s="36"/>
      <c r="AG3" s="156" t="s">
        <v>135</v>
      </c>
      <c r="AH3" s="156"/>
      <c r="AI3" s="156" t="s">
        <v>136</v>
      </c>
      <c r="AJ3" s="156"/>
      <c r="AK3" s="156" t="s">
        <v>137</v>
      </c>
      <c r="AL3" s="156"/>
      <c r="AM3" s="156" t="s">
        <v>138</v>
      </c>
      <c r="AN3" s="156"/>
      <c r="AO3" s="37" t="s">
        <v>134</v>
      </c>
    </row>
    <row r="4" spans="1:53" ht="15" customHeight="1" x14ac:dyDescent="0.3">
      <c r="A4" s="2" t="s">
        <v>33</v>
      </c>
      <c r="B4" s="2" t="s">
        <v>25</v>
      </c>
      <c r="C4" t="s">
        <v>7</v>
      </c>
      <c r="F4" s="18">
        <v>136</v>
      </c>
      <c r="G4" s="18">
        <v>140</v>
      </c>
      <c r="H4" s="18">
        <v>161</v>
      </c>
      <c r="I4" s="18">
        <v>186</v>
      </c>
      <c r="J4" s="18">
        <v>209.5</v>
      </c>
      <c r="K4" s="18">
        <v>240</v>
      </c>
      <c r="L4" s="154"/>
      <c r="M4" s="18">
        <v>286</v>
      </c>
      <c r="N4" s="18">
        <v>312.5</v>
      </c>
      <c r="O4" s="18">
        <v>340</v>
      </c>
      <c r="P4" s="18">
        <v>471</v>
      </c>
      <c r="Q4" s="154"/>
      <c r="AF4" s="36"/>
      <c r="AG4" s="38" t="s">
        <v>139</v>
      </c>
      <c r="AH4" s="38" t="s">
        <v>48</v>
      </c>
      <c r="AI4" s="38" t="s">
        <v>140</v>
      </c>
      <c r="AJ4" s="38" t="s">
        <v>141</v>
      </c>
      <c r="AK4" s="38" t="s">
        <v>140</v>
      </c>
      <c r="AL4" s="38" t="s">
        <v>141</v>
      </c>
      <c r="AM4" s="38" t="s">
        <v>142</v>
      </c>
      <c r="AN4" s="38" t="s">
        <v>143</v>
      </c>
      <c r="AO4" s="38" t="s">
        <v>144</v>
      </c>
    </row>
    <row r="5" spans="1:53" ht="15" customHeight="1" x14ac:dyDescent="0.3">
      <c r="A5" s="2" t="s">
        <v>34</v>
      </c>
      <c r="B5" s="2" t="s">
        <v>26</v>
      </c>
      <c r="C5" t="s">
        <v>7</v>
      </c>
      <c r="F5" s="18">
        <v>144.6</v>
      </c>
      <c r="G5" s="18">
        <v>148</v>
      </c>
      <c r="H5" s="18">
        <v>175.66</v>
      </c>
      <c r="I5" s="18">
        <v>195</v>
      </c>
      <c r="J5" s="18">
        <v>227.87</v>
      </c>
      <c r="K5" s="18">
        <v>250</v>
      </c>
      <c r="L5" s="154"/>
      <c r="M5" s="18">
        <v>298</v>
      </c>
      <c r="N5" s="18">
        <v>330</v>
      </c>
      <c r="O5" s="18">
        <v>349.6</v>
      </c>
      <c r="P5" s="18">
        <v>492.56</v>
      </c>
      <c r="Q5" s="154"/>
      <c r="AF5" s="39" t="s">
        <v>145</v>
      </c>
      <c r="AG5" s="40" t="s">
        <v>146</v>
      </c>
      <c r="AH5" s="40" t="s">
        <v>147</v>
      </c>
      <c r="AI5" s="40" t="s">
        <v>148</v>
      </c>
      <c r="AJ5" s="40" t="s">
        <v>149</v>
      </c>
      <c r="AK5" s="40" t="s">
        <v>150</v>
      </c>
      <c r="AL5" s="40" t="s">
        <v>151</v>
      </c>
      <c r="AM5" s="40" t="s">
        <v>152</v>
      </c>
      <c r="AN5" s="40" t="s">
        <v>153</v>
      </c>
      <c r="AO5" s="40">
        <v>80</v>
      </c>
      <c r="AP5" s="36" t="s">
        <v>305</v>
      </c>
      <c r="AQ5" s="36" t="s">
        <v>306</v>
      </c>
    </row>
    <row r="6" spans="1:53" ht="15" customHeight="1" x14ac:dyDescent="0.3">
      <c r="A6" s="2" t="s">
        <v>5</v>
      </c>
      <c r="B6" s="2" t="s">
        <v>27</v>
      </c>
      <c r="C6" t="s">
        <v>7</v>
      </c>
      <c r="F6" s="18">
        <v>197.5</v>
      </c>
      <c r="G6" s="18">
        <v>197.5</v>
      </c>
      <c r="H6" s="18">
        <v>240</v>
      </c>
      <c r="I6" s="18">
        <v>249</v>
      </c>
      <c r="J6" s="18">
        <v>304.5</v>
      </c>
      <c r="K6" s="18">
        <v>313</v>
      </c>
      <c r="L6" s="154"/>
      <c r="M6" s="18">
        <v>357.4</v>
      </c>
      <c r="N6" s="18">
        <v>410</v>
      </c>
      <c r="O6" s="18">
        <v>416</v>
      </c>
      <c r="P6" s="18">
        <v>564</v>
      </c>
      <c r="Q6" s="154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39" t="s">
        <v>154</v>
      </c>
      <c r="AG6" s="40" t="s">
        <v>155</v>
      </c>
      <c r="AH6" s="40" t="s">
        <v>156</v>
      </c>
      <c r="AI6" s="40" t="s">
        <v>157</v>
      </c>
      <c r="AJ6" s="40" t="s">
        <v>158</v>
      </c>
      <c r="AK6" s="40" t="s">
        <v>150</v>
      </c>
      <c r="AL6" s="40" t="s">
        <v>151</v>
      </c>
      <c r="AM6" s="40" t="s">
        <v>159</v>
      </c>
      <c r="AN6" s="40" t="s">
        <v>160</v>
      </c>
      <c r="AO6" s="40">
        <v>80</v>
      </c>
      <c r="AP6" s="36" t="s">
        <v>307</v>
      </c>
      <c r="AQ6" s="36" t="s">
        <v>308</v>
      </c>
    </row>
    <row r="7" spans="1:53" ht="15" customHeight="1" x14ac:dyDescent="0.3">
      <c r="A7" s="2" t="s">
        <v>32</v>
      </c>
      <c r="B7" s="2" t="s">
        <v>28</v>
      </c>
      <c r="C7" t="s">
        <v>7</v>
      </c>
      <c r="F7" s="18">
        <v>199.1</v>
      </c>
      <c r="G7" s="18">
        <v>198</v>
      </c>
      <c r="H7" s="18">
        <v>241.6</v>
      </c>
      <c r="I7" s="18">
        <v>250</v>
      </c>
      <c r="J7" s="18">
        <v>306.17</v>
      </c>
      <c r="K7" s="18">
        <v>313.60000000000002</v>
      </c>
      <c r="L7" s="154"/>
      <c r="M7" s="18">
        <v>358.4</v>
      </c>
      <c r="N7" s="18">
        <v>412.04</v>
      </c>
      <c r="O7" s="18">
        <v>417</v>
      </c>
      <c r="P7" s="18">
        <v>567</v>
      </c>
      <c r="Q7" s="154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39" t="s">
        <v>161</v>
      </c>
      <c r="AG7" s="40" t="s">
        <v>162</v>
      </c>
      <c r="AH7" s="40" t="s">
        <v>163</v>
      </c>
      <c r="AI7" s="40" t="s">
        <v>164</v>
      </c>
      <c r="AJ7" s="40" t="s">
        <v>165</v>
      </c>
      <c r="AK7" s="40" t="s">
        <v>150</v>
      </c>
      <c r="AL7" s="40" t="s">
        <v>151</v>
      </c>
      <c r="AM7" s="40" t="s">
        <v>166</v>
      </c>
      <c r="AN7" s="40" t="s">
        <v>167</v>
      </c>
      <c r="AO7" s="40">
        <v>80</v>
      </c>
      <c r="AP7" s="36" t="s">
        <v>309</v>
      </c>
      <c r="AQ7" s="36" t="s">
        <v>310</v>
      </c>
    </row>
    <row r="8" spans="1:53" ht="15" customHeight="1" x14ac:dyDescent="0.3">
      <c r="A8" s="2" t="s">
        <v>29</v>
      </c>
      <c r="B8" s="2" t="s">
        <v>30</v>
      </c>
      <c r="C8" t="s">
        <v>7</v>
      </c>
      <c r="F8" s="18">
        <v>207.65</v>
      </c>
      <c r="G8" s="18">
        <v>206.1</v>
      </c>
      <c r="H8" s="18">
        <v>252.4</v>
      </c>
      <c r="I8" s="18">
        <v>260</v>
      </c>
      <c r="J8" s="18">
        <v>316.74</v>
      </c>
      <c r="K8" s="18">
        <v>324.60000000000002</v>
      </c>
      <c r="L8" s="154"/>
      <c r="M8" s="18">
        <v>368.4</v>
      </c>
      <c r="N8" s="18">
        <v>424.42</v>
      </c>
      <c r="O8" s="18">
        <v>427</v>
      </c>
      <c r="P8" s="18">
        <v>579.5</v>
      </c>
      <c r="Q8" s="154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39" t="s">
        <v>168</v>
      </c>
      <c r="AG8" s="40" t="s">
        <v>169</v>
      </c>
      <c r="AH8" s="40" t="s">
        <v>170</v>
      </c>
      <c r="AI8" s="40" t="s">
        <v>171</v>
      </c>
      <c r="AJ8" s="40" t="s">
        <v>172</v>
      </c>
      <c r="AK8" s="40" t="s">
        <v>150</v>
      </c>
      <c r="AL8" s="40" t="s">
        <v>151</v>
      </c>
      <c r="AM8" s="40" t="s">
        <v>173</v>
      </c>
      <c r="AN8" s="40" t="s">
        <v>174</v>
      </c>
      <c r="AO8" s="40">
        <v>80</v>
      </c>
      <c r="AP8" s="36" t="s">
        <v>311</v>
      </c>
      <c r="AQ8" s="36" t="s">
        <v>312</v>
      </c>
      <c r="BA8" s="26"/>
    </row>
    <row r="9" spans="1:53" ht="15" customHeight="1" x14ac:dyDescent="0.3">
      <c r="A9" s="2" t="s">
        <v>6</v>
      </c>
      <c r="B9" s="2" t="s">
        <v>31</v>
      </c>
      <c r="C9" t="s">
        <v>7</v>
      </c>
      <c r="F9" s="18">
        <v>218</v>
      </c>
      <c r="G9" s="18">
        <v>218</v>
      </c>
      <c r="H9" s="18">
        <v>272</v>
      </c>
      <c r="I9" s="18">
        <v>272</v>
      </c>
      <c r="J9" s="18">
        <v>342</v>
      </c>
      <c r="K9" s="18">
        <v>335</v>
      </c>
      <c r="L9" s="154"/>
      <c r="M9" s="18">
        <v>382</v>
      </c>
      <c r="N9" s="18">
        <v>443</v>
      </c>
      <c r="O9" s="18">
        <v>443</v>
      </c>
      <c r="P9" s="18">
        <v>596</v>
      </c>
      <c r="Q9" s="154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39" t="s">
        <v>175</v>
      </c>
      <c r="AG9" s="40" t="s">
        <v>176</v>
      </c>
      <c r="AH9" s="40" t="s">
        <v>177</v>
      </c>
      <c r="AI9" s="40" t="s">
        <v>178</v>
      </c>
      <c r="AJ9" s="40" t="s">
        <v>179</v>
      </c>
      <c r="AK9" s="40" t="s">
        <v>150</v>
      </c>
      <c r="AL9" s="40" t="s">
        <v>151</v>
      </c>
      <c r="AM9" s="40" t="s">
        <v>180</v>
      </c>
      <c r="AN9" s="40" t="s">
        <v>181</v>
      </c>
      <c r="AO9" s="40">
        <v>80</v>
      </c>
      <c r="AP9" s="36" t="s">
        <v>313</v>
      </c>
      <c r="AQ9" s="36" t="s">
        <v>314</v>
      </c>
    </row>
    <row r="10" spans="1:53" ht="15" customHeight="1" x14ac:dyDescent="0.3">
      <c r="A10" s="2" t="s">
        <v>8</v>
      </c>
      <c r="B10" s="2" t="s">
        <v>37</v>
      </c>
      <c r="C10" t="s">
        <v>9</v>
      </c>
      <c r="F10" s="20">
        <v>204.32</v>
      </c>
      <c r="G10" s="20">
        <v>194.58</v>
      </c>
      <c r="H10" s="20">
        <v>312.98</v>
      </c>
      <c r="I10" s="20">
        <v>301.62</v>
      </c>
      <c r="J10" s="20">
        <v>344.51</v>
      </c>
      <c r="K10" s="20">
        <v>349.98</v>
      </c>
      <c r="L10" s="154"/>
      <c r="M10" s="20">
        <v>294.83</v>
      </c>
      <c r="N10" s="20">
        <v>357.78</v>
      </c>
      <c r="O10" s="20">
        <v>275.63</v>
      </c>
      <c r="P10" s="20">
        <v>419.9</v>
      </c>
      <c r="Q10" s="154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39" t="s">
        <v>182</v>
      </c>
      <c r="AG10" s="40" t="s">
        <v>183</v>
      </c>
      <c r="AH10" s="40" t="s">
        <v>184</v>
      </c>
      <c r="AI10" s="40" t="s">
        <v>178</v>
      </c>
      <c r="AJ10" s="40" t="s">
        <v>179</v>
      </c>
      <c r="AK10" s="40" t="s">
        <v>150</v>
      </c>
      <c r="AL10" s="40" t="s">
        <v>151</v>
      </c>
      <c r="AM10" s="40" t="s">
        <v>185</v>
      </c>
      <c r="AN10" s="40" t="s">
        <v>186</v>
      </c>
      <c r="AO10" s="40">
        <v>80</v>
      </c>
      <c r="AP10" s="36" t="s">
        <v>315</v>
      </c>
      <c r="AQ10" s="36" t="s">
        <v>316</v>
      </c>
    </row>
    <row r="11" spans="1:53" ht="15" customHeight="1" x14ac:dyDescent="0.3">
      <c r="A11" s="2" t="s">
        <v>69</v>
      </c>
      <c r="B11" s="2"/>
      <c r="C11" t="s">
        <v>46</v>
      </c>
      <c r="F11" s="21">
        <v>36</v>
      </c>
      <c r="G11" s="21">
        <v>36</v>
      </c>
      <c r="H11" s="21">
        <v>36</v>
      </c>
      <c r="I11" s="21">
        <v>36</v>
      </c>
      <c r="J11" s="21">
        <v>48</v>
      </c>
      <c r="K11" s="21">
        <v>48</v>
      </c>
      <c r="L11" s="154"/>
      <c r="M11" s="21">
        <v>60</v>
      </c>
      <c r="N11" s="21">
        <v>72</v>
      </c>
      <c r="O11" s="21">
        <v>72</v>
      </c>
      <c r="P11" s="21">
        <v>72</v>
      </c>
      <c r="Q11" s="154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39" t="s">
        <v>187</v>
      </c>
      <c r="AG11" s="40" t="s">
        <v>188</v>
      </c>
      <c r="AH11" s="40" t="s">
        <v>189</v>
      </c>
      <c r="AI11" s="40" t="s">
        <v>190</v>
      </c>
      <c r="AJ11" s="40" t="s">
        <v>191</v>
      </c>
      <c r="AK11" s="40" t="s">
        <v>192</v>
      </c>
      <c r="AL11" s="40" t="s">
        <v>193</v>
      </c>
      <c r="AM11" s="40" t="s">
        <v>194</v>
      </c>
      <c r="AN11" s="40" t="s">
        <v>195</v>
      </c>
      <c r="AO11" s="40">
        <v>80</v>
      </c>
      <c r="AP11" s="36" t="s">
        <v>317</v>
      </c>
      <c r="AQ11" s="36" t="s">
        <v>318</v>
      </c>
    </row>
    <row r="12" spans="1:53" ht="15" customHeight="1" x14ac:dyDescent="0.3">
      <c r="A12" s="136" t="s">
        <v>10</v>
      </c>
      <c r="B12" s="2" t="s">
        <v>38</v>
      </c>
      <c r="C12" t="s">
        <v>7</v>
      </c>
      <c r="F12" s="18">
        <v>7.2</v>
      </c>
      <c r="G12" s="18">
        <v>7.2</v>
      </c>
      <c r="H12" s="18">
        <v>8.4</v>
      </c>
      <c r="I12" s="18">
        <v>8.1999999999999993</v>
      </c>
      <c r="J12" s="18">
        <v>8.4</v>
      </c>
      <c r="K12" s="18">
        <v>7.3</v>
      </c>
      <c r="L12" s="154"/>
      <c r="M12" s="18">
        <v>7.2</v>
      </c>
      <c r="N12" s="18">
        <v>7.2</v>
      </c>
      <c r="O12" s="18">
        <v>8.4</v>
      </c>
      <c r="P12" s="18">
        <v>11.3</v>
      </c>
      <c r="Q12" s="154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39" t="s">
        <v>196</v>
      </c>
      <c r="AG12" s="40" t="s">
        <v>197</v>
      </c>
      <c r="AH12" s="40" t="s">
        <v>198</v>
      </c>
      <c r="AI12" s="40" t="s">
        <v>190</v>
      </c>
      <c r="AJ12" s="40" t="s">
        <v>191</v>
      </c>
      <c r="AK12" s="40" t="s">
        <v>192</v>
      </c>
      <c r="AL12" s="40" t="s">
        <v>193</v>
      </c>
      <c r="AM12" s="40" t="s">
        <v>199</v>
      </c>
      <c r="AN12" s="40" t="s">
        <v>200</v>
      </c>
      <c r="AO12" s="40">
        <v>65</v>
      </c>
      <c r="AP12" s="36" t="s">
        <v>319</v>
      </c>
      <c r="AQ12" s="36" t="s">
        <v>320</v>
      </c>
    </row>
    <row r="13" spans="1:53" ht="15" customHeight="1" x14ac:dyDescent="0.3">
      <c r="A13" s="2" t="s">
        <v>377</v>
      </c>
      <c r="B13" s="2" t="s">
        <v>39</v>
      </c>
      <c r="C13" t="s">
        <v>9</v>
      </c>
      <c r="F13" s="20">
        <v>8753.2099999999991</v>
      </c>
      <c r="G13" s="20">
        <v>8236.6</v>
      </c>
      <c r="H13" s="20">
        <v>13613.28</v>
      </c>
      <c r="I13" s="20">
        <v>10665.37</v>
      </c>
      <c r="J13" s="20">
        <v>21814.14</v>
      </c>
      <c r="K13" s="20">
        <v>14910.55</v>
      </c>
      <c r="L13" s="154"/>
      <c r="M13" s="20">
        <v>18350.29</v>
      </c>
      <c r="N13" s="20">
        <v>29565.77</v>
      </c>
      <c r="O13" s="20">
        <v>25280.45</v>
      </c>
      <c r="P13" s="20">
        <v>44286.881000000001</v>
      </c>
      <c r="Q13" s="154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41" t="s">
        <v>201</v>
      </c>
      <c r="AG13" s="42" t="s">
        <v>202</v>
      </c>
      <c r="AH13" s="42" t="s">
        <v>203</v>
      </c>
      <c r="AI13" s="42" t="s">
        <v>204</v>
      </c>
      <c r="AJ13" s="42" t="s">
        <v>205</v>
      </c>
      <c r="AK13" s="42" t="s">
        <v>206</v>
      </c>
      <c r="AL13" s="42" t="s">
        <v>207</v>
      </c>
      <c r="AM13" s="42" t="s">
        <v>208</v>
      </c>
      <c r="AN13" s="42" t="s">
        <v>209</v>
      </c>
      <c r="AO13" s="42">
        <v>100</v>
      </c>
      <c r="AP13" s="36" t="s">
        <v>321</v>
      </c>
      <c r="AQ13" s="36" t="s">
        <v>322</v>
      </c>
    </row>
    <row r="14" spans="1:53" x14ac:dyDescent="0.3">
      <c r="A14" s="2"/>
      <c r="B14" s="2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41" t="s">
        <v>210</v>
      </c>
      <c r="AG14" s="42" t="s">
        <v>146</v>
      </c>
      <c r="AH14" s="42" t="s">
        <v>147</v>
      </c>
      <c r="AI14" s="42" t="s">
        <v>148</v>
      </c>
      <c r="AJ14" s="42" t="s">
        <v>149</v>
      </c>
      <c r="AK14" s="42" t="s">
        <v>206</v>
      </c>
      <c r="AL14" s="42" t="s">
        <v>207</v>
      </c>
      <c r="AM14" s="42" t="s">
        <v>152</v>
      </c>
      <c r="AN14" s="42" t="s">
        <v>153</v>
      </c>
      <c r="AO14" s="42">
        <v>100</v>
      </c>
      <c r="AP14" s="36" t="s">
        <v>323</v>
      </c>
      <c r="AQ14" s="36" t="s">
        <v>324</v>
      </c>
    </row>
    <row r="15" spans="1:53" s="24" customFormat="1" x14ac:dyDescent="0.3">
      <c r="A15" s="30" t="s">
        <v>97</v>
      </c>
      <c r="B15" s="30" t="s">
        <v>102</v>
      </c>
      <c r="C15" s="23" t="s">
        <v>111</v>
      </c>
      <c r="D15" s="23"/>
      <c r="E15" s="23"/>
      <c r="F15" s="31" t="s">
        <v>98</v>
      </c>
      <c r="G15" s="31" t="s">
        <v>98</v>
      </c>
      <c r="H15" s="31" t="s">
        <v>98</v>
      </c>
      <c r="I15" s="31" t="s">
        <v>98</v>
      </c>
      <c r="J15" s="31" t="s">
        <v>98</v>
      </c>
      <c r="K15" s="31" t="s">
        <v>98</v>
      </c>
      <c r="L15" s="31"/>
      <c r="M15" s="31" t="s">
        <v>98</v>
      </c>
      <c r="N15" s="31" t="s">
        <v>98</v>
      </c>
      <c r="O15" s="31" t="s">
        <v>98</v>
      </c>
      <c r="P15" s="31" t="s">
        <v>98</v>
      </c>
      <c r="Q15" s="31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41" t="s">
        <v>211</v>
      </c>
      <c r="AG15" s="42" t="s">
        <v>155</v>
      </c>
      <c r="AH15" s="42" t="s">
        <v>156</v>
      </c>
      <c r="AI15" s="42" t="s">
        <v>157</v>
      </c>
      <c r="AJ15" s="42" t="s">
        <v>158</v>
      </c>
      <c r="AK15" s="42" t="s">
        <v>206</v>
      </c>
      <c r="AL15" s="42" t="s">
        <v>207</v>
      </c>
      <c r="AM15" s="42" t="s">
        <v>159</v>
      </c>
      <c r="AN15" s="42" t="s">
        <v>160</v>
      </c>
      <c r="AO15" s="42">
        <v>100</v>
      </c>
      <c r="AP15" s="36" t="s">
        <v>325</v>
      </c>
      <c r="AQ15" s="36" t="s">
        <v>326</v>
      </c>
    </row>
    <row r="16" spans="1:53" s="67" customFormat="1" x14ac:dyDescent="0.3">
      <c r="A16" s="137" t="s">
        <v>390</v>
      </c>
      <c r="B16" s="66"/>
      <c r="C16" s="67" t="s">
        <v>7</v>
      </c>
      <c r="F16" s="69">
        <v>0.5</v>
      </c>
      <c r="G16" s="69">
        <v>0.5</v>
      </c>
      <c r="H16" s="69">
        <v>0.5</v>
      </c>
      <c r="I16" s="69">
        <v>0.5</v>
      </c>
      <c r="J16" s="69">
        <v>0.5</v>
      </c>
      <c r="K16" s="69">
        <v>0.5</v>
      </c>
      <c r="L16" s="68"/>
      <c r="M16" s="69">
        <v>0.5</v>
      </c>
      <c r="N16" s="69">
        <v>0.5</v>
      </c>
      <c r="O16" s="69">
        <v>0.5</v>
      </c>
      <c r="P16" s="69">
        <v>0.5</v>
      </c>
      <c r="Q16" s="68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5"/>
      <c r="AQ16" s="65"/>
    </row>
    <row r="17" spans="1:46" x14ac:dyDescent="0.3">
      <c r="A17" s="2" t="s">
        <v>113</v>
      </c>
      <c r="B17" s="2" t="s">
        <v>115</v>
      </c>
      <c r="C17" t="s">
        <v>116</v>
      </c>
      <c r="F17" s="28">
        <v>2.7</v>
      </c>
      <c r="G17" s="28">
        <v>2.7</v>
      </c>
      <c r="H17" s="28">
        <v>2.7</v>
      </c>
      <c r="I17" s="28">
        <v>2.7</v>
      </c>
      <c r="J17" s="28">
        <v>2.7</v>
      </c>
      <c r="K17" s="28">
        <v>2.7</v>
      </c>
      <c r="L17" s="20"/>
      <c r="M17" s="28">
        <v>2.7</v>
      </c>
      <c r="N17" s="28">
        <v>2.7</v>
      </c>
      <c r="O17" s="28">
        <v>2.7</v>
      </c>
      <c r="P17" s="28">
        <v>2.7</v>
      </c>
      <c r="Q17" s="20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41" t="s">
        <v>212</v>
      </c>
      <c r="AG17" s="42" t="s">
        <v>162</v>
      </c>
      <c r="AH17" s="42" t="s">
        <v>163</v>
      </c>
      <c r="AI17" s="42" t="s">
        <v>178</v>
      </c>
      <c r="AJ17" s="42" t="s">
        <v>179</v>
      </c>
      <c r="AK17" s="42" t="s">
        <v>206</v>
      </c>
      <c r="AL17" s="42" t="s">
        <v>207</v>
      </c>
      <c r="AM17" s="42" t="s">
        <v>166</v>
      </c>
      <c r="AN17" s="42" t="s">
        <v>167</v>
      </c>
      <c r="AO17" s="42">
        <v>100</v>
      </c>
      <c r="AP17" s="36" t="s">
        <v>327</v>
      </c>
      <c r="AQ17" s="36" t="s">
        <v>328</v>
      </c>
    </row>
    <row r="18" spans="1:46" x14ac:dyDescent="0.3">
      <c r="A18" s="2" t="s">
        <v>113</v>
      </c>
      <c r="B18" s="2" t="s">
        <v>117</v>
      </c>
      <c r="C18" t="s">
        <v>116</v>
      </c>
      <c r="F18" s="28">
        <v>1.1000000000000001</v>
      </c>
      <c r="G18" s="28">
        <v>1.1000000000000001</v>
      </c>
      <c r="H18" s="28">
        <v>1.1000000000000001</v>
      </c>
      <c r="I18" s="28">
        <v>1.1000000000000001</v>
      </c>
      <c r="J18" s="28">
        <v>1.1000000000000001</v>
      </c>
      <c r="K18" s="28">
        <v>1.1000000000000001</v>
      </c>
      <c r="L18" s="20"/>
      <c r="M18" s="28">
        <v>1.1000000000000001</v>
      </c>
      <c r="N18" s="28">
        <v>1.1000000000000001</v>
      </c>
      <c r="O18" s="28">
        <v>1.1000000000000001</v>
      </c>
      <c r="P18" s="28">
        <v>1.1000000000000001</v>
      </c>
      <c r="Q18" s="20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41" t="s">
        <v>213</v>
      </c>
      <c r="AG18" s="42" t="s">
        <v>169</v>
      </c>
      <c r="AH18" s="42" t="s">
        <v>170</v>
      </c>
      <c r="AI18" s="42" t="s">
        <v>214</v>
      </c>
      <c r="AJ18" s="42" t="s">
        <v>151</v>
      </c>
      <c r="AK18" s="42" t="s">
        <v>206</v>
      </c>
      <c r="AL18" s="42" t="s">
        <v>207</v>
      </c>
      <c r="AM18" s="42" t="s">
        <v>173</v>
      </c>
      <c r="AN18" s="42" t="s">
        <v>174</v>
      </c>
      <c r="AO18" s="42">
        <v>100</v>
      </c>
      <c r="AP18" s="36" t="s">
        <v>329</v>
      </c>
      <c r="AQ18" s="36" t="s">
        <v>330</v>
      </c>
    </row>
    <row r="19" spans="1:46" x14ac:dyDescent="0.3">
      <c r="A19" s="136" t="s">
        <v>118</v>
      </c>
      <c r="B19" s="2" t="s">
        <v>119</v>
      </c>
      <c r="C19" t="s">
        <v>48</v>
      </c>
      <c r="F19" s="28">
        <v>1.49</v>
      </c>
      <c r="G19" s="28">
        <v>1.49</v>
      </c>
      <c r="H19" s="28">
        <v>1.49</v>
      </c>
      <c r="I19" s="28">
        <v>1.49</v>
      </c>
      <c r="J19" s="28">
        <v>1.49</v>
      </c>
      <c r="K19" s="28">
        <v>1.49</v>
      </c>
      <c r="L19" s="20"/>
      <c r="M19" s="28">
        <v>1.49</v>
      </c>
      <c r="N19" s="28">
        <v>1.49</v>
      </c>
      <c r="O19" s="28">
        <v>1.49</v>
      </c>
      <c r="P19" s="28">
        <v>1.49</v>
      </c>
      <c r="Q19" s="20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41" t="s">
        <v>215</v>
      </c>
      <c r="AG19" s="42" t="s">
        <v>176</v>
      </c>
      <c r="AH19" s="42" t="s">
        <v>177</v>
      </c>
      <c r="AI19" s="42" t="s">
        <v>216</v>
      </c>
      <c r="AJ19" s="42" t="s">
        <v>217</v>
      </c>
      <c r="AK19" s="42" t="s">
        <v>206</v>
      </c>
      <c r="AL19" s="42" t="s">
        <v>207</v>
      </c>
      <c r="AM19" s="42" t="s">
        <v>180</v>
      </c>
      <c r="AN19" s="42" t="s">
        <v>181</v>
      </c>
      <c r="AO19" s="42">
        <v>100</v>
      </c>
    </row>
    <row r="20" spans="1:46" x14ac:dyDescent="0.3">
      <c r="A20" s="136" t="s">
        <v>118</v>
      </c>
      <c r="B20" s="2" t="s">
        <v>120</v>
      </c>
      <c r="C20" t="s">
        <v>48</v>
      </c>
      <c r="F20" s="28">
        <v>1.6</v>
      </c>
      <c r="G20" s="28">
        <v>1.6</v>
      </c>
      <c r="H20" s="28">
        <v>1.6</v>
      </c>
      <c r="I20" s="28">
        <v>1.6</v>
      </c>
      <c r="J20" s="28">
        <v>1.6</v>
      </c>
      <c r="K20" s="28">
        <v>1.6</v>
      </c>
      <c r="L20" s="20"/>
      <c r="M20" s="28">
        <v>1.6</v>
      </c>
      <c r="N20" s="28">
        <v>1.6</v>
      </c>
      <c r="O20" s="28">
        <v>1.6</v>
      </c>
      <c r="P20" s="28">
        <v>1.6</v>
      </c>
      <c r="Q20" s="20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41" t="s">
        <v>218</v>
      </c>
      <c r="AG20" s="42" t="s">
        <v>219</v>
      </c>
      <c r="AH20" s="42" t="s">
        <v>220</v>
      </c>
      <c r="AI20" s="42" t="s">
        <v>221</v>
      </c>
      <c r="AJ20" s="42" t="s">
        <v>222</v>
      </c>
      <c r="AK20" s="42" t="s">
        <v>206</v>
      </c>
      <c r="AL20" s="42" t="s">
        <v>207</v>
      </c>
      <c r="AM20" s="42" t="s">
        <v>185</v>
      </c>
      <c r="AN20" s="42" t="s">
        <v>186</v>
      </c>
      <c r="AO20" s="42">
        <v>100</v>
      </c>
    </row>
    <row r="21" spans="1:46" x14ac:dyDescent="0.3">
      <c r="A21" s="136" t="s">
        <v>118</v>
      </c>
      <c r="B21" s="2" t="s">
        <v>121</v>
      </c>
      <c r="C21" t="s">
        <v>48</v>
      </c>
      <c r="F21" s="28">
        <v>1.7</v>
      </c>
      <c r="G21" s="28">
        <v>1.7</v>
      </c>
      <c r="H21" s="28">
        <v>1.7</v>
      </c>
      <c r="I21" s="28">
        <v>1.7</v>
      </c>
      <c r="J21" s="28">
        <v>1.7</v>
      </c>
      <c r="K21" s="28">
        <v>1.7</v>
      </c>
      <c r="L21" s="20"/>
      <c r="M21" s="28">
        <v>1.7</v>
      </c>
      <c r="N21" s="28">
        <v>1.7</v>
      </c>
      <c r="O21" s="28">
        <v>1.7</v>
      </c>
      <c r="P21" s="28">
        <v>1.7</v>
      </c>
      <c r="Q21" s="20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41" t="s">
        <v>223</v>
      </c>
      <c r="AG21" s="42" t="s">
        <v>188</v>
      </c>
      <c r="AH21" s="42" t="s">
        <v>189</v>
      </c>
      <c r="AI21" s="42" t="s">
        <v>224</v>
      </c>
      <c r="AJ21" s="42" t="s">
        <v>225</v>
      </c>
      <c r="AK21" s="42" t="s">
        <v>206</v>
      </c>
      <c r="AL21" s="42" t="s">
        <v>207</v>
      </c>
      <c r="AM21" s="42" t="s">
        <v>194</v>
      </c>
      <c r="AN21" s="42" t="s">
        <v>195</v>
      </c>
      <c r="AO21" s="42">
        <v>100</v>
      </c>
    </row>
    <row r="22" spans="1:46" x14ac:dyDescent="0.3">
      <c r="A22" s="2" t="s">
        <v>108</v>
      </c>
      <c r="B22" s="2" t="s">
        <v>102</v>
      </c>
      <c r="C22" t="s">
        <v>109</v>
      </c>
      <c r="F22" s="28">
        <v>7.6</v>
      </c>
      <c r="G22" s="28">
        <v>7.6</v>
      </c>
      <c r="H22" s="28">
        <v>7.6</v>
      </c>
      <c r="I22" s="28">
        <v>7.6</v>
      </c>
      <c r="J22" s="28">
        <v>7.6</v>
      </c>
      <c r="K22" s="28">
        <v>7.6</v>
      </c>
      <c r="L22" s="20"/>
      <c r="M22" s="28">
        <v>7.6</v>
      </c>
      <c r="N22" s="28">
        <v>7.6</v>
      </c>
      <c r="O22" s="28">
        <v>7.6</v>
      </c>
      <c r="P22" s="28">
        <v>7.6</v>
      </c>
      <c r="Q22" s="20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41" t="s">
        <v>298</v>
      </c>
      <c r="AG22" s="42" t="s">
        <v>299</v>
      </c>
      <c r="AH22" s="42" t="s">
        <v>300</v>
      </c>
      <c r="AI22" s="42" t="s">
        <v>302</v>
      </c>
      <c r="AJ22" s="42" t="s">
        <v>301</v>
      </c>
      <c r="AK22" s="42" t="s">
        <v>206</v>
      </c>
      <c r="AL22" s="42" t="s">
        <v>207</v>
      </c>
      <c r="AM22" s="42" t="s">
        <v>303</v>
      </c>
      <c r="AN22" s="42" t="s">
        <v>304</v>
      </c>
      <c r="AO22" s="42">
        <v>100</v>
      </c>
    </row>
    <row r="23" spans="1:46" x14ac:dyDescent="0.3">
      <c r="A23" s="136" t="s">
        <v>114</v>
      </c>
      <c r="B23" s="138" t="s">
        <v>112</v>
      </c>
      <c r="C23" t="s">
        <v>110</v>
      </c>
      <c r="F23" s="28">
        <v>3.32</v>
      </c>
      <c r="G23" s="28">
        <v>3.32</v>
      </c>
      <c r="H23" s="28">
        <v>3.32</v>
      </c>
      <c r="I23" s="28">
        <v>3.32</v>
      </c>
      <c r="J23" s="28">
        <v>3.32</v>
      </c>
      <c r="K23" s="28">
        <v>3.32</v>
      </c>
      <c r="L23" s="20"/>
      <c r="M23" s="28">
        <v>3.32</v>
      </c>
      <c r="N23" s="28">
        <v>3.32</v>
      </c>
      <c r="O23" s="28">
        <v>3.32</v>
      </c>
      <c r="P23" s="28">
        <v>3.32</v>
      </c>
      <c r="Q23" s="20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43" t="s">
        <v>226</v>
      </c>
      <c r="AG23" s="44" t="s">
        <v>146</v>
      </c>
      <c r="AH23" s="44" t="s">
        <v>147</v>
      </c>
      <c r="AI23" s="44" t="s">
        <v>148</v>
      </c>
      <c r="AJ23" s="44" t="s">
        <v>149</v>
      </c>
      <c r="AK23" s="44" t="s">
        <v>227</v>
      </c>
      <c r="AL23" s="44" t="s">
        <v>228</v>
      </c>
      <c r="AM23" s="44" t="s">
        <v>152</v>
      </c>
      <c r="AN23" s="44" t="s">
        <v>153</v>
      </c>
      <c r="AO23" s="44">
        <v>120</v>
      </c>
      <c r="AP23" s="53" t="s">
        <v>331</v>
      </c>
      <c r="AQ23" s="53" t="s">
        <v>332</v>
      </c>
      <c r="AR23" s="53" t="s">
        <v>333</v>
      </c>
      <c r="AS23" s="53" t="s">
        <v>334</v>
      </c>
      <c r="AT23" s="53" t="s">
        <v>335</v>
      </c>
    </row>
    <row r="24" spans="1:46" x14ac:dyDescent="0.3">
      <c r="A24" s="2" t="s">
        <v>101</v>
      </c>
      <c r="B24" s="2" t="s">
        <v>103</v>
      </c>
      <c r="C24" t="s">
        <v>104</v>
      </c>
      <c r="F24" s="27">
        <v>22</v>
      </c>
      <c r="G24" s="27">
        <v>22</v>
      </c>
      <c r="H24" s="27">
        <v>22</v>
      </c>
      <c r="I24" s="27">
        <v>22</v>
      </c>
      <c r="J24" s="27">
        <v>22</v>
      </c>
      <c r="K24" s="27">
        <v>22</v>
      </c>
      <c r="L24" s="20"/>
      <c r="M24" s="27">
        <v>22</v>
      </c>
      <c r="N24" s="27">
        <v>22</v>
      </c>
      <c r="O24" s="27">
        <v>22</v>
      </c>
      <c r="P24" s="27">
        <v>22</v>
      </c>
      <c r="Q24" s="20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43" t="s">
        <v>229</v>
      </c>
      <c r="AG24" s="44" t="s">
        <v>155</v>
      </c>
      <c r="AH24" s="44" t="s">
        <v>156</v>
      </c>
      <c r="AI24" s="44" t="s">
        <v>157</v>
      </c>
      <c r="AJ24" s="44" t="s">
        <v>158</v>
      </c>
      <c r="AK24" s="44" t="s">
        <v>227</v>
      </c>
      <c r="AL24" s="44" t="s">
        <v>228</v>
      </c>
      <c r="AM24" s="44" t="s">
        <v>159</v>
      </c>
      <c r="AN24" s="44" t="s">
        <v>160</v>
      </c>
      <c r="AO24" s="44">
        <v>120</v>
      </c>
      <c r="AP24" s="36" t="s">
        <v>336</v>
      </c>
      <c r="AQ24" s="36" t="s">
        <v>337</v>
      </c>
      <c r="AR24" s="36">
        <v>1</v>
      </c>
      <c r="AS24" s="36" t="s">
        <v>338</v>
      </c>
      <c r="AT24" s="36" t="s">
        <v>339</v>
      </c>
    </row>
    <row r="25" spans="1:46" x14ac:dyDescent="0.3">
      <c r="A25" s="2" t="s">
        <v>126</v>
      </c>
      <c r="B25" s="34">
        <v>100</v>
      </c>
      <c r="C25" t="s">
        <v>7</v>
      </c>
      <c r="F25" s="59">
        <f t="shared" ref="F25:K25" si="0">$B$25</f>
        <v>100</v>
      </c>
      <c r="G25" s="59">
        <f t="shared" si="0"/>
        <v>100</v>
      </c>
      <c r="H25" s="59">
        <f t="shared" si="0"/>
        <v>100</v>
      </c>
      <c r="I25" s="59">
        <f t="shared" si="0"/>
        <v>100</v>
      </c>
      <c r="J25" s="59">
        <f t="shared" si="0"/>
        <v>100</v>
      </c>
      <c r="K25" s="59">
        <f t="shared" si="0"/>
        <v>100</v>
      </c>
      <c r="L25" s="35"/>
      <c r="M25" s="59">
        <f>$B$25</f>
        <v>100</v>
      </c>
      <c r="N25" s="59">
        <f>$B$25</f>
        <v>100</v>
      </c>
      <c r="O25" s="59">
        <f>$B$25</f>
        <v>100</v>
      </c>
      <c r="P25" s="59">
        <f>$B$25</f>
        <v>100</v>
      </c>
      <c r="Q25" s="20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43" t="s">
        <v>230</v>
      </c>
      <c r="AG25" s="44" t="s">
        <v>162</v>
      </c>
      <c r="AH25" s="44" t="s">
        <v>163</v>
      </c>
      <c r="AI25" s="44" t="s">
        <v>178</v>
      </c>
      <c r="AJ25" s="44" t="s">
        <v>179</v>
      </c>
      <c r="AK25" s="44" t="s">
        <v>227</v>
      </c>
      <c r="AL25" s="44" t="s">
        <v>228</v>
      </c>
      <c r="AM25" s="44" t="s">
        <v>166</v>
      </c>
      <c r="AN25" s="44" t="s">
        <v>167</v>
      </c>
      <c r="AO25" s="44">
        <v>120</v>
      </c>
      <c r="AP25" s="157" t="s">
        <v>340</v>
      </c>
      <c r="AQ25" s="36" t="s">
        <v>341</v>
      </c>
      <c r="AR25" s="157" t="s">
        <v>343</v>
      </c>
      <c r="AS25" s="157" t="s">
        <v>344</v>
      </c>
      <c r="AT25" s="157" t="s">
        <v>345</v>
      </c>
    </row>
    <row r="26" spans="1:46" x14ac:dyDescent="0.3">
      <c r="A26" s="58" t="str">
        <f>"Volumen bei "&amp;TEXT(F25,0)&amp; " mm Bauhöhe"</f>
        <v>Volumen bei 100 mm Bauhöhe</v>
      </c>
      <c r="B26" s="2" t="s">
        <v>127</v>
      </c>
      <c r="C26" t="s">
        <v>124</v>
      </c>
      <c r="F26" s="60">
        <f t="shared" ref="F26:K26" si="1">(F13*F25)/POWER(10,6)-F33</f>
        <v>0.85781457999999988</v>
      </c>
      <c r="G26" s="60">
        <f t="shared" si="1"/>
        <v>0.80718679999999998</v>
      </c>
      <c r="H26" s="60">
        <f t="shared" si="1"/>
        <v>1.3341014400000002</v>
      </c>
      <c r="I26" s="60">
        <f t="shared" si="1"/>
        <v>1.0452062600000001</v>
      </c>
      <c r="J26" s="60">
        <f t="shared" si="1"/>
        <v>2.1377857200000001</v>
      </c>
      <c r="K26" s="60">
        <f t="shared" si="1"/>
        <v>1.4612339000000001</v>
      </c>
      <c r="L26" s="20"/>
      <c r="M26" s="60">
        <f>(M13*M25)/POWER(10,6)-M33</f>
        <v>1.79832842</v>
      </c>
      <c r="N26" s="60">
        <f>(N13*N25)/POWER(10,6)-N33</f>
        <v>2.8974454599999997</v>
      </c>
      <c r="O26" s="60">
        <f>(O13*O25)/POWER(10,6)-O33</f>
        <v>2.4774841000000003</v>
      </c>
      <c r="P26" s="60">
        <f>(P13*P25)/POWER(10,6)-P33</f>
        <v>4.3401143380000002</v>
      </c>
      <c r="Q26" s="20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43" t="s">
        <v>231</v>
      </c>
      <c r="AG26" s="44" t="s">
        <v>169</v>
      </c>
      <c r="AH26" s="44" t="s">
        <v>170</v>
      </c>
      <c r="AI26" s="44" t="s">
        <v>214</v>
      </c>
      <c r="AJ26" s="44" t="s">
        <v>151</v>
      </c>
      <c r="AK26" s="44" t="s">
        <v>227</v>
      </c>
      <c r="AL26" s="44" t="s">
        <v>228</v>
      </c>
      <c r="AM26" s="44" t="s">
        <v>173</v>
      </c>
      <c r="AN26" s="44" t="s">
        <v>174</v>
      </c>
      <c r="AO26" s="44">
        <v>120</v>
      </c>
      <c r="AP26" s="157"/>
      <c r="AQ26" s="36" t="s">
        <v>342</v>
      </c>
      <c r="AR26" s="157"/>
      <c r="AS26" s="157"/>
      <c r="AT26" s="157"/>
    </row>
    <row r="27" spans="1:46" x14ac:dyDescent="0.3">
      <c r="A27" s="58" t="str">
        <f>"Gewicht bei "&amp;TEXT(F25,0)&amp; " mm Bauhöhe"</f>
        <v>Gewicht bei 100 mm Bauhöhe</v>
      </c>
      <c r="B27" s="2" t="s">
        <v>127</v>
      </c>
      <c r="C27" t="s">
        <v>125</v>
      </c>
      <c r="F27" s="61">
        <f t="shared" ref="F27:K27" si="2">F22*F26</f>
        <v>6.5193908079999989</v>
      </c>
      <c r="G27" s="61">
        <f t="shared" si="2"/>
        <v>6.1346196799999992</v>
      </c>
      <c r="H27" s="61">
        <f t="shared" si="2"/>
        <v>10.139170944000002</v>
      </c>
      <c r="I27" s="61">
        <f t="shared" si="2"/>
        <v>7.9435675760000004</v>
      </c>
      <c r="J27" s="61">
        <f t="shared" si="2"/>
        <v>16.247171472000002</v>
      </c>
      <c r="K27" s="61">
        <f t="shared" si="2"/>
        <v>11.10537764</v>
      </c>
      <c r="L27" s="20"/>
      <c r="M27" s="61">
        <f>M22*M26</f>
        <v>13.667295992</v>
      </c>
      <c r="N27" s="61">
        <f>N22*N26</f>
        <v>22.020585495999995</v>
      </c>
      <c r="O27" s="61">
        <f>O22*O26</f>
        <v>18.828879160000003</v>
      </c>
      <c r="P27" s="61">
        <f>P22*P26</f>
        <v>32.984868968800001</v>
      </c>
      <c r="Q27" s="20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43" t="s">
        <v>232</v>
      </c>
      <c r="AG27" s="44" t="s">
        <v>233</v>
      </c>
      <c r="AH27" s="44" t="s">
        <v>234</v>
      </c>
      <c r="AI27" s="44" t="s">
        <v>235</v>
      </c>
      <c r="AJ27" s="44" t="s">
        <v>236</v>
      </c>
      <c r="AK27" s="44" t="s">
        <v>227</v>
      </c>
      <c r="AL27" s="44" t="s">
        <v>228</v>
      </c>
      <c r="AM27" s="44" t="s">
        <v>180</v>
      </c>
      <c r="AN27" s="44" t="s">
        <v>181</v>
      </c>
      <c r="AO27" s="44">
        <v>120</v>
      </c>
      <c r="AP27" s="36" t="s">
        <v>346</v>
      </c>
      <c r="AQ27" s="36" t="s">
        <v>347</v>
      </c>
      <c r="AR27" s="36" t="s">
        <v>349</v>
      </c>
      <c r="AS27" s="36" t="s">
        <v>350</v>
      </c>
      <c r="AT27" s="36" t="s">
        <v>352</v>
      </c>
    </row>
    <row r="28" spans="1:46" x14ac:dyDescent="0.3">
      <c r="A28" s="2" t="s">
        <v>488</v>
      </c>
      <c r="B28" s="2" t="s">
        <v>383</v>
      </c>
      <c r="C28" t="s">
        <v>384</v>
      </c>
      <c r="F28" s="9">
        <v>450</v>
      </c>
      <c r="G28" s="9">
        <f>F28</f>
        <v>450</v>
      </c>
      <c r="H28" s="9">
        <v>450</v>
      </c>
      <c r="I28" s="9">
        <v>450</v>
      </c>
      <c r="J28" s="9">
        <v>450</v>
      </c>
      <c r="K28" s="9">
        <v>450</v>
      </c>
      <c r="L28" s="20"/>
      <c r="M28" s="9">
        <v>450</v>
      </c>
      <c r="N28" s="9">
        <v>450</v>
      </c>
      <c r="O28" s="9">
        <v>450</v>
      </c>
      <c r="P28" s="9">
        <v>450</v>
      </c>
      <c r="Q28" s="20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43" t="s">
        <v>237</v>
      </c>
      <c r="AG28" s="44" t="s">
        <v>219</v>
      </c>
      <c r="AH28" s="44" t="s">
        <v>220</v>
      </c>
      <c r="AI28" s="44" t="s">
        <v>216</v>
      </c>
      <c r="AJ28" s="44" t="s">
        <v>217</v>
      </c>
      <c r="AK28" s="44" t="s">
        <v>227</v>
      </c>
      <c r="AL28" s="44" t="s">
        <v>228</v>
      </c>
      <c r="AM28" s="44" t="s">
        <v>185</v>
      </c>
      <c r="AN28" s="44" t="s">
        <v>186</v>
      </c>
      <c r="AO28" s="44">
        <v>120</v>
      </c>
      <c r="AP28" s="36"/>
      <c r="AQ28" s="36" t="s">
        <v>348</v>
      </c>
      <c r="AR28" s="36"/>
      <c r="AS28" s="36" t="s">
        <v>351</v>
      </c>
      <c r="AT28" s="36" t="s">
        <v>353</v>
      </c>
    </row>
    <row r="29" spans="1:46" s="24" customFormat="1" x14ac:dyDescent="0.3">
      <c r="A29" s="30" t="s">
        <v>99</v>
      </c>
      <c r="B29" s="30" t="s">
        <v>105</v>
      </c>
      <c r="C29" s="23" t="s">
        <v>123</v>
      </c>
      <c r="D29" s="23"/>
      <c r="E29" s="23"/>
      <c r="F29" s="31" t="s">
        <v>100</v>
      </c>
      <c r="G29" s="31" t="s">
        <v>100</v>
      </c>
      <c r="H29" s="31" t="s">
        <v>100</v>
      </c>
      <c r="I29" s="31" t="s">
        <v>100</v>
      </c>
      <c r="J29" s="31" t="s">
        <v>100</v>
      </c>
      <c r="K29" s="31" t="s">
        <v>100</v>
      </c>
      <c r="L29" s="31"/>
      <c r="M29" s="31" t="s">
        <v>100</v>
      </c>
      <c r="N29" s="31" t="s">
        <v>100</v>
      </c>
      <c r="O29" s="31" t="s">
        <v>100</v>
      </c>
      <c r="P29" s="31" t="s">
        <v>100</v>
      </c>
      <c r="Q29" s="31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45" t="s">
        <v>238</v>
      </c>
      <c r="AG29" s="46" t="s">
        <v>146</v>
      </c>
      <c r="AH29" s="46" t="s">
        <v>147</v>
      </c>
      <c r="AI29" s="46" t="s">
        <v>239</v>
      </c>
      <c r="AJ29" s="46" t="s">
        <v>193</v>
      </c>
      <c r="AK29" s="46" t="s">
        <v>240</v>
      </c>
      <c r="AL29" s="46" t="s">
        <v>241</v>
      </c>
      <c r="AM29" s="46" t="s">
        <v>152</v>
      </c>
      <c r="AN29" s="46" t="s">
        <v>153</v>
      </c>
      <c r="AO29" s="46">
        <v>150</v>
      </c>
      <c r="AP29" s="36" t="s">
        <v>354</v>
      </c>
      <c r="AQ29" s="36" t="s">
        <v>355</v>
      </c>
      <c r="AR29" s="36" t="s">
        <v>356</v>
      </c>
      <c r="AS29" s="36" t="s">
        <v>344</v>
      </c>
      <c r="AT29" s="36" t="s">
        <v>357</v>
      </c>
    </row>
    <row r="30" spans="1:46" x14ac:dyDescent="0.3">
      <c r="A30" s="2" t="s">
        <v>106</v>
      </c>
      <c r="B30" s="2" t="s">
        <v>107</v>
      </c>
      <c r="C30" t="s">
        <v>122</v>
      </c>
      <c r="F30" s="29">
        <v>5</v>
      </c>
      <c r="G30" s="29">
        <v>5</v>
      </c>
      <c r="H30" s="29">
        <v>5</v>
      </c>
      <c r="I30" s="29">
        <v>5</v>
      </c>
      <c r="J30" s="29">
        <v>5</v>
      </c>
      <c r="K30" s="29">
        <v>5</v>
      </c>
      <c r="L30" s="20"/>
      <c r="M30" s="29">
        <v>5</v>
      </c>
      <c r="N30" s="29">
        <v>5</v>
      </c>
      <c r="O30" s="29">
        <v>5</v>
      </c>
      <c r="P30" s="29">
        <v>5</v>
      </c>
      <c r="Q30" s="20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45" t="s">
        <v>242</v>
      </c>
      <c r="AG30" s="46" t="s">
        <v>155</v>
      </c>
      <c r="AH30" s="46" t="s">
        <v>156</v>
      </c>
      <c r="AI30" s="46" t="s">
        <v>164</v>
      </c>
      <c r="AJ30" s="46" t="s">
        <v>165</v>
      </c>
      <c r="AK30" s="46" t="s">
        <v>240</v>
      </c>
      <c r="AL30" s="46" t="s">
        <v>241</v>
      </c>
      <c r="AM30" s="46" t="s">
        <v>159</v>
      </c>
      <c r="AN30" s="46" t="s">
        <v>160</v>
      </c>
      <c r="AO30" s="46">
        <v>150</v>
      </c>
      <c r="AP30" s="36" t="s">
        <v>358</v>
      </c>
      <c r="AQ30" s="36" t="s">
        <v>359</v>
      </c>
      <c r="AR30" s="36" t="s">
        <v>343</v>
      </c>
      <c r="AS30" s="36" t="s">
        <v>360</v>
      </c>
      <c r="AT30" s="36" t="s">
        <v>357</v>
      </c>
    </row>
    <row r="31" spans="1:46" x14ac:dyDescent="0.3">
      <c r="A31" s="2" t="s">
        <v>101</v>
      </c>
      <c r="B31" s="2" t="s">
        <v>103</v>
      </c>
      <c r="C31" t="s">
        <v>104</v>
      </c>
      <c r="F31" s="27">
        <v>0.2</v>
      </c>
      <c r="G31" s="27">
        <v>0.2</v>
      </c>
      <c r="H31" s="27">
        <v>0.2</v>
      </c>
      <c r="I31" s="27">
        <v>0.2</v>
      </c>
      <c r="J31" s="27">
        <v>0.2</v>
      </c>
      <c r="K31" s="27">
        <v>0.2</v>
      </c>
      <c r="L31" s="20"/>
      <c r="M31" s="27">
        <v>0.2</v>
      </c>
      <c r="N31" s="27">
        <v>0.2</v>
      </c>
      <c r="O31" s="27">
        <v>0.2</v>
      </c>
      <c r="P31" s="27">
        <v>0.2</v>
      </c>
      <c r="Q31" s="20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45" t="s">
        <v>243</v>
      </c>
      <c r="AG31" s="46" t="s">
        <v>162</v>
      </c>
      <c r="AH31" s="46" t="s">
        <v>163</v>
      </c>
      <c r="AI31" s="46" t="s">
        <v>244</v>
      </c>
      <c r="AJ31" s="46" t="s">
        <v>245</v>
      </c>
      <c r="AK31" s="46" t="s">
        <v>240</v>
      </c>
      <c r="AL31" s="46" t="s">
        <v>241</v>
      </c>
      <c r="AM31" s="46" t="s">
        <v>166</v>
      </c>
      <c r="AN31" s="46" t="s">
        <v>167</v>
      </c>
      <c r="AO31" s="46">
        <v>150</v>
      </c>
      <c r="AP31" s="36" t="s">
        <v>361</v>
      </c>
      <c r="AQ31" s="36" t="s">
        <v>362</v>
      </c>
      <c r="AR31" s="36" t="s">
        <v>343</v>
      </c>
      <c r="AS31" s="36" t="s">
        <v>363</v>
      </c>
      <c r="AT31" s="36" t="s">
        <v>339</v>
      </c>
    </row>
    <row r="32" spans="1:46" x14ac:dyDescent="0.3">
      <c r="A32" s="2" t="s">
        <v>108</v>
      </c>
      <c r="B32" s="2"/>
      <c r="C32" t="s">
        <v>109</v>
      </c>
      <c r="F32" s="27">
        <v>1.08</v>
      </c>
      <c r="G32" s="27">
        <v>1.08</v>
      </c>
      <c r="H32" s="27">
        <v>1.08</v>
      </c>
      <c r="I32" s="27">
        <v>1.08</v>
      </c>
      <c r="J32" s="27">
        <v>1.08</v>
      </c>
      <c r="K32" s="27">
        <v>1.08</v>
      </c>
      <c r="L32" s="20"/>
      <c r="M32" s="27">
        <v>1.08</v>
      </c>
      <c r="N32" s="27">
        <v>1.08</v>
      </c>
      <c r="O32" s="27">
        <v>1.08</v>
      </c>
      <c r="P32" s="27">
        <v>1.08</v>
      </c>
      <c r="Q32" s="20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45" t="s">
        <v>246</v>
      </c>
      <c r="AG32" s="46" t="s">
        <v>169</v>
      </c>
      <c r="AH32" s="46" t="s">
        <v>170</v>
      </c>
      <c r="AI32" s="46" t="s">
        <v>247</v>
      </c>
      <c r="AJ32" s="46" t="s">
        <v>248</v>
      </c>
      <c r="AK32" s="46" t="s">
        <v>240</v>
      </c>
      <c r="AL32" s="46" t="s">
        <v>241</v>
      </c>
      <c r="AM32" s="46" t="s">
        <v>173</v>
      </c>
      <c r="AN32" s="46" t="s">
        <v>174</v>
      </c>
      <c r="AO32" s="46">
        <v>150</v>
      </c>
      <c r="AP32" s="36" t="s">
        <v>364</v>
      </c>
      <c r="AQ32" s="36" t="s">
        <v>364</v>
      </c>
      <c r="AR32" s="36" t="s">
        <v>367</v>
      </c>
      <c r="AS32" s="36" t="s">
        <v>368</v>
      </c>
      <c r="AT32" s="36" t="s">
        <v>369</v>
      </c>
    </row>
    <row r="33" spans="1:46" x14ac:dyDescent="0.3">
      <c r="A33" s="58" t="str">
        <f>"Volumen bei "&amp;TEXT(F25,0)&amp; " mm Bauhöhe"</f>
        <v>Volumen bei 100 mm Bauhöhe</v>
      </c>
      <c r="B33" s="2"/>
      <c r="C33" t="s">
        <v>124</v>
      </c>
      <c r="F33" s="60">
        <f t="shared" ref="F33:K33" si="3">(F13*F25)/POWER(10,6)*0.02</f>
        <v>1.7506419999999998E-2</v>
      </c>
      <c r="G33" s="60">
        <f t="shared" si="3"/>
        <v>1.64732E-2</v>
      </c>
      <c r="H33" s="60">
        <f t="shared" si="3"/>
        <v>2.7226560000000004E-2</v>
      </c>
      <c r="I33" s="60">
        <f t="shared" si="3"/>
        <v>2.1330740000000001E-2</v>
      </c>
      <c r="J33" s="60">
        <f t="shared" si="3"/>
        <v>4.3628280000000005E-2</v>
      </c>
      <c r="K33" s="60">
        <f t="shared" si="3"/>
        <v>2.98211E-2</v>
      </c>
      <c r="L33" s="20"/>
      <c r="M33" s="60">
        <f>(M13*M25)/POWER(10,6)*0.02</f>
        <v>3.6700580000000003E-2</v>
      </c>
      <c r="N33" s="60">
        <f>(N13*N25)/POWER(10,6)*0.02</f>
        <v>5.9131539999999996E-2</v>
      </c>
      <c r="O33" s="60">
        <f>(O13*O25)/POWER(10,6)*0.02</f>
        <v>5.0560900000000006E-2</v>
      </c>
      <c r="P33" s="60">
        <f>(P13*P25)/POWER(10,6)*0.02</f>
        <v>8.8573762000000014E-2</v>
      </c>
      <c r="Q33" s="20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45" t="s">
        <v>249</v>
      </c>
      <c r="AG33" s="46" t="s">
        <v>176</v>
      </c>
      <c r="AH33" s="46" t="s">
        <v>177</v>
      </c>
      <c r="AI33" s="46" t="s">
        <v>250</v>
      </c>
      <c r="AJ33" s="46" t="s">
        <v>251</v>
      </c>
      <c r="AK33" s="46" t="s">
        <v>240</v>
      </c>
      <c r="AL33" s="46" t="s">
        <v>241</v>
      </c>
      <c r="AM33" s="46" t="s">
        <v>180</v>
      </c>
      <c r="AN33" s="46" t="s">
        <v>181</v>
      </c>
      <c r="AO33" s="46">
        <v>150</v>
      </c>
      <c r="AP33" s="36"/>
      <c r="AQ33" s="36" t="s">
        <v>365</v>
      </c>
      <c r="AR33" s="36"/>
      <c r="AS33" s="36"/>
      <c r="AT33" s="36"/>
    </row>
    <row r="34" spans="1:46" x14ac:dyDescent="0.3">
      <c r="A34" s="58" t="str">
        <f>"Gewicht bei "&amp;TEXT(F25,0)&amp; " mm Bauhöhe"</f>
        <v>Gewicht bei 100 mm Bauhöhe</v>
      </c>
      <c r="B34" s="2"/>
      <c r="C34" t="s">
        <v>125</v>
      </c>
      <c r="F34" s="62">
        <f t="shared" ref="F34:K34" si="4">F33*F32</f>
        <v>1.8906933599999998E-2</v>
      </c>
      <c r="G34" s="62">
        <f t="shared" si="4"/>
        <v>1.7791056000000003E-2</v>
      </c>
      <c r="H34" s="62">
        <f t="shared" si="4"/>
        <v>2.9404684800000008E-2</v>
      </c>
      <c r="I34" s="62">
        <f t="shared" si="4"/>
        <v>2.3037199200000004E-2</v>
      </c>
      <c r="J34" s="62">
        <f t="shared" si="4"/>
        <v>4.7118542400000012E-2</v>
      </c>
      <c r="K34" s="62">
        <f t="shared" si="4"/>
        <v>3.2206788E-2</v>
      </c>
      <c r="L34" s="20"/>
      <c r="M34" s="62">
        <f>M33*M32</f>
        <v>3.9636626400000007E-2</v>
      </c>
      <c r="N34" s="62">
        <f>N33*N32</f>
        <v>6.3862063199999999E-2</v>
      </c>
      <c r="O34" s="62">
        <f>O33*O32</f>
        <v>5.4605772000000011E-2</v>
      </c>
      <c r="P34" s="62">
        <f>P33*P32</f>
        <v>9.5659662960000016E-2</v>
      </c>
      <c r="Q34" s="20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47" t="s">
        <v>252</v>
      </c>
      <c r="AG34" s="48" t="s">
        <v>253</v>
      </c>
      <c r="AH34" s="48" t="s">
        <v>254</v>
      </c>
      <c r="AI34" s="48" t="s">
        <v>255</v>
      </c>
      <c r="AJ34" s="48" t="s">
        <v>256</v>
      </c>
      <c r="AK34" s="48" t="s">
        <v>257</v>
      </c>
      <c r="AL34" s="48" t="s">
        <v>258</v>
      </c>
      <c r="AM34" s="48" t="s">
        <v>259</v>
      </c>
      <c r="AN34" s="48" t="s">
        <v>260</v>
      </c>
      <c r="AO34" s="48">
        <v>180</v>
      </c>
      <c r="AP34" s="36"/>
      <c r="AQ34" s="36" t="s">
        <v>366</v>
      </c>
      <c r="AR34" s="36"/>
      <c r="AS34" s="36"/>
      <c r="AT34" s="36"/>
    </row>
    <row r="35" spans="1:46" x14ac:dyDescent="0.3">
      <c r="A35" s="2"/>
      <c r="B35" s="2"/>
      <c r="F35" s="33"/>
      <c r="G35" s="33"/>
      <c r="H35" s="33"/>
      <c r="I35" s="20"/>
      <c r="J35" s="33"/>
      <c r="K35" s="20"/>
      <c r="L35" s="20"/>
      <c r="M35" s="33"/>
      <c r="N35" s="33"/>
      <c r="O35" s="20"/>
      <c r="P35" s="33"/>
      <c r="Q35" s="20"/>
      <c r="AF35" s="47" t="s">
        <v>261</v>
      </c>
      <c r="AG35" s="48" t="s">
        <v>262</v>
      </c>
      <c r="AH35" s="48" t="s">
        <v>263</v>
      </c>
      <c r="AI35" s="48" t="s">
        <v>264</v>
      </c>
      <c r="AJ35" s="48" t="s">
        <v>265</v>
      </c>
      <c r="AK35" s="48" t="s">
        <v>257</v>
      </c>
      <c r="AL35" s="48" t="s">
        <v>258</v>
      </c>
      <c r="AM35" s="48" t="s">
        <v>266</v>
      </c>
      <c r="AN35" s="48" t="s">
        <v>267</v>
      </c>
      <c r="AO35" s="48">
        <v>180</v>
      </c>
      <c r="AP35" s="36" t="s">
        <v>370</v>
      </c>
      <c r="AQ35" s="36" t="s">
        <v>371</v>
      </c>
      <c r="AR35" s="36" t="s">
        <v>343</v>
      </c>
      <c r="AS35" s="36" t="s">
        <v>338</v>
      </c>
      <c r="AT35" s="36" t="s">
        <v>369</v>
      </c>
    </row>
    <row r="36" spans="1:46" s="14" customFormat="1" ht="15" customHeight="1" x14ac:dyDescent="0.3">
      <c r="A36" s="13" t="s">
        <v>90</v>
      </c>
      <c r="B36" s="13"/>
      <c r="C36" s="151" t="s">
        <v>87</v>
      </c>
      <c r="D36" s="151"/>
      <c r="E36" s="151"/>
      <c r="F36" s="13" t="s">
        <v>65</v>
      </c>
      <c r="G36" s="13" t="s">
        <v>68</v>
      </c>
      <c r="H36" s="13" t="s">
        <v>72</v>
      </c>
      <c r="I36" s="13"/>
      <c r="J36" s="13" t="s">
        <v>72</v>
      </c>
      <c r="K36" s="13"/>
      <c r="L36" s="113"/>
      <c r="M36" s="13" t="s">
        <v>75</v>
      </c>
      <c r="N36" s="13" t="s">
        <v>67</v>
      </c>
      <c r="O36" s="13"/>
      <c r="P36" s="13" t="s">
        <v>80</v>
      </c>
      <c r="Q36" s="13"/>
      <c r="AF36" s="47" t="s">
        <v>268</v>
      </c>
      <c r="AG36" s="48" t="s">
        <v>202</v>
      </c>
      <c r="AH36" s="48" t="s">
        <v>203</v>
      </c>
      <c r="AI36" s="48" t="s">
        <v>269</v>
      </c>
      <c r="AJ36" s="48" t="s">
        <v>270</v>
      </c>
      <c r="AK36" s="48" t="s">
        <v>257</v>
      </c>
      <c r="AL36" s="48" t="s">
        <v>258</v>
      </c>
      <c r="AM36" s="48" t="s">
        <v>271</v>
      </c>
      <c r="AN36" s="48" t="s">
        <v>272</v>
      </c>
      <c r="AO36" s="48">
        <v>180</v>
      </c>
      <c r="AP36" s="36" t="s">
        <v>372</v>
      </c>
      <c r="AQ36" s="36" t="s">
        <v>372</v>
      </c>
      <c r="AR36" s="36" t="s">
        <v>373</v>
      </c>
      <c r="AS36" s="36" t="s">
        <v>374</v>
      </c>
      <c r="AT36" s="36" t="s">
        <v>375</v>
      </c>
    </row>
    <row r="37" spans="1:46" s="145" customFormat="1" x14ac:dyDescent="0.3">
      <c r="A37" s="145" t="s">
        <v>11</v>
      </c>
      <c r="B37" s="145" t="s">
        <v>41</v>
      </c>
      <c r="F37" s="145" t="s">
        <v>42</v>
      </c>
      <c r="G37" s="145" t="s">
        <v>43</v>
      </c>
      <c r="H37" s="145" t="s">
        <v>42</v>
      </c>
      <c r="I37" s="145" t="s">
        <v>43</v>
      </c>
      <c r="J37" s="145" t="s">
        <v>42</v>
      </c>
      <c r="K37" s="145" t="s">
        <v>43</v>
      </c>
      <c r="M37" s="145" t="s">
        <v>44</v>
      </c>
      <c r="N37" s="145" t="s">
        <v>42</v>
      </c>
      <c r="O37" s="145" t="s">
        <v>43</v>
      </c>
      <c r="P37" s="145" t="s">
        <v>42</v>
      </c>
      <c r="Q37" s="145" t="s">
        <v>43</v>
      </c>
      <c r="AF37" s="146" t="s">
        <v>273</v>
      </c>
      <c r="AG37" s="146" t="s">
        <v>146</v>
      </c>
      <c r="AH37" s="146" t="s">
        <v>147</v>
      </c>
      <c r="AI37" s="146" t="s">
        <v>274</v>
      </c>
      <c r="AJ37" s="146" t="s">
        <v>275</v>
      </c>
      <c r="AK37" s="146" t="s">
        <v>257</v>
      </c>
      <c r="AL37" s="146" t="s">
        <v>258</v>
      </c>
      <c r="AM37" s="146" t="s">
        <v>152</v>
      </c>
      <c r="AN37" s="146" t="s">
        <v>153</v>
      </c>
      <c r="AO37" s="146">
        <v>180</v>
      </c>
    </row>
    <row r="38" spans="1:46" s="15" customFormat="1" x14ac:dyDescent="0.3">
      <c r="A38" s="142" t="s">
        <v>70</v>
      </c>
      <c r="C38" s="15" t="s">
        <v>46</v>
      </c>
      <c r="F38" s="16">
        <v>30</v>
      </c>
      <c r="G38" s="16">
        <v>42</v>
      </c>
      <c r="H38" s="16">
        <v>30</v>
      </c>
      <c r="I38" s="143"/>
      <c r="J38" s="16">
        <v>40</v>
      </c>
      <c r="K38" s="143"/>
      <c r="L38" s="143"/>
      <c r="M38" s="16">
        <v>70</v>
      </c>
      <c r="N38" s="16">
        <v>60</v>
      </c>
      <c r="O38" s="16"/>
      <c r="P38" s="16">
        <v>60</v>
      </c>
      <c r="Q38" s="16"/>
      <c r="AF38" s="47" t="s">
        <v>276</v>
      </c>
      <c r="AG38" s="48" t="s">
        <v>155</v>
      </c>
      <c r="AH38" s="48" t="s">
        <v>156</v>
      </c>
      <c r="AI38" s="48" t="s">
        <v>239</v>
      </c>
      <c r="AJ38" s="48" t="s">
        <v>193</v>
      </c>
      <c r="AK38" s="48" t="s">
        <v>257</v>
      </c>
      <c r="AL38" s="48" t="s">
        <v>258</v>
      </c>
      <c r="AM38" s="48" t="s">
        <v>159</v>
      </c>
      <c r="AN38" s="48" t="s">
        <v>160</v>
      </c>
      <c r="AO38" s="48">
        <v>180</v>
      </c>
    </row>
    <row r="39" spans="1:46" x14ac:dyDescent="0.3">
      <c r="A39" t="s">
        <v>78</v>
      </c>
      <c r="B39" t="s">
        <v>77</v>
      </c>
      <c r="C39" t="s">
        <v>7</v>
      </c>
      <c r="F39" s="18">
        <v>16</v>
      </c>
      <c r="G39" s="18">
        <v>13.5</v>
      </c>
      <c r="H39" s="18">
        <v>20</v>
      </c>
      <c r="I39" s="18"/>
      <c r="J39" s="18">
        <v>20</v>
      </c>
      <c r="K39" s="18"/>
      <c r="L39" s="18"/>
      <c r="M39" s="18">
        <v>14</v>
      </c>
      <c r="N39" s="18">
        <v>19</v>
      </c>
      <c r="O39" s="18"/>
      <c r="P39" s="18">
        <v>25</v>
      </c>
      <c r="Q39" s="18"/>
      <c r="AF39" s="47" t="s">
        <v>277</v>
      </c>
      <c r="AG39" s="48" t="s">
        <v>162</v>
      </c>
      <c r="AH39" s="48" t="s">
        <v>163</v>
      </c>
      <c r="AI39" s="48" t="s">
        <v>157</v>
      </c>
      <c r="AJ39" s="48" t="s">
        <v>158</v>
      </c>
      <c r="AK39" s="48" t="s">
        <v>257</v>
      </c>
      <c r="AL39" s="48" t="s">
        <v>258</v>
      </c>
      <c r="AM39" s="48" t="s">
        <v>166</v>
      </c>
      <c r="AN39" s="48" t="s">
        <v>167</v>
      </c>
      <c r="AO39" s="48">
        <v>180</v>
      </c>
    </row>
    <row r="40" spans="1:46" x14ac:dyDescent="0.3">
      <c r="A40" t="s">
        <v>12</v>
      </c>
      <c r="B40" t="s">
        <v>45</v>
      </c>
      <c r="C40" t="s">
        <v>7</v>
      </c>
      <c r="F40" s="18">
        <v>20</v>
      </c>
      <c r="G40" s="18">
        <v>20</v>
      </c>
      <c r="H40" s="18">
        <v>25</v>
      </c>
      <c r="I40" s="18"/>
      <c r="J40" s="18">
        <v>25</v>
      </c>
      <c r="K40" s="18"/>
      <c r="L40" s="18"/>
      <c r="M40" s="18">
        <v>25</v>
      </c>
      <c r="N40" s="18">
        <v>25</v>
      </c>
      <c r="O40" s="18"/>
      <c r="P40" s="18">
        <v>25</v>
      </c>
      <c r="Q40" s="18"/>
      <c r="AF40" s="49" t="s">
        <v>278</v>
      </c>
      <c r="AG40" s="50" t="s">
        <v>253</v>
      </c>
      <c r="AH40" s="50" t="s">
        <v>254</v>
      </c>
      <c r="AI40" s="50" t="s">
        <v>279</v>
      </c>
      <c r="AJ40" s="50" t="s">
        <v>280</v>
      </c>
      <c r="AK40" s="50" t="s">
        <v>281</v>
      </c>
      <c r="AL40" s="50" t="s">
        <v>282</v>
      </c>
      <c r="AM40" s="50" t="s">
        <v>259</v>
      </c>
      <c r="AN40" s="50" t="s">
        <v>260</v>
      </c>
      <c r="AO40" s="50">
        <v>200</v>
      </c>
    </row>
    <row r="41" spans="1:46" x14ac:dyDescent="0.3">
      <c r="A41" t="s">
        <v>47</v>
      </c>
      <c r="B41" t="s">
        <v>48</v>
      </c>
      <c r="C41" t="s">
        <v>7</v>
      </c>
      <c r="F41" s="18">
        <v>4</v>
      </c>
      <c r="G41" s="18">
        <v>4</v>
      </c>
      <c r="H41" s="18">
        <v>5</v>
      </c>
      <c r="I41" s="18"/>
      <c r="J41" s="18">
        <v>5</v>
      </c>
      <c r="K41" s="18"/>
      <c r="L41" s="18"/>
      <c r="M41" s="18">
        <v>5</v>
      </c>
      <c r="N41" s="18">
        <v>6</v>
      </c>
      <c r="O41" s="18"/>
      <c r="P41" s="18">
        <v>6</v>
      </c>
      <c r="Q41" s="18"/>
      <c r="AF41" s="49" t="s">
        <v>283</v>
      </c>
      <c r="AG41" s="50" t="s">
        <v>262</v>
      </c>
      <c r="AH41" s="50" t="s">
        <v>263</v>
      </c>
      <c r="AI41" s="50" t="s">
        <v>264</v>
      </c>
      <c r="AJ41" s="50" t="s">
        <v>265</v>
      </c>
      <c r="AK41" s="50" t="s">
        <v>281</v>
      </c>
      <c r="AL41" s="50" t="s">
        <v>282</v>
      </c>
      <c r="AM41" s="50" t="s">
        <v>266</v>
      </c>
      <c r="AN41" s="50" t="s">
        <v>267</v>
      </c>
      <c r="AO41" s="50">
        <v>200</v>
      </c>
    </row>
    <row r="42" spans="1:46" x14ac:dyDescent="0.3">
      <c r="A42" s="138" t="s">
        <v>53</v>
      </c>
      <c r="B42" t="s">
        <v>40</v>
      </c>
      <c r="C42" t="s">
        <v>7</v>
      </c>
      <c r="F42" s="18">
        <v>0.5</v>
      </c>
      <c r="G42" s="18">
        <v>0.5</v>
      </c>
      <c r="H42" s="18">
        <v>0.5</v>
      </c>
      <c r="I42" s="18"/>
      <c r="J42" s="18">
        <v>0.5</v>
      </c>
      <c r="K42" s="18"/>
      <c r="L42" s="18"/>
      <c r="M42" s="18">
        <v>0.5</v>
      </c>
      <c r="N42" s="18">
        <v>0.5</v>
      </c>
      <c r="O42" s="18"/>
      <c r="P42" s="18">
        <v>0.5</v>
      </c>
      <c r="Q42" s="18"/>
      <c r="AF42" s="49" t="s">
        <v>284</v>
      </c>
      <c r="AG42" s="50" t="s">
        <v>202</v>
      </c>
      <c r="AH42" s="50" t="s">
        <v>203</v>
      </c>
      <c r="AI42" s="50" t="s">
        <v>204</v>
      </c>
      <c r="AJ42" s="50" t="s">
        <v>205</v>
      </c>
      <c r="AK42" s="50" t="s">
        <v>281</v>
      </c>
      <c r="AL42" s="50" t="s">
        <v>282</v>
      </c>
      <c r="AM42" s="50" t="s">
        <v>271</v>
      </c>
      <c r="AN42" s="50" t="s">
        <v>272</v>
      </c>
      <c r="AO42" s="50">
        <v>200</v>
      </c>
    </row>
    <row r="43" spans="1:46" x14ac:dyDescent="0.3">
      <c r="A43" t="s">
        <v>51</v>
      </c>
      <c r="B43" t="s">
        <v>49</v>
      </c>
      <c r="C43" t="s">
        <v>7</v>
      </c>
      <c r="F43" s="18">
        <v>0.8</v>
      </c>
      <c r="G43" s="18">
        <v>0.8</v>
      </c>
      <c r="H43" s="18"/>
      <c r="I43" s="18"/>
      <c r="J43" s="18"/>
      <c r="K43" s="18"/>
      <c r="L43" s="18"/>
      <c r="M43" s="18">
        <v>2.2000000000000002</v>
      </c>
      <c r="N43" s="18"/>
      <c r="O43" s="18"/>
      <c r="P43" s="18"/>
      <c r="Q43" s="18"/>
      <c r="AF43" s="49" t="s">
        <v>285</v>
      </c>
      <c r="AG43" s="50" t="s">
        <v>146</v>
      </c>
      <c r="AH43" s="50" t="s">
        <v>147</v>
      </c>
      <c r="AI43" s="50" t="s">
        <v>239</v>
      </c>
      <c r="AJ43" s="50" t="s">
        <v>193</v>
      </c>
      <c r="AK43" s="50" t="s">
        <v>281</v>
      </c>
      <c r="AL43" s="50" t="s">
        <v>282</v>
      </c>
      <c r="AM43" s="50" t="s">
        <v>152</v>
      </c>
      <c r="AN43" s="50" t="s">
        <v>153</v>
      </c>
      <c r="AO43" s="50">
        <v>200</v>
      </c>
    </row>
    <row r="44" spans="1:46" x14ac:dyDescent="0.3">
      <c r="A44" t="s">
        <v>52</v>
      </c>
      <c r="B44" t="s">
        <v>50</v>
      </c>
      <c r="C44" t="s">
        <v>7</v>
      </c>
      <c r="F44" s="18"/>
      <c r="G44" s="18">
        <v>99</v>
      </c>
      <c r="H44" s="18"/>
      <c r="I44" s="18"/>
      <c r="J44" s="18"/>
      <c r="K44" s="18"/>
      <c r="L44" s="18"/>
      <c r="M44" s="18">
        <v>179.2</v>
      </c>
      <c r="N44" s="18"/>
      <c r="O44" s="18"/>
      <c r="P44" s="18"/>
      <c r="Q44" s="18"/>
      <c r="AF44" s="49" t="s">
        <v>286</v>
      </c>
      <c r="AG44" s="50" t="s">
        <v>155</v>
      </c>
      <c r="AH44" s="50" t="s">
        <v>156</v>
      </c>
      <c r="AI44" s="50" t="s">
        <v>157</v>
      </c>
      <c r="AJ44" s="50" t="s">
        <v>158</v>
      </c>
      <c r="AK44" s="50" t="s">
        <v>281</v>
      </c>
      <c r="AL44" s="50" t="s">
        <v>282</v>
      </c>
      <c r="AM44" s="50" t="s">
        <v>159</v>
      </c>
      <c r="AN44" s="50" t="s">
        <v>160</v>
      </c>
      <c r="AO44" s="50">
        <v>200</v>
      </c>
    </row>
    <row r="45" spans="1:46" x14ac:dyDescent="0.3">
      <c r="A45" t="s">
        <v>76</v>
      </c>
      <c r="B45" t="s">
        <v>387</v>
      </c>
      <c r="C45" t="s">
        <v>7</v>
      </c>
      <c r="F45" s="17"/>
      <c r="G45" s="17"/>
      <c r="AF45" s="51" t="s">
        <v>287</v>
      </c>
      <c r="AG45" s="52" t="s">
        <v>253</v>
      </c>
      <c r="AH45" s="52" t="s">
        <v>254</v>
      </c>
      <c r="AI45" s="52" t="s">
        <v>288</v>
      </c>
      <c r="AJ45" s="52" t="s">
        <v>289</v>
      </c>
      <c r="AK45" s="52" t="s">
        <v>290</v>
      </c>
      <c r="AL45" s="52" t="s">
        <v>291</v>
      </c>
      <c r="AM45" s="52" t="s">
        <v>259</v>
      </c>
      <c r="AN45" s="52" t="s">
        <v>260</v>
      </c>
      <c r="AO45" s="52">
        <v>220</v>
      </c>
    </row>
    <row r="46" spans="1:46" s="138" customFormat="1" x14ac:dyDescent="0.3">
      <c r="A46" s="138" t="s">
        <v>379</v>
      </c>
      <c r="B46" s="144" t="s">
        <v>386</v>
      </c>
      <c r="C46" s="138" t="s">
        <v>380</v>
      </c>
      <c r="F46" s="145" t="s">
        <v>382</v>
      </c>
      <c r="G46" s="145" t="s">
        <v>381</v>
      </c>
      <c r="H46" s="145" t="s">
        <v>382</v>
      </c>
      <c r="I46" s="145" t="s">
        <v>381</v>
      </c>
      <c r="J46" s="145" t="s">
        <v>382</v>
      </c>
      <c r="K46" s="145" t="s">
        <v>381</v>
      </c>
      <c r="L46" s="145"/>
      <c r="M46" s="145" t="s">
        <v>381</v>
      </c>
      <c r="N46" s="145" t="s">
        <v>382</v>
      </c>
      <c r="O46" s="145" t="s">
        <v>381</v>
      </c>
      <c r="P46" s="145" t="s">
        <v>382</v>
      </c>
      <c r="Q46" s="145" t="s">
        <v>381</v>
      </c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</row>
    <row r="47" spans="1:46" s="138" customFormat="1" x14ac:dyDescent="0.3">
      <c r="A47" s="138" t="s">
        <v>131</v>
      </c>
      <c r="B47" s="147" t="s">
        <v>385</v>
      </c>
      <c r="C47" s="138" t="s">
        <v>142</v>
      </c>
      <c r="F47" s="145" t="str">
        <f>$AM$32</f>
        <v>40...43</v>
      </c>
      <c r="G47" s="145" t="str">
        <f>$AM$22</f>
        <v>49...53</v>
      </c>
      <c r="H47" s="145" t="str">
        <f>$AM$32</f>
        <v>40...43</v>
      </c>
      <c r="I47" s="145" t="str">
        <f>$AM$22</f>
        <v>49...53</v>
      </c>
      <c r="J47" s="145" t="str">
        <f>$AM$32</f>
        <v>40...43</v>
      </c>
      <c r="K47" s="145" t="str">
        <f>$AM$22</f>
        <v>49...53</v>
      </c>
      <c r="L47" s="145"/>
      <c r="M47" s="145" t="str">
        <f>$AM$22</f>
        <v>49...53</v>
      </c>
      <c r="N47" s="145" t="str">
        <f>$AM$32</f>
        <v>40...43</v>
      </c>
      <c r="O47" s="145" t="str">
        <f>$AM$22</f>
        <v>49...53</v>
      </c>
      <c r="P47" s="145" t="str">
        <f>$AM$32</f>
        <v>40...43</v>
      </c>
      <c r="Q47" s="145" t="str">
        <f>$AM$22</f>
        <v>49...53</v>
      </c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</row>
    <row r="48" spans="1:46" x14ac:dyDescent="0.3">
      <c r="A48" t="s">
        <v>388</v>
      </c>
      <c r="B48" s="63"/>
      <c r="C48" t="s">
        <v>144</v>
      </c>
      <c r="F48" s="86">
        <f>$AO$32</f>
        <v>150</v>
      </c>
      <c r="G48" s="86">
        <f>$AO$22</f>
        <v>100</v>
      </c>
      <c r="H48" s="86">
        <f>$AO$32</f>
        <v>150</v>
      </c>
      <c r="I48" s="86">
        <f>$AO$22</f>
        <v>100</v>
      </c>
      <c r="J48" s="86">
        <f>$AO$32</f>
        <v>150</v>
      </c>
      <c r="K48" s="86">
        <f>$AO$22</f>
        <v>100</v>
      </c>
      <c r="L48" s="86"/>
      <c r="M48" s="86">
        <f>$AO$22</f>
        <v>100</v>
      </c>
      <c r="N48" s="86">
        <f>$AO$32</f>
        <v>150</v>
      </c>
      <c r="O48" s="86">
        <f>$AO$22</f>
        <v>100</v>
      </c>
      <c r="P48" s="86">
        <f>$AO$32</f>
        <v>150</v>
      </c>
      <c r="Q48" s="86">
        <f>$AO$22</f>
        <v>100</v>
      </c>
      <c r="AF48" s="51"/>
      <c r="AG48" s="52"/>
      <c r="AH48" s="52"/>
      <c r="AI48" s="52"/>
      <c r="AJ48" s="52"/>
      <c r="AK48" s="52"/>
      <c r="AL48" s="52"/>
      <c r="AM48" s="52"/>
      <c r="AN48" s="52"/>
      <c r="AO48" s="52"/>
    </row>
    <row r="49" spans="1:41" x14ac:dyDescent="0.3">
      <c r="A49" t="s">
        <v>376</v>
      </c>
      <c r="B49" s="139" t="s">
        <v>775</v>
      </c>
      <c r="C49" t="s">
        <v>124</v>
      </c>
      <c r="F49" s="54">
        <v>1.271E-3</v>
      </c>
      <c r="G49" s="54">
        <v>1.0690000000000001E-3</v>
      </c>
      <c r="H49" s="54">
        <v>2.4889999999999999E-3</v>
      </c>
      <c r="J49" s="54">
        <v>2.4889999999999999E-3</v>
      </c>
      <c r="M49" s="54">
        <v>1.688E-3</v>
      </c>
      <c r="N49" s="54">
        <v>2.8389999999999999E-3</v>
      </c>
      <c r="P49" s="54">
        <v>3.738E-3</v>
      </c>
      <c r="AF49" s="51" t="s">
        <v>292</v>
      </c>
      <c r="AG49" s="52" t="s">
        <v>262</v>
      </c>
      <c r="AH49" s="52" t="s">
        <v>263</v>
      </c>
      <c r="AI49" s="52" t="s">
        <v>293</v>
      </c>
      <c r="AJ49" s="52" t="s">
        <v>294</v>
      </c>
      <c r="AK49" s="52" t="s">
        <v>290</v>
      </c>
      <c r="AL49" s="52" t="s">
        <v>291</v>
      </c>
      <c r="AM49" s="52" t="s">
        <v>266</v>
      </c>
      <c r="AN49" s="52" t="s">
        <v>267</v>
      </c>
      <c r="AO49" s="52">
        <v>220</v>
      </c>
    </row>
    <row r="50" spans="1:41" x14ac:dyDescent="0.3">
      <c r="A50" s="2" t="s">
        <v>101</v>
      </c>
      <c r="B50" s="2" t="s">
        <v>103</v>
      </c>
      <c r="C50" t="s">
        <v>104</v>
      </c>
      <c r="F50" s="9">
        <v>8.5</v>
      </c>
      <c r="G50" s="9">
        <v>8.5</v>
      </c>
      <c r="H50" s="9">
        <v>8.5</v>
      </c>
      <c r="I50" s="9"/>
      <c r="J50" s="9">
        <v>8.5</v>
      </c>
      <c r="K50" s="9"/>
      <c r="L50" s="9"/>
      <c r="M50" s="9">
        <v>8.5</v>
      </c>
      <c r="N50" s="9">
        <v>8.5</v>
      </c>
      <c r="O50" s="9"/>
      <c r="P50" s="9">
        <v>8.5</v>
      </c>
      <c r="AF50" s="51" t="s">
        <v>295</v>
      </c>
      <c r="AG50" s="52" t="s">
        <v>202</v>
      </c>
      <c r="AH50" s="52" t="s">
        <v>203</v>
      </c>
      <c r="AI50" s="52" t="s">
        <v>296</v>
      </c>
      <c r="AJ50" s="52" t="s">
        <v>297</v>
      </c>
      <c r="AK50" s="52" t="s">
        <v>290</v>
      </c>
      <c r="AL50" s="52" t="s">
        <v>291</v>
      </c>
      <c r="AM50" s="52" t="s">
        <v>271</v>
      </c>
      <c r="AN50" s="52" t="s">
        <v>272</v>
      </c>
      <c r="AO50" s="52">
        <v>220</v>
      </c>
    </row>
    <row r="51" spans="1:41" x14ac:dyDescent="0.3">
      <c r="A51" s="2" t="s">
        <v>396</v>
      </c>
      <c r="B51" s="2" t="s">
        <v>383</v>
      </c>
      <c r="C51" t="s">
        <v>384</v>
      </c>
      <c r="F51" s="9">
        <v>440</v>
      </c>
      <c r="G51" s="9">
        <v>440</v>
      </c>
      <c r="H51" s="9">
        <v>440</v>
      </c>
      <c r="I51" s="9"/>
      <c r="J51" s="9">
        <v>440</v>
      </c>
      <c r="K51" s="9"/>
      <c r="L51" s="9"/>
      <c r="M51" s="9">
        <v>440</v>
      </c>
      <c r="N51" s="9">
        <v>440</v>
      </c>
      <c r="O51" s="9"/>
      <c r="P51" s="9">
        <v>440</v>
      </c>
      <c r="Q51" s="55"/>
      <c r="AF51" s="51"/>
      <c r="AG51" s="52"/>
      <c r="AH51" s="52"/>
      <c r="AI51" s="52"/>
      <c r="AJ51" s="52"/>
      <c r="AK51" s="52"/>
      <c r="AL51" s="52"/>
      <c r="AM51" s="52"/>
      <c r="AN51" s="52"/>
      <c r="AO51" s="52"/>
    </row>
    <row r="52" spans="1:41" x14ac:dyDescent="0.3">
      <c r="A52" s="2" t="s">
        <v>108</v>
      </c>
      <c r="B52" s="2"/>
      <c r="C52" t="s">
        <v>109</v>
      </c>
      <c r="F52" s="9">
        <v>7.45</v>
      </c>
      <c r="G52" s="9">
        <v>7.45</v>
      </c>
      <c r="H52" s="9">
        <v>7.45</v>
      </c>
      <c r="I52" s="9"/>
      <c r="J52" s="9">
        <v>7.45</v>
      </c>
      <c r="K52" s="9"/>
      <c r="L52" s="9"/>
      <c r="M52" s="9">
        <v>7.45</v>
      </c>
      <c r="N52" s="9">
        <v>7.45</v>
      </c>
      <c r="O52" s="9"/>
      <c r="P52" s="9">
        <v>7.45</v>
      </c>
    </row>
    <row r="53" spans="1:41" x14ac:dyDescent="0.3">
      <c r="A53" s="2" t="s">
        <v>378</v>
      </c>
      <c r="B53" s="2"/>
      <c r="C53" t="s">
        <v>9</v>
      </c>
      <c r="F53" s="57">
        <v>63.784999999999997</v>
      </c>
      <c r="G53" s="57">
        <v>53.63</v>
      </c>
      <c r="H53" s="57">
        <v>99.784999999999997</v>
      </c>
      <c r="I53" s="9"/>
      <c r="J53" s="57">
        <v>99.784999999999997</v>
      </c>
      <c r="K53" s="9"/>
      <c r="L53" s="9"/>
      <c r="M53" s="57">
        <v>67.688000000000002</v>
      </c>
      <c r="N53" s="57">
        <v>113.785</v>
      </c>
      <c r="O53" s="9"/>
      <c r="P53" s="57">
        <v>149.785</v>
      </c>
      <c r="Q53" s="55"/>
    </row>
    <row r="54" spans="1:41" x14ac:dyDescent="0.3">
      <c r="A54" s="58" t="str">
        <f>"Volumen bei "&amp;TEXT(F25,0)&amp; " mm Bauhöhe"</f>
        <v>Volumen bei 100 mm Bauhöhe</v>
      </c>
      <c r="B54" s="2"/>
      <c r="C54" t="s">
        <v>124</v>
      </c>
      <c r="F54" s="60">
        <f>(F53*$F$25)/POWER(10,6)*F38</f>
        <v>0.191355</v>
      </c>
      <c r="G54" s="60">
        <f>(G53*$F$25)/POWER(10,6)*G38</f>
        <v>0.225246</v>
      </c>
      <c r="H54" s="60">
        <f>(H53*$F$25)/POWER(10,6)*H38</f>
        <v>0.29935499999999998</v>
      </c>
      <c r="I54" s="32"/>
      <c r="J54" s="60">
        <f>(J53*$F$25)/POWER(10,6)*J38</f>
        <v>0.39913999999999999</v>
      </c>
      <c r="K54" s="32"/>
      <c r="L54" s="32"/>
      <c r="M54" s="60">
        <f>(M53*$F$25)/POWER(10,6)*M38</f>
        <v>0.47381600000000001</v>
      </c>
      <c r="N54" s="60">
        <f>(N53*$F$25)/POWER(10,6)*N38</f>
        <v>0.68270999999999993</v>
      </c>
      <c r="O54" s="32"/>
      <c r="P54" s="60">
        <f>(P53*$F$25)/POWER(10,6)*P38</f>
        <v>0.89871000000000001</v>
      </c>
    </row>
    <row r="55" spans="1:41" x14ac:dyDescent="0.3">
      <c r="A55" s="58" t="str">
        <f>"Gewicht bei "&amp;TEXT(F25,0)&amp; " mm Bauhöhe"</f>
        <v>Gewicht bei 100 mm Bauhöhe</v>
      </c>
      <c r="B55" s="2"/>
      <c r="C55" t="s">
        <v>125</v>
      </c>
      <c r="F55" s="62">
        <f>F52*F54</f>
        <v>1.4255947499999999</v>
      </c>
      <c r="G55" s="62">
        <f>G52*G54</f>
        <v>1.6780827</v>
      </c>
      <c r="H55" s="62">
        <f>H52*H54</f>
        <v>2.2301947499999999</v>
      </c>
      <c r="I55" s="33"/>
      <c r="J55" s="62">
        <f>J52*J54</f>
        <v>2.9735930000000002</v>
      </c>
      <c r="K55" s="33"/>
      <c r="L55" s="33"/>
      <c r="M55" s="62">
        <f>M52*M54</f>
        <v>3.5299292000000002</v>
      </c>
      <c r="N55" s="62">
        <f>N52*N54</f>
        <v>5.0861894999999997</v>
      </c>
      <c r="O55" s="33"/>
      <c r="P55" s="62">
        <f>P52*P54</f>
        <v>6.6953895000000001</v>
      </c>
    </row>
    <row r="56" spans="1:41" x14ac:dyDescent="0.3">
      <c r="A56" s="2"/>
      <c r="B56" s="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41" s="24" customFormat="1" ht="15.6" x14ac:dyDescent="0.3">
      <c r="A57" s="22" t="s">
        <v>471</v>
      </c>
      <c r="B57" s="22"/>
      <c r="C57" s="23"/>
      <c r="D57" s="23"/>
      <c r="E57" s="23"/>
      <c r="F57" s="23"/>
      <c r="G57" s="23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41" x14ac:dyDescent="0.3">
      <c r="K58" s="105"/>
      <c r="N58" s="105"/>
      <c r="O58" s="105"/>
      <c r="P58" s="105"/>
      <c r="Q58" s="105"/>
    </row>
    <row r="59" spans="1:41" x14ac:dyDescent="0.3">
      <c r="A59" s="150" t="s">
        <v>14</v>
      </c>
      <c r="B59" s="3"/>
      <c r="C59" t="s">
        <v>15</v>
      </c>
      <c r="F59" s="108">
        <v>78.879025925000008</v>
      </c>
      <c r="G59" s="108">
        <v>102.16732494999999</v>
      </c>
      <c r="H59" s="108">
        <v>88.178727350000003</v>
      </c>
      <c r="J59" s="108">
        <v>159.01317599999999</v>
      </c>
      <c r="M59" s="108">
        <v>281.36766899999998</v>
      </c>
      <c r="P59" s="108">
        <v>484.21116825000001</v>
      </c>
    </row>
    <row r="60" spans="1:41" x14ac:dyDescent="0.3">
      <c r="A60" s="150"/>
      <c r="B60" s="3"/>
      <c r="C60" t="s">
        <v>15</v>
      </c>
      <c r="F60" s="108">
        <v>155.91013774999999</v>
      </c>
      <c r="G60" s="108">
        <v>202.76712175</v>
      </c>
      <c r="H60" s="108">
        <v>182.561049</v>
      </c>
      <c r="J60" s="108">
        <v>326.62361700000002</v>
      </c>
      <c r="M60" s="108">
        <v>556.307321</v>
      </c>
      <c r="P60" s="108">
        <v>953.27968250000004</v>
      </c>
    </row>
    <row r="61" spans="1:41" x14ac:dyDescent="0.3">
      <c r="A61" s="150"/>
      <c r="B61" s="3"/>
      <c r="C61" t="s">
        <v>15</v>
      </c>
      <c r="F61" s="108">
        <v>228.85143475000001</v>
      </c>
      <c r="G61" s="108">
        <v>300.69969075000006</v>
      </c>
      <c r="H61" s="108">
        <v>277.64355999999998</v>
      </c>
      <c r="J61" s="108">
        <v>491.53668099999999</v>
      </c>
      <c r="M61" s="108">
        <v>825.06761525000002</v>
      </c>
      <c r="P61" s="108">
        <v>1425.1152125000001</v>
      </c>
    </row>
    <row r="62" spans="1:41" x14ac:dyDescent="0.3">
      <c r="A62" s="150"/>
      <c r="B62" s="3"/>
      <c r="C62" t="s">
        <v>15</v>
      </c>
      <c r="F62" s="108">
        <v>297.88243475000002</v>
      </c>
      <c r="G62" s="108">
        <v>396.16803575</v>
      </c>
      <c r="H62" s="108">
        <v>370.74583024999998</v>
      </c>
      <c r="J62" s="108">
        <v>645.77325299999995</v>
      </c>
      <c r="M62" s="108">
        <v>1073.9736375</v>
      </c>
      <c r="P62" s="108">
        <v>1897.6508475000001</v>
      </c>
    </row>
    <row r="63" spans="1:41" x14ac:dyDescent="0.3">
      <c r="A63" s="150"/>
      <c r="B63" s="3"/>
      <c r="C63" t="s">
        <v>15</v>
      </c>
      <c r="F63" s="108">
        <v>359.77941824999999</v>
      </c>
      <c r="G63" s="108">
        <v>483.67185875000007</v>
      </c>
      <c r="H63" s="108">
        <v>456.956434</v>
      </c>
      <c r="J63" s="108">
        <v>786.51278675000003</v>
      </c>
      <c r="M63" s="108">
        <v>1300.1835974999999</v>
      </c>
      <c r="P63" s="108">
        <v>2312.86609</v>
      </c>
    </row>
    <row r="64" spans="1:41" x14ac:dyDescent="0.3">
      <c r="A64" s="150"/>
      <c r="B64" s="3"/>
      <c r="C64" t="s">
        <v>15</v>
      </c>
      <c r="F64" s="108">
        <v>417.71953925000003</v>
      </c>
      <c r="G64" s="108">
        <v>560.56769725000004</v>
      </c>
      <c r="H64" s="108">
        <v>536.56708475000005</v>
      </c>
      <c r="J64" s="108">
        <v>914.28087499999992</v>
      </c>
      <c r="M64" s="108">
        <v>1503.7740625000001</v>
      </c>
      <c r="P64" s="108">
        <v>2718.0503125</v>
      </c>
    </row>
    <row r="65" spans="1:17" x14ac:dyDescent="0.3">
      <c r="A65" s="150"/>
      <c r="B65" s="3"/>
      <c r="C65" t="s">
        <v>15</v>
      </c>
      <c r="F65" s="108">
        <v>466.77477399999998</v>
      </c>
      <c r="G65" s="108">
        <v>628.3717805</v>
      </c>
      <c r="H65" s="108">
        <v>610.31510125</v>
      </c>
      <c r="J65" s="108">
        <v>1030.0988175</v>
      </c>
      <c r="M65" s="108">
        <v>1687.4445624999998</v>
      </c>
      <c r="P65" s="108">
        <v>3111.2565374999999</v>
      </c>
    </row>
    <row r="66" spans="1:17" x14ac:dyDescent="0.3">
      <c r="A66" s="150"/>
      <c r="B66" s="3"/>
      <c r="C66" t="s">
        <v>15</v>
      </c>
      <c r="F66" s="108">
        <v>510.70032600000002</v>
      </c>
      <c r="G66" s="108">
        <v>687.28241224999999</v>
      </c>
      <c r="H66" s="108">
        <v>678.64606225</v>
      </c>
      <c r="J66" s="108">
        <v>1127.14536</v>
      </c>
      <c r="M66" s="108">
        <v>1851.9570325</v>
      </c>
      <c r="P66" s="108">
        <v>3471.3919449999999</v>
      </c>
    </row>
    <row r="67" spans="1:17" x14ac:dyDescent="0.3">
      <c r="A67" s="150"/>
      <c r="B67" s="3"/>
      <c r="C67" t="s">
        <v>15</v>
      </c>
      <c r="F67" s="108">
        <v>550.20517199999995</v>
      </c>
      <c r="G67" s="108">
        <v>738.5149422500001</v>
      </c>
      <c r="H67" s="108">
        <v>740.19747849999999</v>
      </c>
      <c r="J67" s="108">
        <v>1221.1283149999999</v>
      </c>
      <c r="M67" s="108">
        <v>1997.73062</v>
      </c>
      <c r="P67" s="108">
        <v>3820.2272149999999</v>
      </c>
    </row>
    <row r="68" spans="1:17" x14ac:dyDescent="0.3">
      <c r="A68" s="150"/>
      <c r="B68" s="3"/>
      <c r="C68" t="s">
        <v>15</v>
      </c>
      <c r="F68" s="108">
        <v>588.59727524999994</v>
      </c>
      <c r="G68" s="108">
        <v>782.41520100000002</v>
      </c>
      <c r="H68" s="108">
        <v>794.25900850000005</v>
      </c>
      <c r="J68" s="108">
        <v>1303.4394325000001</v>
      </c>
      <c r="M68" s="108">
        <v>2135.8706750000001</v>
      </c>
      <c r="P68" s="108">
        <v>4149.5731900000001</v>
      </c>
    </row>
    <row r="69" spans="1:17" x14ac:dyDescent="0.3">
      <c r="A69" s="150"/>
      <c r="B69" s="3"/>
      <c r="C69" t="s">
        <v>15</v>
      </c>
      <c r="F69" s="108">
        <v>624.40679275000002</v>
      </c>
      <c r="G69" s="108">
        <v>822.45294775000002</v>
      </c>
      <c r="H69" s="108">
        <v>843.05700200000001</v>
      </c>
      <c r="J69" s="108">
        <v>1381.019405</v>
      </c>
      <c r="M69" s="108">
        <v>2256.4809949999999</v>
      </c>
      <c r="P69" s="108">
        <v>4444.4692974999998</v>
      </c>
    </row>
    <row r="70" spans="1:17" x14ac:dyDescent="0.3">
      <c r="A70" s="150"/>
      <c r="B70" s="3"/>
      <c r="C70" t="s">
        <v>15</v>
      </c>
      <c r="F70" s="108">
        <v>658.02846099999999</v>
      </c>
      <c r="G70" s="108">
        <v>859.02365100000009</v>
      </c>
      <c r="H70" s="108">
        <v>890.44541775000005</v>
      </c>
      <c r="J70" s="108">
        <v>1455.1785725</v>
      </c>
      <c r="M70" s="108">
        <v>2377.0255125000003</v>
      </c>
      <c r="P70" s="108">
        <v>4717.0675124999998</v>
      </c>
    </row>
    <row r="71" spans="1:17" x14ac:dyDescent="0.3">
      <c r="A71" s="150"/>
      <c r="B71" s="3"/>
      <c r="C71" t="s">
        <v>15</v>
      </c>
      <c r="F71" s="108">
        <v>689.49309925</v>
      </c>
      <c r="G71" s="108">
        <v>894.21389275000001</v>
      </c>
      <c r="H71" s="108">
        <v>935.70039124999994</v>
      </c>
      <c r="J71" s="108">
        <v>1525.2880149999999</v>
      </c>
      <c r="M71" s="108">
        <v>2488.3031350000001</v>
      </c>
      <c r="P71" s="108">
        <v>4974.3385199999993</v>
      </c>
    </row>
    <row r="72" spans="1:17" x14ac:dyDescent="0.3">
      <c r="A72" s="150"/>
      <c r="B72" s="3"/>
      <c r="C72" t="s">
        <v>15</v>
      </c>
      <c r="F72" s="108">
        <v>720.02747275000002</v>
      </c>
      <c r="G72" s="108">
        <v>925.98466425000004</v>
      </c>
      <c r="H72" s="108">
        <v>977.58532874999992</v>
      </c>
      <c r="J72" s="108">
        <v>1594.5282050000001</v>
      </c>
      <c r="M72" s="108">
        <v>2600.3839800000001</v>
      </c>
      <c r="P72" s="108">
        <v>5214.5657124999998</v>
      </c>
    </row>
    <row r="73" spans="1:17" x14ac:dyDescent="0.3">
      <c r="A73" s="150"/>
      <c r="B73" s="3"/>
      <c r="C73" t="s">
        <v>15</v>
      </c>
      <c r="F73" s="108">
        <v>748.02478150000002</v>
      </c>
      <c r="G73" s="108">
        <v>956.67548550000004</v>
      </c>
      <c r="H73" s="108">
        <v>1018.706104</v>
      </c>
      <c r="J73" s="108">
        <v>1658.9968425</v>
      </c>
      <c r="M73" s="108">
        <v>2704.3743525</v>
      </c>
      <c r="P73" s="108">
        <v>5458.4576724999997</v>
      </c>
    </row>
    <row r="74" spans="1:17" x14ac:dyDescent="0.3">
      <c r="A74" s="107" t="s">
        <v>466</v>
      </c>
      <c r="B74" s="104"/>
      <c r="F74" s="108">
        <v>10.137</v>
      </c>
      <c r="G74" s="108">
        <v>-1.45</v>
      </c>
      <c r="H74" s="105">
        <v>-17.11</v>
      </c>
      <c r="I74" s="105"/>
      <c r="J74" s="105">
        <v>-2.7E-2</v>
      </c>
      <c r="K74" s="105"/>
      <c r="M74" s="105">
        <v>27.1</v>
      </c>
      <c r="N74" s="105"/>
      <c r="O74" s="105"/>
      <c r="P74" s="105">
        <v>-37.71</v>
      </c>
      <c r="Q74" s="105"/>
    </row>
    <row r="75" spans="1:17" x14ac:dyDescent="0.3">
      <c r="A75" s="107" t="s">
        <v>467</v>
      </c>
      <c r="B75" s="104"/>
      <c r="F75" s="108">
        <v>0.314</v>
      </c>
      <c r="G75" s="108">
        <v>0.43</v>
      </c>
      <c r="H75" s="105">
        <v>0.42820000000000003</v>
      </c>
      <c r="I75" s="105"/>
      <c r="J75" s="105">
        <v>0.70799999999999996</v>
      </c>
      <c r="K75" s="105"/>
      <c r="M75" s="105">
        <v>1.145</v>
      </c>
      <c r="N75" s="105"/>
      <c r="O75" s="105"/>
      <c r="P75" s="105">
        <v>2.09</v>
      </c>
      <c r="Q75" s="105"/>
    </row>
    <row r="76" spans="1:17" x14ac:dyDescent="0.3">
      <c r="A76" s="107" t="s">
        <v>468</v>
      </c>
      <c r="F76" s="110">
        <v>-3.0000000000000001E-5</v>
      </c>
      <c r="G76" s="110">
        <v>-5.0000000000000002E-5</v>
      </c>
      <c r="H76" s="110">
        <v>-4.0000000000000003E-5</v>
      </c>
      <c r="J76" s="110">
        <v>-6.9999999999999994E-5</v>
      </c>
      <c r="M76" s="1">
        <v>-1E-4</v>
      </c>
      <c r="P76" s="1">
        <v>-2.0000000000000001E-4</v>
      </c>
    </row>
    <row r="77" spans="1:17" x14ac:dyDescent="0.3">
      <c r="A77" t="s">
        <v>16</v>
      </c>
      <c r="C77" t="s">
        <v>15</v>
      </c>
      <c r="F77" s="108">
        <v>6</v>
      </c>
      <c r="G77" s="108">
        <v>1.5</v>
      </c>
      <c r="H77" s="1">
        <v>8</v>
      </c>
      <c r="J77" s="1">
        <v>15</v>
      </c>
      <c r="M77" s="1">
        <v>6</v>
      </c>
    </row>
    <row r="78" spans="1:17" x14ac:dyDescent="0.3">
      <c r="A78" t="s">
        <v>3</v>
      </c>
    </row>
    <row r="79" spans="1:17" x14ac:dyDescent="0.3">
      <c r="A79" t="s">
        <v>3</v>
      </c>
    </row>
    <row r="81" spans="1:17" s="14" customFormat="1" ht="15.6" x14ac:dyDescent="0.3">
      <c r="A81" s="25" t="s">
        <v>17</v>
      </c>
      <c r="B81" s="25"/>
      <c r="C81" s="151" t="s">
        <v>88</v>
      </c>
      <c r="D81" s="151"/>
      <c r="E81" s="151"/>
      <c r="F81" s="13" t="s">
        <v>89</v>
      </c>
      <c r="G81" s="13" t="s">
        <v>91</v>
      </c>
      <c r="H81" s="13" t="s">
        <v>92</v>
      </c>
      <c r="I81" s="13"/>
      <c r="J81" s="13" t="s">
        <v>93</v>
      </c>
      <c r="K81" s="13"/>
      <c r="L81" s="113"/>
      <c r="M81" s="13" t="s">
        <v>94</v>
      </c>
      <c r="N81" s="13" t="s">
        <v>95</v>
      </c>
      <c r="O81" s="13"/>
      <c r="P81" s="13" t="s">
        <v>96</v>
      </c>
      <c r="Q81" s="13"/>
    </row>
    <row r="82" spans="1:17" s="145" customFormat="1" x14ac:dyDescent="0.3">
      <c r="A82" s="145" t="s">
        <v>389</v>
      </c>
      <c r="B82" s="145" t="s">
        <v>469</v>
      </c>
      <c r="F82" s="145" t="s">
        <v>81</v>
      </c>
      <c r="G82" s="145" t="s">
        <v>82</v>
      </c>
      <c r="H82" s="145" t="s">
        <v>81</v>
      </c>
      <c r="I82" s="145" t="s">
        <v>82</v>
      </c>
      <c r="J82" s="145" t="s">
        <v>81</v>
      </c>
      <c r="K82" s="145" t="s">
        <v>82</v>
      </c>
      <c r="M82" s="145" t="s">
        <v>82</v>
      </c>
      <c r="N82" s="145" t="s">
        <v>81</v>
      </c>
      <c r="O82" s="145" t="s">
        <v>82</v>
      </c>
      <c r="P82" s="145" t="s">
        <v>82</v>
      </c>
      <c r="Q82" s="145" t="s">
        <v>82</v>
      </c>
    </row>
    <row r="83" spans="1:17" x14ac:dyDescent="0.3">
      <c r="A83" t="s">
        <v>416</v>
      </c>
      <c r="B83" t="s">
        <v>84</v>
      </c>
      <c r="F83" s="19">
        <v>38</v>
      </c>
      <c r="G83" s="19">
        <v>92</v>
      </c>
      <c r="H83" s="19">
        <v>60</v>
      </c>
      <c r="I83" s="19"/>
      <c r="J83" s="19">
        <v>63</v>
      </c>
      <c r="K83" s="19"/>
      <c r="L83" s="19"/>
      <c r="M83" s="19">
        <v>56</v>
      </c>
      <c r="N83" s="19">
        <v>63</v>
      </c>
      <c r="O83" s="19"/>
      <c r="P83" s="19">
        <v>74</v>
      </c>
      <c r="Q83" s="19"/>
    </row>
    <row r="84" spans="1:17" x14ac:dyDescent="0.3">
      <c r="A84" t="s">
        <v>417</v>
      </c>
      <c r="B84" t="s">
        <v>83</v>
      </c>
      <c r="F84" s="19">
        <v>38</v>
      </c>
      <c r="G84" s="19"/>
      <c r="H84" s="19">
        <v>60</v>
      </c>
      <c r="I84" s="19"/>
      <c r="J84" s="19">
        <v>63</v>
      </c>
      <c r="K84" s="19"/>
      <c r="L84" s="19"/>
      <c r="M84" s="19"/>
      <c r="N84" s="19">
        <v>63</v>
      </c>
      <c r="O84" s="19"/>
      <c r="P84" s="19"/>
      <c r="Q84" s="19"/>
    </row>
    <row r="85" spans="1:17" x14ac:dyDescent="0.3">
      <c r="A85" t="s">
        <v>409</v>
      </c>
      <c r="B85" s="138" t="s">
        <v>392</v>
      </c>
      <c r="C85" t="s">
        <v>7</v>
      </c>
      <c r="F85" s="71">
        <v>1.32</v>
      </c>
      <c r="G85" s="71">
        <v>0.8</v>
      </c>
      <c r="H85" s="71">
        <v>1.32</v>
      </c>
      <c r="J85" s="71">
        <v>1.32</v>
      </c>
      <c r="M85" s="71">
        <v>1.32</v>
      </c>
      <c r="N85" s="71">
        <v>1.32</v>
      </c>
      <c r="P85" s="71">
        <v>1.32</v>
      </c>
    </row>
    <row r="86" spans="1:17" x14ac:dyDescent="0.3">
      <c r="A86" s="139" t="s">
        <v>401</v>
      </c>
      <c r="B86" s="138" t="s">
        <v>395</v>
      </c>
      <c r="C86" t="s">
        <v>391</v>
      </c>
      <c r="F86" s="70">
        <v>12.17</v>
      </c>
      <c r="G86" s="70">
        <v>4.4690000000000003</v>
      </c>
      <c r="H86" s="70">
        <v>12.17</v>
      </c>
      <c r="I86" s="9"/>
      <c r="J86" s="70">
        <v>12.17</v>
      </c>
      <c r="K86" s="9"/>
      <c r="L86" s="9"/>
      <c r="M86" s="70">
        <v>12.17</v>
      </c>
      <c r="N86" s="70">
        <v>12.17</v>
      </c>
      <c r="O86" s="9"/>
      <c r="P86" s="70">
        <v>12.17</v>
      </c>
      <c r="Q86" s="9"/>
    </row>
    <row r="87" spans="1:17" x14ac:dyDescent="0.3">
      <c r="A87" t="s">
        <v>400</v>
      </c>
      <c r="C87" t="s">
        <v>9</v>
      </c>
      <c r="F87" s="20">
        <f>PI()*F85^2/4</f>
        <v>1.3684777599037141</v>
      </c>
      <c r="G87" s="20">
        <f>PI()*G85^2/4</f>
        <v>0.50265482457436694</v>
      </c>
      <c r="H87" s="20">
        <f>PI()*H85^2/4</f>
        <v>1.3684777599037141</v>
      </c>
      <c r="I87" s="55"/>
      <c r="J87" s="20">
        <f>PI()*J85^2/4</f>
        <v>1.3684777599037141</v>
      </c>
      <c r="K87" s="55"/>
      <c r="M87" s="20">
        <f>PI()*M85^2/4</f>
        <v>1.3684777599037141</v>
      </c>
      <c r="N87" s="20">
        <f>PI()*N85^2/4</f>
        <v>1.3684777599037141</v>
      </c>
      <c r="O87" s="55"/>
      <c r="P87" s="20">
        <f>PI()*P85^2/4</f>
        <v>1.3684777599037141</v>
      </c>
      <c r="Q87" s="55"/>
    </row>
    <row r="88" spans="1:17" x14ac:dyDescent="0.3">
      <c r="A88" t="s">
        <v>393</v>
      </c>
      <c r="B88" t="s">
        <v>402</v>
      </c>
      <c r="C88" t="s">
        <v>399</v>
      </c>
      <c r="F88" s="72">
        <v>1.7239999999999998E-2</v>
      </c>
      <c r="G88" s="72">
        <v>1.7239999999999998E-2</v>
      </c>
      <c r="H88" s="72">
        <v>1.7239999999999998E-2</v>
      </c>
      <c r="I88" s="9"/>
      <c r="J88" s="72">
        <v>1.7239999999999998E-2</v>
      </c>
      <c r="K88" s="9"/>
      <c r="L88" s="9"/>
      <c r="M88" s="72">
        <v>1.7239999999999998E-2</v>
      </c>
      <c r="N88" s="72">
        <v>1.7239999999999998E-2</v>
      </c>
      <c r="O88" s="9"/>
      <c r="P88" s="72">
        <v>1.7239999999999998E-2</v>
      </c>
      <c r="Q88" s="9"/>
    </row>
    <row r="89" spans="1:17" x14ac:dyDescent="0.3">
      <c r="A89" t="s">
        <v>404</v>
      </c>
      <c r="B89" t="s">
        <v>405</v>
      </c>
      <c r="C89" t="s">
        <v>729</v>
      </c>
      <c r="F89" s="27">
        <v>3.9300000000000003E-3</v>
      </c>
      <c r="G89" s="27">
        <v>3.9300000000000003E-3</v>
      </c>
      <c r="H89" s="27">
        <v>3.9300000000000003E-3</v>
      </c>
      <c r="I89" s="9"/>
      <c r="J89" s="27">
        <v>3.9300000000000003E-3</v>
      </c>
      <c r="K89" s="9"/>
      <c r="L89" s="9"/>
      <c r="M89" s="27">
        <v>3.9300000000000003E-3</v>
      </c>
      <c r="N89" s="27">
        <v>3.9300000000000003E-3</v>
      </c>
      <c r="O89" s="9"/>
      <c r="P89" s="27">
        <v>3.9300000000000003E-3</v>
      </c>
      <c r="Q89" s="9"/>
    </row>
    <row r="90" spans="1:17" x14ac:dyDescent="0.3">
      <c r="A90" t="s">
        <v>403</v>
      </c>
      <c r="B90" s="73">
        <v>20</v>
      </c>
      <c r="C90" t="s">
        <v>394</v>
      </c>
      <c r="F90" s="74">
        <f>F88*(1+F89*($B$90-20))*1/F87</f>
        <v>1.2597939480735881E-2</v>
      </c>
      <c r="G90" s="74">
        <f>G88*(1+G89*($B$90-20))*1/G87</f>
        <v>3.429789023630344E-2</v>
      </c>
      <c r="H90" s="74">
        <f>H88*(1+H89*($B$90-20))*1/H87</f>
        <v>1.2597939480735881E-2</v>
      </c>
      <c r="I90" s="9"/>
      <c r="J90" s="74">
        <f>J88*(1+J89*($B$90-20))*1/J87</f>
        <v>1.2597939480735881E-2</v>
      </c>
      <c r="K90" s="9"/>
      <c r="L90" s="9"/>
      <c r="M90" s="74">
        <f>M88*(1+M89*($B$90-20))*1/M87</f>
        <v>1.2597939480735881E-2</v>
      </c>
      <c r="N90" s="74">
        <f>N88*(1+N89*($B$90-20))*1/N87</f>
        <v>1.2597939480735881E-2</v>
      </c>
      <c r="O90" s="9"/>
      <c r="P90" s="74">
        <f>P88*(1+P89*($B$90-20))*1/P87</f>
        <v>1.2597939480735881E-2</v>
      </c>
      <c r="Q90" s="9"/>
    </row>
    <row r="91" spans="1:17" s="138" customFormat="1" x14ac:dyDescent="0.3">
      <c r="A91" s="136" t="s">
        <v>101</v>
      </c>
      <c r="B91" s="136" t="s">
        <v>103</v>
      </c>
      <c r="C91" s="138" t="s">
        <v>104</v>
      </c>
      <c r="F91" s="148" t="s">
        <v>397</v>
      </c>
      <c r="G91" s="148" t="s">
        <v>397</v>
      </c>
      <c r="H91" s="148" t="s">
        <v>397</v>
      </c>
      <c r="I91" s="145"/>
      <c r="J91" s="148" t="s">
        <v>397</v>
      </c>
      <c r="K91" s="145"/>
      <c r="L91" s="145"/>
      <c r="M91" s="148" t="s">
        <v>397</v>
      </c>
      <c r="N91" s="148" t="s">
        <v>397</v>
      </c>
      <c r="O91" s="145"/>
      <c r="P91" s="148" t="s">
        <v>397</v>
      </c>
      <c r="Q91" s="145"/>
    </row>
    <row r="92" spans="1:17" x14ac:dyDescent="0.3">
      <c r="A92" s="2" t="s">
        <v>396</v>
      </c>
      <c r="B92" s="2" t="s">
        <v>383</v>
      </c>
      <c r="C92" t="s">
        <v>384</v>
      </c>
      <c r="F92" s="72">
        <v>0.36799999999999999</v>
      </c>
      <c r="G92" s="72">
        <v>0.36799999999999999</v>
      </c>
      <c r="H92" s="72">
        <v>0.36799999999999999</v>
      </c>
      <c r="I92" s="9"/>
      <c r="J92" s="72">
        <v>0.36799999999999999</v>
      </c>
      <c r="K92" s="9"/>
      <c r="L92" s="9"/>
      <c r="M92" s="72">
        <v>0.36799999999999999</v>
      </c>
      <c r="N92" s="72">
        <v>0.36799999999999999</v>
      </c>
      <c r="O92" s="9"/>
      <c r="P92" s="72">
        <v>0.36799999999999999</v>
      </c>
      <c r="Q92" s="9"/>
    </row>
    <row r="93" spans="1:17" x14ac:dyDescent="0.3">
      <c r="A93" s="138" t="s">
        <v>407</v>
      </c>
      <c r="B93" s="138" t="s">
        <v>406</v>
      </c>
      <c r="C93" t="s">
        <v>7</v>
      </c>
      <c r="F93" s="75">
        <v>6.9000000000000006E-2</v>
      </c>
      <c r="G93" s="75">
        <v>5.6000000000000001E-2</v>
      </c>
      <c r="H93" s="75">
        <v>6.9000000000000006E-2</v>
      </c>
      <c r="I93" s="9"/>
      <c r="J93" s="75">
        <v>6.9000000000000006E-2</v>
      </c>
      <c r="K93" s="9"/>
      <c r="L93" s="9"/>
      <c r="M93" s="75">
        <v>6.9000000000000006E-2</v>
      </c>
      <c r="N93" s="75">
        <v>6.9000000000000006E-2</v>
      </c>
      <c r="O93" s="80"/>
      <c r="P93" s="75">
        <v>6.9000000000000006E-2</v>
      </c>
      <c r="Q93" s="9"/>
    </row>
    <row r="94" spans="1:17" x14ac:dyDescent="0.3">
      <c r="A94" t="s">
        <v>408</v>
      </c>
      <c r="B94" t="s">
        <v>410</v>
      </c>
      <c r="C94" t="s">
        <v>7</v>
      </c>
      <c r="F94" s="18">
        <f>F85+2*F93</f>
        <v>1.4580000000000002</v>
      </c>
      <c r="G94" s="18">
        <f>G85+2*G93</f>
        <v>0.91200000000000003</v>
      </c>
      <c r="H94" s="18">
        <f>H85+2*H93</f>
        <v>1.4580000000000002</v>
      </c>
      <c r="J94" s="18">
        <f>J85+2*J93</f>
        <v>1.4580000000000002</v>
      </c>
      <c r="M94" s="18">
        <f>M85+2*M93</f>
        <v>1.4580000000000002</v>
      </c>
      <c r="N94" s="18">
        <f>N85+2*N93</f>
        <v>1.4580000000000002</v>
      </c>
      <c r="P94" s="18">
        <f>P85+2*P93</f>
        <v>1.4580000000000002</v>
      </c>
    </row>
    <row r="95" spans="1:17" x14ac:dyDescent="0.3">
      <c r="A95" t="s">
        <v>411</v>
      </c>
      <c r="B95" s="138" t="s">
        <v>412</v>
      </c>
      <c r="C95" t="s">
        <v>413</v>
      </c>
      <c r="F95" s="76">
        <v>79</v>
      </c>
      <c r="G95" s="76">
        <v>212</v>
      </c>
      <c r="H95" s="76">
        <v>79</v>
      </c>
      <c r="J95" s="76">
        <v>79</v>
      </c>
      <c r="M95" s="76">
        <v>79</v>
      </c>
      <c r="N95" s="76">
        <v>79</v>
      </c>
      <c r="P95" s="76">
        <v>79</v>
      </c>
    </row>
    <row r="96" spans="1:17" x14ac:dyDescent="0.3">
      <c r="A96" t="s">
        <v>431</v>
      </c>
      <c r="B96" s="138" t="s">
        <v>406</v>
      </c>
      <c r="C96" t="s">
        <v>144</v>
      </c>
      <c r="F96" s="85">
        <v>200</v>
      </c>
      <c r="G96" s="85">
        <v>200</v>
      </c>
      <c r="H96" s="85">
        <v>200</v>
      </c>
      <c r="I96" s="9"/>
      <c r="J96" s="85">
        <v>200</v>
      </c>
      <c r="K96" s="9"/>
      <c r="L96" s="9"/>
      <c r="M96" s="85">
        <v>200</v>
      </c>
      <c r="N96" s="85">
        <v>200</v>
      </c>
      <c r="O96" s="9"/>
      <c r="P96" s="85">
        <v>200</v>
      </c>
      <c r="Q96" s="9"/>
    </row>
    <row r="97" spans="1:17" x14ac:dyDescent="0.3">
      <c r="A97" t="s">
        <v>419</v>
      </c>
      <c r="B97" t="s">
        <v>423</v>
      </c>
      <c r="C97" t="s">
        <v>418</v>
      </c>
      <c r="F97" s="79">
        <v>2141.79</v>
      </c>
      <c r="G97" s="79">
        <v>1401.74</v>
      </c>
      <c r="H97" s="79">
        <v>3957.134</v>
      </c>
      <c r="I97" s="9"/>
      <c r="J97" s="79">
        <v>3811.3240000000001</v>
      </c>
      <c r="K97" s="9"/>
      <c r="L97" s="9"/>
      <c r="M97" s="79">
        <v>2735.538</v>
      </c>
      <c r="N97" s="79">
        <v>3711.3240000000001</v>
      </c>
      <c r="O97" s="9"/>
      <c r="P97" s="79">
        <v>4617.9679999999998</v>
      </c>
      <c r="Q97" s="9"/>
    </row>
    <row r="98" spans="1:17" x14ac:dyDescent="0.3">
      <c r="A98" t="s">
        <v>420</v>
      </c>
      <c r="B98" t="s">
        <v>423</v>
      </c>
      <c r="C98" t="s">
        <v>418</v>
      </c>
      <c r="F98" s="79">
        <v>2385.0500000000002</v>
      </c>
      <c r="G98" s="135"/>
      <c r="H98" s="79">
        <v>4375.326</v>
      </c>
      <c r="I98" s="9"/>
      <c r="J98" s="79">
        <v>4465.4179999999997</v>
      </c>
      <c r="K98" s="9"/>
      <c r="L98" s="9"/>
      <c r="M98" s="78"/>
      <c r="N98" s="79">
        <v>4033.3240000000001</v>
      </c>
      <c r="O98" s="9"/>
      <c r="P98" s="78"/>
      <c r="Q98" s="9"/>
    </row>
    <row r="99" spans="1:17" x14ac:dyDescent="0.3">
      <c r="A99" t="s">
        <v>414</v>
      </c>
      <c r="B99" t="s">
        <v>415</v>
      </c>
      <c r="C99" t="s">
        <v>124</v>
      </c>
      <c r="F99" s="77">
        <f>((F97*(F11/2))+(F98*(F11/2)))/POWER(10,6)</f>
        <v>8.1483119999999992E-2</v>
      </c>
      <c r="G99" s="77">
        <f>G97*G11/POWER(10,6)</f>
        <v>5.0462639999999996E-2</v>
      </c>
      <c r="H99" s="77">
        <f>((H97*(H11/2))+(H98*(H11/2)))/POWER(10,6)</f>
        <v>0.14998428</v>
      </c>
      <c r="I99" s="9"/>
      <c r="J99" s="77">
        <f>((J97*(J11/2))+(J98*(J11/2)))/POWER(10,6)</f>
        <v>0.198641808</v>
      </c>
      <c r="M99" s="77">
        <f>M97*M11/POWER(10,6)</f>
        <v>0.16413227999999999</v>
      </c>
      <c r="N99" s="77">
        <f>((N97*(N11/2))+(N98*(N11/2)))/POWER(10,6)</f>
        <v>0.27880732799999997</v>
      </c>
      <c r="O99" s="9"/>
      <c r="P99" s="77">
        <f>P97*P11/POWER(10,6)</f>
        <v>0.33249369600000001</v>
      </c>
      <c r="Q99" s="9"/>
    </row>
    <row r="100" spans="1:17" x14ac:dyDescent="0.3">
      <c r="A100" s="58" t="str">
        <f>"Aktivkupfer bei "&amp;TEXT($F$25,0)&amp; " mm Bauhöhe"</f>
        <v>Aktivkupfer bei 100 mm Bauhöhe</v>
      </c>
      <c r="B100" t="s">
        <v>415</v>
      </c>
      <c r="C100" t="s">
        <v>124</v>
      </c>
      <c r="F100" s="89">
        <f>(F87*F25)/POWER(10,6)*(F83*2)*F11</f>
        <v>0.37441551510965615</v>
      </c>
      <c r="G100" s="89">
        <f>(G87*G25)/POWER(10,6)*(G83*2)*G11</f>
        <v>0.33295855579806066</v>
      </c>
      <c r="H100" s="89">
        <f>(H87*H25)/POWER(10,6)*(H83*2)*H11</f>
        <v>0.59118239227840441</v>
      </c>
      <c r="I100" s="9"/>
      <c r="J100" s="89">
        <f>(J87*J25)/POWER(10,6)*(J83*2)*J11</f>
        <v>0.82765534918976624</v>
      </c>
      <c r="M100" s="89">
        <f>(M87*M25)/POWER(10,6)*(M83*2)*M11</f>
        <v>0.91961705465529586</v>
      </c>
      <c r="N100" s="89">
        <f>(N87*N25)/POWER(10,6)*(N83*2)*N11</f>
        <v>1.2414830237846495</v>
      </c>
      <c r="O100" s="9"/>
      <c r="P100" s="89">
        <f>(P87*P25)/POWER(10,6)*(P83*2)*P11</f>
        <v>1.4582499009533978</v>
      </c>
      <c r="Q100" s="9"/>
    </row>
    <row r="101" spans="1:17" x14ac:dyDescent="0.3">
      <c r="A101" t="s">
        <v>422</v>
      </c>
      <c r="B101" t="s">
        <v>421</v>
      </c>
      <c r="C101" t="s">
        <v>110</v>
      </c>
      <c r="F101" s="90">
        <f>F99/F100</f>
        <v>0.21762751999242286</v>
      </c>
      <c r="G101" s="90">
        <f>G99/G100</f>
        <v>0.15155832196306612</v>
      </c>
      <c r="H101" s="90">
        <f>H99/H100</f>
        <v>0.25370221095720352</v>
      </c>
      <c r="I101" s="9"/>
      <c r="J101" s="90">
        <f>J99/J100</f>
        <v>0.24000546627827699</v>
      </c>
      <c r="M101" s="90">
        <f>M99/M100</f>
        <v>0.17847894313086921</v>
      </c>
      <c r="N101" s="90">
        <f>N99/N100</f>
        <v>0.22457602936048082</v>
      </c>
      <c r="O101" s="9"/>
      <c r="P101" s="90">
        <f>P99/P100</f>
        <v>0.22800872181278187</v>
      </c>
      <c r="Q101" s="9"/>
    </row>
    <row r="102" spans="1:17" x14ac:dyDescent="0.3">
      <c r="A102" s="139" t="s">
        <v>489</v>
      </c>
      <c r="C102" s="140" t="s">
        <v>490</v>
      </c>
      <c r="F102" s="9">
        <v>8960</v>
      </c>
      <c r="G102" s="9">
        <v>8960</v>
      </c>
      <c r="H102" s="9">
        <v>8960</v>
      </c>
      <c r="I102" s="9"/>
      <c r="J102" s="9">
        <v>8960</v>
      </c>
      <c r="K102" s="9"/>
      <c r="L102" s="9"/>
      <c r="M102" s="9">
        <v>8960</v>
      </c>
      <c r="N102" s="9">
        <v>8960</v>
      </c>
      <c r="O102" s="9"/>
      <c r="P102" s="9">
        <v>8960</v>
      </c>
      <c r="Q102" s="9"/>
    </row>
    <row r="103" spans="1:17" x14ac:dyDescent="0.3">
      <c r="A103" t="s">
        <v>491</v>
      </c>
      <c r="C103" t="s">
        <v>492</v>
      </c>
      <c r="F103" s="28">
        <f t="shared" ref="F103" si="5">F102*F99</f>
        <v>730.08875519999992</v>
      </c>
      <c r="G103" s="28">
        <f t="shared" ref="G103:H103" si="6">G102*G99</f>
        <v>452.14525439999994</v>
      </c>
      <c r="H103" s="28">
        <f t="shared" si="6"/>
        <v>1343.8591488</v>
      </c>
      <c r="I103" s="28"/>
      <c r="J103" s="28">
        <f>J102*J99</f>
        <v>1779.83059968</v>
      </c>
      <c r="K103" s="9"/>
      <c r="L103" s="9"/>
      <c r="M103" s="28">
        <f t="shared" ref="M103:N103" si="7">M102*M99</f>
        <v>1470.6252287999998</v>
      </c>
      <c r="N103" s="28">
        <f t="shared" si="7"/>
        <v>2498.1136588799995</v>
      </c>
      <c r="O103" s="9"/>
      <c r="P103" s="28">
        <f t="shared" ref="P103" si="8">P102*P99</f>
        <v>2979.1435161600002</v>
      </c>
      <c r="Q103" s="9"/>
    </row>
    <row r="104" spans="1:17" x14ac:dyDescent="0.3">
      <c r="A104" t="s">
        <v>493</v>
      </c>
      <c r="C104" t="s">
        <v>492</v>
      </c>
      <c r="F104" s="28">
        <f t="shared" ref="F104:G104" si="9">F102*F100</f>
        <v>3354.7630153825189</v>
      </c>
      <c r="G104" s="28">
        <f t="shared" si="9"/>
        <v>2983.3086599506237</v>
      </c>
      <c r="H104" s="28">
        <f t="shared" ref="H104" si="10">H102*H100</f>
        <v>5296.9942348145032</v>
      </c>
      <c r="I104" s="28"/>
      <c r="J104" s="28">
        <f>J102*J100</f>
        <v>7415.7919287403056</v>
      </c>
      <c r="K104" s="9"/>
      <c r="L104" s="9"/>
      <c r="M104" s="28">
        <f t="shared" ref="M104:N104" si="11">M102*M100</f>
        <v>8239.7688097114515</v>
      </c>
      <c r="N104" s="28">
        <f t="shared" si="11"/>
        <v>11123.687893110458</v>
      </c>
      <c r="O104" s="9"/>
      <c r="P104" s="28">
        <f t="shared" ref="P104" si="12">P102*P100</f>
        <v>13065.919112542444</v>
      </c>
      <c r="Q104" s="9"/>
    </row>
    <row r="105" spans="1:17" x14ac:dyDescent="0.3">
      <c r="A105" t="s">
        <v>494</v>
      </c>
      <c r="C105" t="s">
        <v>492</v>
      </c>
      <c r="F105" s="28">
        <f t="shared" ref="F105" si="13">F103+F104</f>
        <v>4084.8517705825188</v>
      </c>
      <c r="G105" s="28">
        <f t="shared" ref="G105:H105" si="14">G103+G104</f>
        <v>3435.4539143506236</v>
      </c>
      <c r="H105" s="28">
        <f t="shared" si="14"/>
        <v>6640.8533836145034</v>
      </c>
      <c r="I105" s="28"/>
      <c r="J105" s="28">
        <f>J103+J104</f>
        <v>9195.6225284203065</v>
      </c>
      <c r="K105" s="9"/>
      <c r="L105" s="9"/>
      <c r="M105" s="28">
        <f t="shared" ref="M105:N105" si="15">M103+M104</f>
        <v>9710.3940385114511</v>
      </c>
      <c r="N105" s="28">
        <f t="shared" si="15"/>
        <v>13621.801551990458</v>
      </c>
      <c r="O105" s="9"/>
      <c r="P105" s="28">
        <f t="shared" ref="P105" si="16">P103+P104</f>
        <v>16045.062628702444</v>
      </c>
      <c r="Q105" s="9"/>
    </row>
    <row r="106" spans="1:17" x14ac:dyDescent="0.3">
      <c r="A106" t="s">
        <v>495</v>
      </c>
      <c r="C106" t="s">
        <v>492</v>
      </c>
      <c r="F106" s="28">
        <f>F105/F11</f>
        <v>113.4681047384033</v>
      </c>
      <c r="G106" s="28">
        <f>G105/G11</f>
        <v>95.429275398628434</v>
      </c>
      <c r="H106" s="28">
        <f>H105/H11</f>
        <v>184.46814954484731</v>
      </c>
      <c r="I106" s="28"/>
      <c r="J106" s="28">
        <f>J105/J11</f>
        <v>191.57546934208972</v>
      </c>
      <c r="K106" s="9"/>
      <c r="L106" s="9"/>
      <c r="M106" s="28">
        <f>M105/M11</f>
        <v>161.83990064185753</v>
      </c>
      <c r="N106" s="28">
        <f>N105/N11</f>
        <v>189.19168822208971</v>
      </c>
      <c r="O106" s="9"/>
      <c r="P106" s="28">
        <f>P105/P11</f>
        <v>222.84809206531173</v>
      </c>
      <c r="Q106" s="9"/>
    </row>
    <row r="107" spans="1:17" x14ac:dyDescent="0.3">
      <c r="A107" t="s">
        <v>734</v>
      </c>
      <c r="C107" t="s">
        <v>496</v>
      </c>
      <c r="F107" s="28">
        <f>F106/F86</f>
        <v>9.3235911863930401</v>
      </c>
      <c r="G107" s="28">
        <f>G106/G86</f>
        <v>21.353608278950198</v>
      </c>
      <c r="H107" s="28">
        <f>H106/H86</f>
        <v>15.157612945344889</v>
      </c>
      <c r="I107" s="112"/>
      <c r="J107" s="28">
        <f>J106/J86</f>
        <v>15.741616215455196</v>
      </c>
      <c r="K107" s="9"/>
      <c r="L107" s="9"/>
      <c r="M107" s="28">
        <f>M106/M86</f>
        <v>13.29826628117153</v>
      </c>
      <c r="N107" s="28">
        <f>N106/N86</f>
        <v>15.545742664099402</v>
      </c>
      <c r="O107" s="9"/>
      <c r="P107" s="28">
        <f>P106/P86</f>
        <v>18.311264754750347</v>
      </c>
      <c r="Q107" s="9"/>
    </row>
    <row r="108" spans="1:17" x14ac:dyDescent="0.3">
      <c r="A108" t="s">
        <v>741</v>
      </c>
      <c r="B108" t="s">
        <v>740</v>
      </c>
      <c r="C108" t="s">
        <v>585</v>
      </c>
      <c r="F108" s="128">
        <f>F$107*F$90</f>
        <v>0.11745803750930196</v>
      </c>
      <c r="G108" s="128">
        <f>G$107*G$90</f>
        <v>0.73238371290045423</v>
      </c>
      <c r="H108" s="128">
        <f>H$107*H$90</f>
        <v>0.19095469055787365</v>
      </c>
      <c r="I108" s="127"/>
      <c r="J108" s="128">
        <f>J$107*J$90</f>
        <v>0.19831192841127515</v>
      </c>
      <c r="K108" s="127"/>
      <c r="L108" s="127"/>
      <c r="M108" s="128">
        <f>M$107*M$90</f>
        <v>0.16753075380890953</v>
      </c>
      <c r="N108" s="128">
        <f>N$107*N$90</f>
        <v>0.19584432526541803</v>
      </c>
      <c r="O108" s="127"/>
      <c r="P108" s="128">
        <f>P$107*P$90</f>
        <v>0.23068420519607682</v>
      </c>
      <c r="Q108" s="9"/>
    </row>
    <row r="109" spans="1:17" x14ac:dyDescent="0.3">
      <c r="A109" s="139" t="s">
        <v>741</v>
      </c>
      <c r="B109" s="138" t="s">
        <v>747</v>
      </c>
      <c r="C109" t="s">
        <v>585</v>
      </c>
      <c r="F109" s="141" t="s">
        <v>742</v>
      </c>
      <c r="G109" s="141"/>
      <c r="H109" s="141" t="s">
        <v>743</v>
      </c>
      <c r="I109" s="149"/>
      <c r="J109" s="141"/>
      <c r="K109" s="149"/>
      <c r="L109" s="149"/>
      <c r="M109" s="141" t="s">
        <v>744</v>
      </c>
      <c r="N109" s="141" t="s">
        <v>745</v>
      </c>
      <c r="O109" s="149"/>
      <c r="P109" s="141" t="s">
        <v>746</v>
      </c>
      <c r="Q109" s="145"/>
    </row>
    <row r="110" spans="1:17" x14ac:dyDescent="0.3">
      <c r="A110" t="s">
        <v>738</v>
      </c>
      <c r="B110" t="s">
        <v>739</v>
      </c>
      <c r="C110" t="s">
        <v>585</v>
      </c>
      <c r="F110" s="128">
        <f>F$107*F$90*((F$11/3)*2)</f>
        <v>2.8189929002232472</v>
      </c>
      <c r="G110" s="128">
        <f>G$107*G$90*((G$11/3)*2)</f>
        <v>17.577209109610902</v>
      </c>
      <c r="H110" s="128">
        <f>H$107*H$90*((H$11/3)*2)</f>
        <v>4.5829125733889677</v>
      </c>
      <c r="I110" s="122"/>
      <c r="J110" s="128">
        <f>J$107*J$90*((J$11/3)*2)</f>
        <v>6.3459817091608048</v>
      </c>
      <c r="K110" s="122"/>
      <c r="L110" s="122"/>
      <c r="M110" s="128">
        <f>M$107*M$90*((M$11/3)*2)</f>
        <v>6.7012301523563806</v>
      </c>
      <c r="N110" s="128">
        <f>N$107*N$90*((N$11/3)*2)</f>
        <v>9.4005276127400652</v>
      </c>
      <c r="O110" s="122"/>
      <c r="P110" s="128">
        <f>P$107*P$90*((P$11/3)*2)</f>
        <v>11.072841849411688</v>
      </c>
      <c r="Q110" s="122"/>
    </row>
    <row r="111" spans="1:17" s="24" customFormat="1" x14ac:dyDescent="0.3">
      <c r="A111" s="93" t="s">
        <v>424</v>
      </c>
      <c r="B111" s="23"/>
      <c r="C111" s="151" t="s">
        <v>465</v>
      </c>
      <c r="D111" s="151"/>
      <c r="E111" s="151"/>
      <c r="F111" s="95" t="s">
        <v>464</v>
      </c>
      <c r="G111" s="95" t="s">
        <v>464</v>
      </c>
      <c r="H111" s="95" t="s">
        <v>464</v>
      </c>
      <c r="I111" s="56"/>
      <c r="J111" s="95" t="s">
        <v>464</v>
      </c>
      <c r="K111" s="56"/>
      <c r="L111" s="113"/>
      <c r="M111" s="95" t="s">
        <v>464</v>
      </c>
      <c r="N111" s="95" t="s">
        <v>464</v>
      </c>
      <c r="O111" s="56"/>
      <c r="P111" s="95" t="s">
        <v>464</v>
      </c>
      <c r="Q111" s="56"/>
    </row>
    <row r="112" spans="1:17" x14ac:dyDescent="0.3">
      <c r="A112" t="s">
        <v>437</v>
      </c>
      <c r="B112" t="s">
        <v>425</v>
      </c>
      <c r="C112" t="s">
        <v>439</v>
      </c>
      <c r="D112" s="82"/>
      <c r="E112" s="82"/>
      <c r="F112" s="84">
        <v>614.6</v>
      </c>
      <c r="G112" s="84">
        <v>403</v>
      </c>
      <c r="H112" s="84">
        <v>892</v>
      </c>
      <c r="I112" s="28"/>
      <c r="J112" s="84">
        <v>1317</v>
      </c>
      <c r="K112" s="28"/>
      <c r="L112" s="28"/>
      <c r="M112" s="84">
        <v>1036</v>
      </c>
      <c r="N112" s="84">
        <v>0</v>
      </c>
      <c r="O112" s="28"/>
      <c r="P112" s="84">
        <v>0</v>
      </c>
      <c r="Q112" s="28"/>
    </row>
    <row r="113" spans="1:17" x14ac:dyDescent="0.3">
      <c r="A113" s="88" t="s">
        <v>444</v>
      </c>
      <c r="B113" t="s">
        <v>441</v>
      </c>
      <c r="C113" t="s">
        <v>442</v>
      </c>
      <c r="D113" s="82"/>
      <c r="E113" s="82"/>
      <c r="F113" s="84">
        <v>32.35</v>
      </c>
      <c r="G113" s="84">
        <v>21.22</v>
      </c>
      <c r="H113" s="84">
        <v>46.9</v>
      </c>
      <c r="I113" s="28"/>
      <c r="J113" s="84">
        <v>69</v>
      </c>
      <c r="K113" s="28"/>
      <c r="L113" s="28"/>
      <c r="M113" s="84">
        <v>54</v>
      </c>
      <c r="N113" s="84">
        <v>0</v>
      </c>
      <c r="O113" s="28"/>
      <c r="P113" s="84">
        <v>0</v>
      </c>
      <c r="Q113" s="28"/>
    </row>
    <row r="114" spans="1:17" x14ac:dyDescent="0.3">
      <c r="A114" t="s">
        <v>433</v>
      </c>
      <c r="B114" t="s">
        <v>426</v>
      </c>
      <c r="C114" t="s">
        <v>440</v>
      </c>
      <c r="D114" s="82"/>
      <c r="E114" s="82"/>
      <c r="F114" s="84">
        <v>79.900000000000006</v>
      </c>
      <c r="G114" s="84">
        <v>52.47</v>
      </c>
      <c r="H114" s="84">
        <v>116</v>
      </c>
      <c r="I114" s="28"/>
      <c r="J114" s="84">
        <v>171.27</v>
      </c>
      <c r="K114" s="28"/>
      <c r="L114" s="28"/>
      <c r="M114" s="84">
        <v>134.75</v>
      </c>
      <c r="N114" s="84">
        <v>0</v>
      </c>
      <c r="O114" s="28"/>
      <c r="P114" s="84">
        <v>0</v>
      </c>
      <c r="Q114" s="28"/>
    </row>
    <row r="115" spans="1:17" x14ac:dyDescent="0.3">
      <c r="A115" s="88" t="s">
        <v>438</v>
      </c>
      <c r="B115" t="s">
        <v>425</v>
      </c>
      <c r="C115" t="s">
        <v>436</v>
      </c>
      <c r="D115" s="82"/>
      <c r="E115" s="82"/>
      <c r="F115" s="87">
        <v>3.5087999999999999</v>
      </c>
      <c r="G115" s="87">
        <v>3.1791</v>
      </c>
      <c r="H115" s="87">
        <v>4.9377000000000004</v>
      </c>
      <c r="I115" s="28"/>
      <c r="J115" s="87">
        <v>7.9421999999999997</v>
      </c>
      <c r="K115" s="28"/>
      <c r="L115" s="28"/>
      <c r="M115" s="87">
        <v>7.8851000000000004</v>
      </c>
      <c r="N115" s="87">
        <v>0</v>
      </c>
      <c r="O115" s="28"/>
      <c r="P115" s="87">
        <v>0</v>
      </c>
      <c r="Q115" s="28"/>
    </row>
    <row r="116" spans="1:17" x14ac:dyDescent="0.3">
      <c r="A116" s="88" t="s">
        <v>445</v>
      </c>
      <c r="B116" t="s">
        <v>441</v>
      </c>
      <c r="C116" t="s">
        <v>436</v>
      </c>
      <c r="D116" s="82"/>
      <c r="E116" s="82"/>
      <c r="F116" s="87">
        <v>0.18459999999999999</v>
      </c>
      <c r="G116" s="87">
        <v>0.16732</v>
      </c>
      <c r="H116" s="87">
        <v>0.25979999999999998</v>
      </c>
      <c r="I116" s="28"/>
      <c r="J116" s="87">
        <v>0.4178</v>
      </c>
      <c r="K116" s="28"/>
      <c r="L116" s="28"/>
      <c r="M116" s="87">
        <v>0.41489999999999999</v>
      </c>
      <c r="N116" s="87">
        <v>0</v>
      </c>
      <c r="O116" s="28"/>
      <c r="P116" s="87">
        <v>0</v>
      </c>
      <c r="Q116" s="28"/>
    </row>
    <row r="117" spans="1:17" x14ac:dyDescent="0.3">
      <c r="A117" s="88" t="s">
        <v>435</v>
      </c>
      <c r="B117" t="s">
        <v>426</v>
      </c>
      <c r="C117" t="s">
        <v>436</v>
      </c>
      <c r="D117" s="82"/>
      <c r="E117" s="82"/>
      <c r="F117" s="87">
        <v>0.45650000000000002</v>
      </c>
      <c r="G117" s="87">
        <v>0.41360000000000002</v>
      </c>
      <c r="H117" s="87">
        <v>0.64239999999999997</v>
      </c>
      <c r="I117" s="28"/>
      <c r="J117" s="87">
        <v>1.0330999999999999</v>
      </c>
      <c r="K117" s="28"/>
      <c r="L117" s="28"/>
      <c r="M117" s="87">
        <v>1.0703</v>
      </c>
      <c r="N117" s="87">
        <v>0</v>
      </c>
      <c r="O117" s="28"/>
      <c r="P117" s="87">
        <v>0</v>
      </c>
      <c r="Q117" s="28"/>
    </row>
    <row r="118" spans="1:17" x14ac:dyDescent="0.3">
      <c r="A118" s="58" t="str">
        <f>"Verguss gesamt bei "&amp;TEXT($F$25,0)&amp; " mm Bauhöhe"</f>
        <v>Verguss gesamt bei 100 mm Bauhöhe</v>
      </c>
      <c r="B118" t="s">
        <v>434</v>
      </c>
      <c r="C118" t="s">
        <v>125</v>
      </c>
      <c r="D118" s="82"/>
      <c r="E118" s="82"/>
      <c r="F118" s="91">
        <f>(F112+F113+F114+F115*$B$25+F117*$B$25+F116*$B$25)/1000</f>
        <v>1.1418400000000002</v>
      </c>
      <c r="G118" s="91">
        <f>(G112+G113+G114+G115*$B$25+G117*$B$25+G116*$B$25)/1000</f>
        <v>0.85269200000000012</v>
      </c>
      <c r="H118" s="91">
        <f>(H112+H113+H114+H115*$B$25+H117*$B$25+H116*$B$25)/1000</f>
        <v>1.6388900000000002</v>
      </c>
      <c r="I118" s="28"/>
      <c r="J118" s="91">
        <f>(J112+J113+J114+J115*$B$25+J117*$B$25+J116*$B$25)/1000</f>
        <v>2.4965799999999998</v>
      </c>
      <c r="K118" s="28"/>
      <c r="L118" s="28"/>
      <c r="M118" s="91">
        <f>(M112+M113+M114+M115*$B$25+M117*$B$25+M116*$B$25)/1000</f>
        <v>2.1617799999999998</v>
      </c>
      <c r="N118" s="91">
        <f>(N112+N113+N114+N115*$B$25+N117*$B$25+N116*$B$25)/1000</f>
        <v>0</v>
      </c>
      <c r="O118" s="28"/>
      <c r="P118" s="91">
        <f>(P112+P113+P114+P115*$B$25+P117*$B$25+P116*$B$25)/1000</f>
        <v>0</v>
      </c>
      <c r="Q118" s="28"/>
    </row>
    <row r="119" spans="1:17" x14ac:dyDescent="0.3">
      <c r="A119" s="2" t="s">
        <v>101</v>
      </c>
      <c r="B119" s="2" t="s">
        <v>430</v>
      </c>
      <c r="C119" t="s">
        <v>104</v>
      </c>
      <c r="D119" s="82"/>
      <c r="E119" s="82"/>
      <c r="F119" s="81">
        <v>0.8</v>
      </c>
      <c r="G119" s="81">
        <v>0.8</v>
      </c>
      <c r="H119" s="81">
        <v>0.8</v>
      </c>
      <c r="I119" s="28"/>
      <c r="J119" s="81">
        <v>0.8</v>
      </c>
      <c r="K119" s="28"/>
      <c r="L119" s="28"/>
      <c r="M119" s="81">
        <v>0.8</v>
      </c>
      <c r="N119" s="81">
        <v>0.8</v>
      </c>
      <c r="O119" s="28"/>
      <c r="P119" s="81">
        <v>0.8</v>
      </c>
      <c r="Q119" s="28"/>
    </row>
    <row r="120" spans="1:17" x14ac:dyDescent="0.3">
      <c r="A120" s="2" t="s">
        <v>396</v>
      </c>
      <c r="B120" s="2" t="s">
        <v>383</v>
      </c>
      <c r="C120" t="s">
        <v>398</v>
      </c>
      <c r="D120" s="82"/>
      <c r="E120" s="82"/>
      <c r="F120" s="81">
        <v>1</v>
      </c>
      <c r="G120" s="81">
        <v>1</v>
      </c>
      <c r="H120" s="81">
        <v>1</v>
      </c>
      <c r="I120" s="28"/>
      <c r="J120" s="81">
        <v>1</v>
      </c>
      <c r="K120" s="28"/>
      <c r="L120" s="28"/>
      <c r="M120" s="81">
        <v>1</v>
      </c>
      <c r="N120" s="81">
        <v>1</v>
      </c>
      <c r="O120" s="28"/>
      <c r="P120" s="81">
        <v>1</v>
      </c>
      <c r="Q120" s="28"/>
    </row>
    <row r="121" spans="1:17" x14ac:dyDescent="0.3">
      <c r="A121" s="2" t="s">
        <v>108</v>
      </c>
      <c r="B121" s="136" t="s">
        <v>427</v>
      </c>
      <c r="C121" t="s">
        <v>109</v>
      </c>
      <c r="D121" s="82"/>
      <c r="E121" s="82"/>
      <c r="F121" s="81">
        <v>1.58</v>
      </c>
      <c r="G121" s="81">
        <v>1.58</v>
      </c>
      <c r="H121" s="81">
        <v>1.58</v>
      </c>
      <c r="I121" s="28"/>
      <c r="J121" s="81">
        <v>1.58</v>
      </c>
      <c r="K121" s="28"/>
      <c r="L121" s="28"/>
      <c r="M121" s="81">
        <v>1.58</v>
      </c>
      <c r="N121" s="81">
        <v>1.58</v>
      </c>
      <c r="O121" s="28"/>
      <c r="P121" s="81">
        <v>1.58</v>
      </c>
      <c r="Q121" s="28"/>
    </row>
    <row r="122" spans="1:17" x14ac:dyDescent="0.3">
      <c r="A122" s="2" t="s">
        <v>429</v>
      </c>
      <c r="B122" s="2" t="s">
        <v>443</v>
      </c>
      <c r="C122" t="s">
        <v>428</v>
      </c>
      <c r="D122" s="82"/>
      <c r="E122" s="82"/>
      <c r="F122" s="83">
        <v>15</v>
      </c>
      <c r="G122" s="83">
        <v>15</v>
      </c>
      <c r="H122" s="83">
        <v>15</v>
      </c>
      <c r="I122" s="28"/>
      <c r="J122" s="83">
        <v>15</v>
      </c>
      <c r="K122" s="28"/>
      <c r="L122" s="28"/>
      <c r="M122" s="83">
        <v>15</v>
      </c>
      <c r="N122" s="83">
        <v>15</v>
      </c>
      <c r="O122" s="28"/>
      <c r="P122" s="83">
        <v>15</v>
      </c>
      <c r="Q122" s="28"/>
    </row>
    <row r="123" spans="1:17" x14ac:dyDescent="0.3">
      <c r="A123" s="2" t="s">
        <v>432</v>
      </c>
      <c r="B123" s="2" t="s">
        <v>77</v>
      </c>
      <c r="C123" t="s">
        <v>144</v>
      </c>
      <c r="D123" s="82"/>
      <c r="E123" s="82"/>
      <c r="F123" s="85">
        <v>130</v>
      </c>
      <c r="G123" s="85">
        <v>130</v>
      </c>
      <c r="H123" s="85">
        <v>130</v>
      </c>
      <c r="I123" s="28"/>
      <c r="J123" s="85">
        <v>130</v>
      </c>
      <c r="K123" s="28"/>
      <c r="L123" s="28"/>
      <c r="M123" s="85">
        <v>130</v>
      </c>
      <c r="N123" s="85">
        <v>130</v>
      </c>
      <c r="O123" s="28"/>
      <c r="P123" s="85">
        <v>130</v>
      </c>
      <c r="Q123" s="28"/>
    </row>
    <row r="124" spans="1:17" x14ac:dyDescent="0.3">
      <c r="A124" s="30" t="s">
        <v>446</v>
      </c>
      <c r="B124" s="23"/>
      <c r="C124" s="151" t="s">
        <v>457</v>
      </c>
      <c r="D124" s="151"/>
      <c r="E124" s="151"/>
      <c r="F124" s="94"/>
      <c r="G124" s="95"/>
      <c r="H124" s="94"/>
      <c r="I124" s="96"/>
      <c r="J124" s="94"/>
      <c r="K124" s="96"/>
      <c r="L124" s="96"/>
      <c r="M124" s="94"/>
      <c r="N124" s="94"/>
      <c r="O124" s="96"/>
      <c r="P124" s="94"/>
      <c r="Q124" s="96"/>
    </row>
    <row r="125" spans="1:17" s="99" customFormat="1" x14ac:dyDescent="0.3">
      <c r="A125" s="88" t="s">
        <v>462</v>
      </c>
      <c r="B125" s="88" t="s">
        <v>463</v>
      </c>
      <c r="C125" s="99" t="s">
        <v>458</v>
      </c>
      <c r="D125" s="100"/>
      <c r="E125" s="100"/>
      <c r="F125" s="101"/>
      <c r="G125" s="102"/>
      <c r="H125" s="101"/>
      <c r="I125" s="103"/>
      <c r="J125" s="101"/>
      <c r="K125" s="103"/>
      <c r="L125" s="103"/>
      <c r="M125" s="101"/>
      <c r="N125" s="101"/>
      <c r="O125" s="103"/>
      <c r="P125" s="101"/>
      <c r="Q125" s="103"/>
    </row>
    <row r="126" spans="1:17" s="99" customFormat="1" x14ac:dyDescent="0.3">
      <c r="A126" s="88" t="s">
        <v>459</v>
      </c>
      <c r="C126" s="99" t="s">
        <v>9</v>
      </c>
      <c r="D126" s="100"/>
      <c r="E126" s="100"/>
      <c r="F126" s="101"/>
      <c r="G126" s="102"/>
      <c r="H126" s="101"/>
      <c r="I126" s="103"/>
      <c r="J126" s="101"/>
      <c r="K126" s="103"/>
      <c r="L126" s="103"/>
      <c r="M126" s="101"/>
      <c r="N126" s="101"/>
      <c r="O126" s="103"/>
      <c r="P126" s="101"/>
      <c r="Q126" s="103"/>
    </row>
    <row r="127" spans="1:17" x14ac:dyDescent="0.3">
      <c r="A127" s="2" t="s">
        <v>452</v>
      </c>
      <c r="B127" s="2" t="s">
        <v>460</v>
      </c>
      <c r="C127" s="97"/>
      <c r="D127" s="82"/>
      <c r="E127" s="82"/>
      <c r="F127" s="81" t="s">
        <v>461</v>
      </c>
      <c r="G127" s="81" t="s">
        <v>461</v>
      </c>
      <c r="H127" s="81" t="s">
        <v>461</v>
      </c>
      <c r="I127" s="28"/>
      <c r="J127" s="81" t="s">
        <v>461</v>
      </c>
      <c r="K127" s="28"/>
      <c r="L127" s="28"/>
      <c r="M127" s="81" t="s">
        <v>461</v>
      </c>
      <c r="N127" s="81" t="s">
        <v>461</v>
      </c>
      <c r="O127" s="28"/>
      <c r="P127" s="81" t="s">
        <v>461</v>
      </c>
      <c r="Q127" s="28"/>
    </row>
    <row r="128" spans="1:17" x14ac:dyDescent="0.3">
      <c r="A128" s="2" t="s">
        <v>448</v>
      </c>
      <c r="B128" t="s">
        <v>447</v>
      </c>
      <c r="C128" t="s">
        <v>453</v>
      </c>
      <c r="D128" s="82"/>
      <c r="E128" s="82"/>
      <c r="F128" s="83">
        <v>1044</v>
      </c>
      <c r="G128" s="83">
        <v>1044</v>
      </c>
      <c r="H128" s="83">
        <v>1044</v>
      </c>
      <c r="I128" s="28"/>
      <c r="J128" s="83">
        <v>1044</v>
      </c>
      <c r="K128" s="28"/>
      <c r="L128" s="28"/>
      <c r="M128" s="83">
        <v>1044</v>
      </c>
      <c r="N128" s="83">
        <v>1044</v>
      </c>
      <c r="O128" s="28"/>
      <c r="P128" s="83">
        <v>1044</v>
      </c>
      <c r="Q128" s="28"/>
    </row>
    <row r="129" spans="1:17" x14ac:dyDescent="0.3">
      <c r="A129" s="2" t="s">
        <v>448</v>
      </c>
      <c r="B129" t="s">
        <v>456</v>
      </c>
      <c r="C129" t="s">
        <v>453</v>
      </c>
      <c r="D129" s="82"/>
      <c r="E129" s="82"/>
      <c r="F129" s="83">
        <v>1040</v>
      </c>
      <c r="G129" s="83">
        <v>1040</v>
      </c>
      <c r="H129" s="83">
        <v>1040</v>
      </c>
      <c r="I129" s="28"/>
      <c r="J129" s="83">
        <v>1040</v>
      </c>
      <c r="K129" s="28"/>
      <c r="L129" s="28"/>
      <c r="M129" s="83">
        <v>1040</v>
      </c>
      <c r="N129" s="83">
        <v>1040</v>
      </c>
      <c r="O129" s="28"/>
      <c r="P129" s="83">
        <v>1040</v>
      </c>
      <c r="Q129" s="28"/>
    </row>
    <row r="130" spans="1:17" x14ac:dyDescent="0.3">
      <c r="A130" s="2" t="s">
        <v>449</v>
      </c>
      <c r="B130" t="s">
        <v>447</v>
      </c>
      <c r="C130" t="s">
        <v>451</v>
      </c>
      <c r="D130" s="82"/>
      <c r="E130" s="92"/>
      <c r="F130" s="81">
        <v>3.85</v>
      </c>
      <c r="G130" s="81">
        <v>3.85</v>
      </c>
      <c r="H130" s="81">
        <v>3.85</v>
      </c>
      <c r="I130" s="28"/>
      <c r="J130" s="81">
        <v>3.85</v>
      </c>
      <c r="K130" s="28"/>
      <c r="L130" s="28"/>
      <c r="M130" s="81">
        <v>3.85</v>
      </c>
      <c r="N130" s="81">
        <v>3.85</v>
      </c>
      <c r="O130" s="28"/>
      <c r="P130" s="81">
        <v>3.85</v>
      </c>
      <c r="Q130" s="28"/>
    </row>
    <row r="131" spans="1:17" x14ac:dyDescent="0.3">
      <c r="A131" s="2" t="s">
        <v>449</v>
      </c>
      <c r="B131" t="s">
        <v>456</v>
      </c>
      <c r="C131" t="s">
        <v>451</v>
      </c>
      <c r="D131" s="82"/>
      <c r="E131" s="92"/>
      <c r="F131" s="81">
        <v>3.88</v>
      </c>
      <c r="G131" s="81">
        <v>3.88</v>
      </c>
      <c r="H131" s="81">
        <v>3.88</v>
      </c>
      <c r="I131" s="28"/>
      <c r="J131" s="81">
        <v>3.88</v>
      </c>
      <c r="K131" s="28"/>
      <c r="L131" s="28"/>
      <c r="M131" s="81">
        <v>3.88</v>
      </c>
      <c r="N131" s="81">
        <v>3.88</v>
      </c>
      <c r="O131" s="28"/>
      <c r="P131" s="81">
        <v>3.88</v>
      </c>
      <c r="Q131" s="28"/>
    </row>
    <row r="132" spans="1:17" x14ac:dyDescent="0.3">
      <c r="A132" s="2" t="s">
        <v>450</v>
      </c>
      <c r="B132" t="s">
        <v>447</v>
      </c>
      <c r="C132" t="s">
        <v>104</v>
      </c>
      <c r="D132" s="82"/>
      <c r="E132" s="82"/>
      <c r="F132" s="98">
        <v>0.46700000000000003</v>
      </c>
      <c r="G132" s="98">
        <v>0.46700000000000003</v>
      </c>
      <c r="H132" s="98">
        <v>0.46700000000000003</v>
      </c>
      <c r="I132" s="28"/>
      <c r="J132" s="98">
        <v>0.46700000000000003</v>
      </c>
      <c r="K132" s="28"/>
      <c r="L132" s="28"/>
      <c r="M132" s="98">
        <v>0.46700000000000003</v>
      </c>
      <c r="N132" s="98">
        <v>0.46700000000000003</v>
      </c>
      <c r="O132" s="28"/>
      <c r="P132" s="98">
        <v>0.46700000000000003</v>
      </c>
      <c r="Q132" s="28"/>
    </row>
    <row r="133" spans="1:17" x14ac:dyDescent="0.3">
      <c r="A133" s="2" t="s">
        <v>450</v>
      </c>
      <c r="B133" t="s">
        <v>456</v>
      </c>
      <c r="C133" t="s">
        <v>104</v>
      </c>
      <c r="D133" s="82"/>
      <c r="E133" s="82"/>
      <c r="F133" s="98">
        <v>0.47799999999999998</v>
      </c>
      <c r="G133" s="98">
        <v>0.47799999999999998</v>
      </c>
      <c r="H133" s="98">
        <v>0.47799999999999998</v>
      </c>
      <c r="I133" s="28"/>
      <c r="J133" s="98">
        <v>0.47799999999999998</v>
      </c>
      <c r="K133" s="28"/>
      <c r="L133" s="28"/>
      <c r="M133" s="98">
        <v>0.47799999999999998</v>
      </c>
      <c r="N133" s="98">
        <v>0.47799999999999998</v>
      </c>
      <c r="O133" s="28"/>
      <c r="P133" s="98">
        <v>0.47799999999999998</v>
      </c>
      <c r="Q133" s="28"/>
    </row>
    <row r="134" spans="1:17" x14ac:dyDescent="0.3">
      <c r="A134" s="2" t="s">
        <v>454</v>
      </c>
      <c r="B134" t="s">
        <v>447</v>
      </c>
      <c r="C134" t="s">
        <v>455</v>
      </c>
      <c r="D134" s="82"/>
      <c r="E134" s="82"/>
      <c r="F134" s="81">
        <v>2.34</v>
      </c>
      <c r="G134" s="81">
        <v>2.34</v>
      </c>
      <c r="H134" s="81">
        <v>2.34</v>
      </c>
      <c r="I134" s="28"/>
      <c r="J134" s="81">
        <v>2.34</v>
      </c>
      <c r="K134" s="28"/>
      <c r="L134" s="28"/>
      <c r="M134" s="81">
        <v>2.34</v>
      </c>
      <c r="N134" s="81">
        <v>2.34</v>
      </c>
      <c r="O134" s="28"/>
      <c r="P134" s="81">
        <v>2.34</v>
      </c>
      <c r="Q134" s="28"/>
    </row>
    <row r="135" spans="1:17" x14ac:dyDescent="0.3">
      <c r="A135" s="2" t="s">
        <v>454</v>
      </c>
      <c r="B135" t="s">
        <v>456</v>
      </c>
      <c r="C135" t="s">
        <v>455</v>
      </c>
      <c r="D135" s="82"/>
      <c r="E135" s="82"/>
      <c r="F135" s="81">
        <v>1.77</v>
      </c>
      <c r="G135" s="81">
        <v>1.77</v>
      </c>
      <c r="H135" s="81">
        <v>1.77</v>
      </c>
      <c r="I135" s="28"/>
      <c r="J135" s="81">
        <v>1.77</v>
      </c>
      <c r="K135" s="28"/>
      <c r="L135" s="28"/>
      <c r="M135" s="81">
        <v>1.77</v>
      </c>
      <c r="N135" s="81">
        <v>1.77</v>
      </c>
      <c r="O135" s="28"/>
      <c r="P135" s="81">
        <v>1.77</v>
      </c>
      <c r="Q135" s="28"/>
    </row>
    <row r="136" spans="1:17" x14ac:dyDescent="0.3">
      <c r="D136" s="82"/>
      <c r="E136" s="82"/>
      <c r="F136" s="81"/>
      <c r="G136" s="81"/>
      <c r="H136" s="81"/>
      <c r="I136" s="28"/>
      <c r="J136" s="81"/>
      <c r="K136" s="28"/>
      <c r="L136" s="28"/>
      <c r="M136" s="81"/>
      <c r="N136" s="81"/>
      <c r="O136" s="28"/>
      <c r="P136" s="81"/>
      <c r="Q136" s="28"/>
    </row>
    <row r="137" spans="1:17" s="24" customFormat="1" ht="15.6" x14ac:dyDescent="0.3">
      <c r="A137" s="22" t="s">
        <v>18</v>
      </c>
      <c r="B137" s="22"/>
      <c r="C137" s="23"/>
      <c r="D137" s="23"/>
      <c r="E137" s="23"/>
      <c r="F137" s="23"/>
      <c r="G137" s="23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x14ac:dyDescent="0.3">
      <c r="A138" t="s">
        <v>19</v>
      </c>
    </row>
    <row r="139" spans="1:17" x14ac:dyDescent="0.3">
      <c r="A139" t="s">
        <v>22</v>
      </c>
      <c r="G139" s="26"/>
    </row>
    <row r="140" spans="1:17" x14ac:dyDescent="0.3">
      <c r="A140" t="s">
        <v>23</v>
      </c>
    </row>
    <row r="141" spans="1:17" x14ac:dyDescent="0.3"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</row>
    <row r="142" spans="1:17" x14ac:dyDescent="0.3"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</row>
    <row r="144" spans="1:17" s="24" customFormat="1" ht="15.6" x14ac:dyDescent="0.3">
      <c r="A144" s="22" t="s">
        <v>20</v>
      </c>
      <c r="B144" s="22"/>
      <c r="C144" s="23"/>
      <c r="D144" s="23"/>
      <c r="E144" s="23"/>
      <c r="F144" s="23"/>
      <c r="G144" s="23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5.6" x14ac:dyDescent="0.3">
      <c r="A145" s="123" t="s">
        <v>751</v>
      </c>
      <c r="B145" s="124" t="s">
        <v>721</v>
      </c>
      <c r="C145" t="s">
        <v>48</v>
      </c>
      <c r="F145" s="129">
        <v>1.7</v>
      </c>
      <c r="G145" s="129">
        <v>1.7</v>
      </c>
      <c r="H145" s="129">
        <v>1.7</v>
      </c>
      <c r="I145" s="129">
        <v>1.7</v>
      </c>
      <c r="J145" s="129">
        <v>1.7</v>
      </c>
      <c r="K145" s="129">
        <v>1.7</v>
      </c>
      <c r="M145" s="129">
        <v>1.7</v>
      </c>
      <c r="N145" s="1">
        <v>1.7</v>
      </c>
      <c r="O145" s="129">
        <v>1.7</v>
      </c>
      <c r="P145" s="1">
        <v>1.6</v>
      </c>
    </row>
    <row r="146" spans="1:17" ht="15.6" x14ac:dyDescent="0.3">
      <c r="A146" s="123" t="s">
        <v>717</v>
      </c>
      <c r="B146" s="124" t="s">
        <v>722</v>
      </c>
      <c r="C146" t="s">
        <v>116</v>
      </c>
      <c r="F146" s="129">
        <v>0.57799999999999996</v>
      </c>
      <c r="G146" s="129">
        <v>0.57799999999999996</v>
      </c>
      <c r="H146" s="129">
        <v>0.57799999999999996</v>
      </c>
      <c r="I146" s="129">
        <v>0.57799999999999996</v>
      </c>
      <c r="J146" s="129">
        <v>0.57799999999999996</v>
      </c>
      <c r="K146" s="129">
        <v>0.57799999999999996</v>
      </c>
      <c r="M146" s="129">
        <v>0.57799999999999996</v>
      </c>
      <c r="N146" s="129">
        <v>0.57799999999999996</v>
      </c>
      <c r="O146" s="129">
        <v>0.57799999999999996</v>
      </c>
      <c r="P146" s="1">
        <v>0.57799999999999996</v>
      </c>
    </row>
    <row r="147" spans="1:17" ht="15.6" x14ac:dyDescent="0.3">
      <c r="A147" s="123" t="s">
        <v>718</v>
      </c>
      <c r="B147" s="124" t="s">
        <v>723</v>
      </c>
      <c r="C147" t="s">
        <v>116</v>
      </c>
      <c r="F147" s="129">
        <v>0.317</v>
      </c>
      <c r="G147" s="129">
        <v>0.317</v>
      </c>
      <c r="H147" s="129">
        <v>0.317</v>
      </c>
      <c r="I147" s="129">
        <v>0.317</v>
      </c>
      <c r="J147" s="129">
        <v>0.317</v>
      </c>
      <c r="K147" s="129">
        <v>0.317</v>
      </c>
      <c r="M147" s="129">
        <v>0.317</v>
      </c>
      <c r="N147" s="129">
        <v>0.317</v>
      </c>
      <c r="O147" s="129">
        <v>0.317</v>
      </c>
      <c r="P147" s="1">
        <v>0.317</v>
      </c>
    </row>
    <row r="148" spans="1:17" x14ac:dyDescent="0.3">
      <c r="A148" s="123" t="s">
        <v>719</v>
      </c>
      <c r="B148" s="124" t="s">
        <v>724</v>
      </c>
      <c r="F148" s="129">
        <v>1.6</v>
      </c>
      <c r="G148" s="129">
        <v>1.6</v>
      </c>
      <c r="H148" s="129">
        <v>1.6</v>
      </c>
      <c r="I148" s="129">
        <v>1.6</v>
      </c>
      <c r="J148" s="129">
        <v>1.6</v>
      </c>
      <c r="K148" s="129">
        <v>1.6</v>
      </c>
      <c r="M148" s="129">
        <v>1.6</v>
      </c>
      <c r="N148" s="129">
        <v>1.6</v>
      </c>
      <c r="O148" s="129">
        <v>1.6</v>
      </c>
      <c r="P148" s="1">
        <v>1.6</v>
      </c>
    </row>
    <row r="149" spans="1:17" x14ac:dyDescent="0.3">
      <c r="A149" s="123" t="s">
        <v>720</v>
      </c>
      <c r="B149" s="124" t="s">
        <v>725</v>
      </c>
      <c r="F149" s="129">
        <v>1.93</v>
      </c>
      <c r="G149" s="129">
        <v>1.93</v>
      </c>
      <c r="H149" s="129">
        <v>1.93</v>
      </c>
      <c r="I149" s="129">
        <v>1.93</v>
      </c>
      <c r="J149" s="129">
        <v>1.93</v>
      </c>
      <c r="K149" s="129">
        <v>1.93</v>
      </c>
      <c r="M149" s="129">
        <v>1.93</v>
      </c>
      <c r="N149" s="129">
        <v>1.93</v>
      </c>
      <c r="O149" s="129">
        <v>1.93</v>
      </c>
      <c r="P149" s="1">
        <v>1.93</v>
      </c>
    </row>
    <row r="150" spans="1:17" ht="15.6" x14ac:dyDescent="0.3">
      <c r="A150" s="123" t="s">
        <v>752</v>
      </c>
      <c r="B150" s="124" t="s">
        <v>726</v>
      </c>
      <c r="F150" s="129">
        <v>3.5</v>
      </c>
      <c r="G150" s="129">
        <v>3.5</v>
      </c>
      <c r="H150" s="129">
        <v>3.5</v>
      </c>
      <c r="I150" s="129">
        <v>3.5</v>
      </c>
      <c r="J150" s="129">
        <v>3.5</v>
      </c>
      <c r="K150" s="129">
        <v>3.5</v>
      </c>
      <c r="M150" s="129">
        <v>3.5</v>
      </c>
      <c r="N150" s="129">
        <v>3.5</v>
      </c>
      <c r="O150" s="129">
        <v>3.5</v>
      </c>
      <c r="P150" s="1">
        <v>3.5</v>
      </c>
    </row>
    <row r="151" spans="1:17" x14ac:dyDescent="0.3">
      <c r="A151" s="125" t="s">
        <v>727</v>
      </c>
      <c r="B151" s="126" t="s">
        <v>728</v>
      </c>
      <c r="C151" t="s">
        <v>125</v>
      </c>
      <c r="F151" s="131">
        <f t="shared" ref="F151:K151" si="17">F27</f>
        <v>6.5193908079999989</v>
      </c>
      <c r="G151" s="131">
        <f t="shared" si="17"/>
        <v>6.1346196799999992</v>
      </c>
      <c r="H151" s="131">
        <f t="shared" si="17"/>
        <v>10.139170944000002</v>
      </c>
      <c r="I151" s="131">
        <f t="shared" si="17"/>
        <v>7.9435675760000004</v>
      </c>
      <c r="J151" s="131">
        <f t="shared" si="17"/>
        <v>16.247171472000002</v>
      </c>
      <c r="K151" s="131">
        <f t="shared" si="17"/>
        <v>11.10537764</v>
      </c>
      <c r="L151" s="122"/>
      <c r="M151" s="131">
        <f>M27</f>
        <v>13.667295992</v>
      </c>
      <c r="N151" s="131">
        <f>N27</f>
        <v>22.020585495999995</v>
      </c>
      <c r="O151" s="131">
        <f>O27</f>
        <v>18.828879160000003</v>
      </c>
      <c r="P151" s="131">
        <f>P27</f>
        <v>32.984868968800001</v>
      </c>
      <c r="Q151" s="122"/>
    </row>
    <row r="153" spans="1:17" s="24" customFormat="1" ht="15.6" x14ac:dyDescent="0.3">
      <c r="A153" s="22" t="s">
        <v>21</v>
      </c>
      <c r="B153" s="22"/>
      <c r="C153" s="23"/>
      <c r="D153" s="23"/>
      <c r="E153" s="23"/>
      <c r="F153" s="23"/>
      <c r="G153" s="23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3">
      <c r="A154" t="s">
        <v>481</v>
      </c>
      <c r="B154" t="s">
        <v>475</v>
      </c>
      <c r="C154" t="s">
        <v>487</v>
      </c>
      <c r="F154" s="106">
        <f>0.058*(100/$B$25)</f>
        <v>5.8000000000000003E-2</v>
      </c>
      <c r="G154" s="134">
        <f>0.058*(100/$B$25)</f>
        <v>5.8000000000000003E-2</v>
      </c>
      <c r="H154" s="134">
        <f>0.044*(100/$B$25)</f>
        <v>4.3999999999999997E-2</v>
      </c>
      <c r="J154" s="134">
        <f>0.034*(100/$B$25)</f>
        <v>3.4000000000000002E-2</v>
      </c>
      <c r="M154" s="134">
        <f>0.028*(100/$B$25)</f>
        <v>2.8000000000000001E-2</v>
      </c>
      <c r="N154" s="134">
        <f>0.023*(100/$B$25)</f>
        <v>2.3E-2</v>
      </c>
      <c r="P154" s="134">
        <f>0.015*(100/$B$25)</f>
        <v>1.4999999999999999E-2</v>
      </c>
    </row>
    <row r="155" spans="1:17" x14ac:dyDescent="0.3">
      <c r="A155" t="s">
        <v>476</v>
      </c>
      <c r="B155" t="s">
        <v>478</v>
      </c>
      <c r="C155" t="s">
        <v>487</v>
      </c>
      <c r="F155" s="106">
        <v>0.57999999999999996</v>
      </c>
      <c r="G155" s="106">
        <v>0.57999999999999996</v>
      </c>
      <c r="H155" s="106">
        <v>0.44</v>
      </c>
      <c r="J155" s="106">
        <v>0.34</v>
      </c>
      <c r="M155" s="106">
        <v>0.28000000000000003</v>
      </c>
      <c r="N155" s="106">
        <v>0.23</v>
      </c>
      <c r="P155" s="106">
        <v>0.15</v>
      </c>
    </row>
    <row r="156" spans="1:17" x14ac:dyDescent="0.3">
      <c r="A156" t="s">
        <v>774</v>
      </c>
      <c r="B156" t="s">
        <v>479</v>
      </c>
      <c r="C156" t="s">
        <v>487</v>
      </c>
      <c r="F156" s="109">
        <f>0.75*(F154*F155/(F155-F154))</f>
        <v>4.8333333333333332E-2</v>
      </c>
      <c r="G156" s="109">
        <f>0.75*(G154*G155/(G155-G154))</f>
        <v>4.8333333333333332E-2</v>
      </c>
      <c r="H156" s="109">
        <f>0.75*(H154*H155/(H155-H154))</f>
        <v>3.6666666666666667E-2</v>
      </c>
      <c r="J156" s="109">
        <f>0.75*(J154*J155/(J155-J154))</f>
        <v>2.8333333333333328E-2</v>
      </c>
      <c r="M156" s="109">
        <f>0.75*(M154*M155/(M155-M154))</f>
        <v>2.3333333333333338E-2</v>
      </c>
      <c r="N156" s="109">
        <f>0.75*(N154*N155/(N155-N154))</f>
        <v>1.9166666666666669E-2</v>
      </c>
      <c r="P156" s="109">
        <f>0.75*(P154*P155/(P155-P154))</f>
        <v>1.2499999999999997E-2</v>
      </c>
    </row>
    <row r="157" spans="1:17" x14ac:dyDescent="0.3">
      <c r="A157" t="s">
        <v>477</v>
      </c>
      <c r="B157" t="s">
        <v>480</v>
      </c>
      <c r="C157" t="s">
        <v>487</v>
      </c>
      <c r="F157" s="109">
        <f>0.25*(F155*F154/(F155-F154))</f>
        <v>1.6111111111111111E-2</v>
      </c>
      <c r="G157" s="109">
        <f>0.25*(G155*G154/(G155-G154))</f>
        <v>1.6111111111111111E-2</v>
      </c>
      <c r="H157" s="109">
        <f>0.25*(H155*H154/(H155-H154))</f>
        <v>1.2222222222222221E-2</v>
      </c>
      <c r="J157" s="109">
        <f>0.25*(J155*J154/(J155-J154))</f>
        <v>9.4444444444444428E-3</v>
      </c>
      <c r="M157" s="109">
        <f>0.25*(M155*M154/(M155-M154))</f>
        <v>7.7777777777777793E-3</v>
      </c>
      <c r="N157" s="109">
        <f>0.25*(N155*N154/(N155-N154))</f>
        <v>6.3888888888888893E-3</v>
      </c>
      <c r="P157" s="109">
        <f>0.25*(P155*P154/(P155-P154))</f>
        <v>4.1666666666666657E-3</v>
      </c>
    </row>
    <row r="158" spans="1:17" x14ac:dyDescent="0.3">
      <c r="A158" t="s">
        <v>482</v>
      </c>
      <c r="B158" t="s">
        <v>483</v>
      </c>
      <c r="C158" t="s">
        <v>487</v>
      </c>
      <c r="F158" s="106">
        <f>3.6*F154</f>
        <v>0.20880000000000001</v>
      </c>
      <c r="G158" s="106">
        <f>3.6*G154</f>
        <v>0.20880000000000001</v>
      </c>
      <c r="H158" s="106">
        <f>3.6*H154</f>
        <v>0.15839999999999999</v>
      </c>
      <c r="J158" s="106">
        <f>3.6*J154</f>
        <v>0.12240000000000001</v>
      </c>
      <c r="M158" s="106">
        <f>3.6*M154</f>
        <v>0.1008</v>
      </c>
      <c r="N158" s="106">
        <f>3.6*N154</f>
        <v>8.2799999999999999E-2</v>
      </c>
      <c r="P158" s="106">
        <f>3.6*P154</f>
        <v>5.3999999999999999E-2</v>
      </c>
    </row>
    <row r="159" spans="1:17" x14ac:dyDescent="0.3">
      <c r="A159" t="s">
        <v>484</v>
      </c>
      <c r="B159" t="s">
        <v>485</v>
      </c>
      <c r="C159" t="s">
        <v>716</v>
      </c>
      <c r="F159" s="111">
        <f>F92*F105+(F115+F117)*$B$25*F120</f>
        <v>1899.7554515743668</v>
      </c>
      <c r="G159" s="111">
        <f>G92*G105+(G115+G117)*$B$25*G120</f>
        <v>1623.5170404810294</v>
      </c>
      <c r="H159" s="111">
        <f>H92*H105+(H115+H117)*$B$25*H120</f>
        <v>3001.8440451701376</v>
      </c>
      <c r="I159" s="106"/>
      <c r="J159" s="111">
        <f>J92*J105+(J115+J117)*$B$25*J120</f>
        <v>4281.5190904586725</v>
      </c>
      <c r="K159" s="106"/>
      <c r="M159" s="111">
        <f>M92*M105+(M115+M117)*$B$25*M120</f>
        <v>4468.9650061722141</v>
      </c>
      <c r="N159" s="111">
        <f>N92*N105+(N115+N117)*$B$25*N120</f>
        <v>5012.8229711324884</v>
      </c>
      <c r="O159" s="106"/>
      <c r="P159" s="111">
        <f>P92*P105+(P115+P117)*$B$25*P120</f>
        <v>5904.5830473624992</v>
      </c>
      <c r="Q159" s="106"/>
    </row>
    <row r="160" spans="1:17" x14ac:dyDescent="0.3">
      <c r="A160" t="s">
        <v>770</v>
      </c>
      <c r="B160" t="s">
        <v>486</v>
      </c>
      <c r="C160" t="s">
        <v>716</v>
      </c>
      <c r="F160" s="111">
        <f>F27*F28+PI()*(F4^2/4-F3^2/4)*($B$25+30)*(1/1000000)*F22*F28</f>
        <v>3671.2109691190194</v>
      </c>
      <c r="G160" s="111">
        <f t="shared" ref="G160:J160" si="18">G27*G28+PI()*(G4^2/4-G3^2/4)*($B$25+30)*(1/1000000)*G22*G28</f>
        <v>3427.8771688062716</v>
      </c>
      <c r="H160" s="111">
        <f t="shared" si="18"/>
        <v>5439.7872396976227</v>
      </c>
      <c r="I160" s="111"/>
      <c r="J160" s="111">
        <f t="shared" si="18"/>
        <v>8739.406178296209</v>
      </c>
      <c r="K160" s="106"/>
      <c r="M160" s="111">
        <f t="shared" ref="M160:P160" si="19">M27*M28+PI()*(M4^2/4-M3^2/4)*($B$25+30)*(1/1000000)*M22*M28</f>
        <v>8305.1224890883859</v>
      </c>
      <c r="N160" s="111">
        <f t="shared" si="19"/>
        <v>12477.890573672492</v>
      </c>
      <c r="O160" s="111"/>
      <c r="P160" s="111">
        <f t="shared" si="19"/>
        <v>19379.841836577001</v>
      </c>
      <c r="Q160" s="106"/>
    </row>
    <row r="161" spans="1:17" x14ac:dyDescent="0.3">
      <c r="A161" t="s">
        <v>712</v>
      </c>
      <c r="B161" t="s">
        <v>714</v>
      </c>
      <c r="C161" t="s">
        <v>583</v>
      </c>
      <c r="F161" s="111">
        <f t="shared" ref="F161:H162" si="20">F159*F156</f>
        <v>91.821513492761056</v>
      </c>
      <c r="G161" s="111">
        <f t="shared" si="20"/>
        <v>78.469990289916424</v>
      </c>
      <c r="H161" s="111">
        <f t="shared" si="20"/>
        <v>110.06761498957171</v>
      </c>
      <c r="I161" s="106"/>
      <c r="J161" s="111">
        <f>J159*J156</f>
        <v>121.3097075629957</v>
      </c>
      <c r="K161" s="106"/>
      <c r="M161" s="111">
        <f>M159*M156</f>
        <v>104.27585014401835</v>
      </c>
      <c r="N161" s="111">
        <f>N159*N156</f>
        <v>96.079106946706034</v>
      </c>
      <c r="O161" s="106"/>
      <c r="P161" s="111">
        <f>P159*P156</f>
        <v>73.807288092031229</v>
      </c>
      <c r="Q161" s="106"/>
    </row>
    <row r="162" spans="1:17" x14ac:dyDescent="0.3">
      <c r="A162" t="s">
        <v>713</v>
      </c>
      <c r="B162" t="s">
        <v>715</v>
      </c>
      <c r="C162" t="s">
        <v>583</v>
      </c>
      <c r="F162" s="111">
        <f t="shared" si="20"/>
        <v>59.147287835806424</v>
      </c>
      <c r="G162" s="111">
        <f t="shared" si="20"/>
        <v>55.226909941878816</v>
      </c>
      <c r="H162" s="111">
        <f t="shared" si="20"/>
        <v>66.486288485193157</v>
      </c>
      <c r="J162" s="111">
        <f>J160*J157</f>
        <v>82.538836128353068</v>
      </c>
      <c r="M162" s="111">
        <f>M160*M157</f>
        <v>64.595397137354126</v>
      </c>
      <c r="N162" s="111">
        <f>N160*N157</f>
        <v>79.719856442907599</v>
      </c>
      <c r="P162" s="111">
        <f>P160*P157</f>
        <v>80.74934098573749</v>
      </c>
    </row>
    <row r="164" spans="1:17" s="24" customFormat="1" ht="15.6" x14ac:dyDescent="0.3">
      <c r="A164" s="22" t="s">
        <v>472</v>
      </c>
      <c r="B164" s="22"/>
      <c r="C164" s="23"/>
      <c r="D164" s="23"/>
      <c r="E164" s="23"/>
      <c r="F164" s="23"/>
      <c r="G164" s="23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3">
      <c r="A165" t="s">
        <v>54</v>
      </c>
      <c r="D165" s="121"/>
      <c r="E165" s="121"/>
      <c r="F165" s="121">
        <v>1</v>
      </c>
      <c r="G165" s="121">
        <v>1</v>
      </c>
      <c r="H165" s="121">
        <v>1</v>
      </c>
      <c r="I165" s="121"/>
      <c r="J165" s="121">
        <v>1</v>
      </c>
      <c r="K165" s="121"/>
      <c r="L165" s="121"/>
      <c r="M165" s="121">
        <v>1</v>
      </c>
      <c r="N165" s="121">
        <v>1</v>
      </c>
      <c r="O165" s="121"/>
      <c r="P165" s="121">
        <v>1</v>
      </c>
      <c r="Q165" s="121"/>
    </row>
    <row r="166" spans="1:17" x14ac:dyDescent="0.3">
      <c r="A166" t="s">
        <v>55</v>
      </c>
      <c r="D166" s="121"/>
      <c r="E166" s="121"/>
      <c r="F166" s="121">
        <v>2</v>
      </c>
      <c r="G166" s="121">
        <v>2</v>
      </c>
      <c r="H166" s="121">
        <v>2</v>
      </c>
      <c r="I166" s="121"/>
      <c r="J166" s="121">
        <v>2</v>
      </c>
      <c r="K166" s="121"/>
      <c r="L166" s="121"/>
      <c r="M166" s="121">
        <v>2</v>
      </c>
      <c r="N166" s="121">
        <v>2</v>
      </c>
      <c r="O166" s="121"/>
      <c r="P166" s="121">
        <v>2</v>
      </c>
      <c r="Q166" s="121"/>
    </row>
    <row r="167" spans="1:17" x14ac:dyDescent="0.3">
      <c r="A167" t="s">
        <v>56</v>
      </c>
      <c r="D167" s="121"/>
      <c r="E167" s="121"/>
      <c r="F167" s="121">
        <v>3</v>
      </c>
      <c r="G167" s="121">
        <v>3</v>
      </c>
      <c r="H167" s="121">
        <v>3</v>
      </c>
      <c r="I167" s="121"/>
      <c r="J167" s="121"/>
      <c r="K167" s="121"/>
      <c r="L167" s="121"/>
      <c r="M167" s="121"/>
      <c r="N167" s="121">
        <v>3</v>
      </c>
      <c r="O167" s="121"/>
      <c r="P167" s="121">
        <v>3</v>
      </c>
      <c r="Q167" s="121"/>
    </row>
    <row r="168" spans="1:17" x14ac:dyDescent="0.3">
      <c r="A168" t="s">
        <v>57</v>
      </c>
      <c r="D168" s="121"/>
      <c r="E168" s="121"/>
      <c r="F168" s="121"/>
      <c r="G168" s="121"/>
      <c r="H168" s="121"/>
      <c r="I168" s="121"/>
      <c r="J168" s="121">
        <v>4</v>
      </c>
      <c r="K168" s="121"/>
      <c r="L168" s="121"/>
      <c r="M168" s="121"/>
      <c r="N168" s="121">
        <v>4</v>
      </c>
      <c r="O168" s="121"/>
      <c r="P168" s="121">
        <v>4</v>
      </c>
      <c r="Q168" s="121"/>
    </row>
    <row r="169" spans="1:17" x14ac:dyDescent="0.3">
      <c r="A169" t="s">
        <v>58</v>
      </c>
      <c r="D169" s="121"/>
      <c r="E169" s="121"/>
      <c r="F169" s="121"/>
      <c r="G169" s="121"/>
      <c r="H169" s="121"/>
      <c r="I169" s="121"/>
      <c r="J169" s="121"/>
      <c r="K169" s="121"/>
      <c r="L169" s="121"/>
      <c r="M169" s="121">
        <v>5</v>
      </c>
      <c r="N169" s="121"/>
      <c r="O169" s="121"/>
      <c r="P169" s="121"/>
      <c r="Q169" s="121"/>
    </row>
    <row r="170" spans="1:17" x14ac:dyDescent="0.3">
      <c r="A170" t="s">
        <v>59</v>
      </c>
      <c r="D170" s="121"/>
      <c r="E170" s="121"/>
      <c r="F170" s="121">
        <v>6</v>
      </c>
      <c r="G170" s="121">
        <v>6</v>
      </c>
      <c r="H170" s="121">
        <v>6</v>
      </c>
      <c r="I170" s="121"/>
      <c r="J170" s="121"/>
      <c r="K170" s="121"/>
      <c r="L170" s="121"/>
      <c r="M170" s="121"/>
      <c r="N170" s="121">
        <v>6</v>
      </c>
      <c r="O170" s="121"/>
      <c r="P170" s="121">
        <v>6</v>
      </c>
      <c r="Q170" s="121"/>
    </row>
    <row r="171" spans="1:17" x14ac:dyDescent="0.3">
      <c r="A171" t="s">
        <v>60</v>
      </c>
      <c r="D171" s="121"/>
      <c r="E171" s="121"/>
      <c r="F171" s="121"/>
      <c r="G171" s="121"/>
      <c r="H171" s="121"/>
      <c r="I171" s="121"/>
      <c r="J171" s="121">
        <v>8</v>
      </c>
      <c r="K171" s="121"/>
      <c r="L171" s="121"/>
      <c r="M171" s="121"/>
      <c r="N171" s="121"/>
      <c r="O171" s="121"/>
      <c r="P171" s="121"/>
      <c r="Q171" s="121"/>
    </row>
    <row r="172" spans="1:17" x14ac:dyDescent="0.3">
      <c r="A172" t="s">
        <v>61</v>
      </c>
      <c r="D172" s="121"/>
      <c r="E172" s="121"/>
      <c r="F172" s="121"/>
      <c r="G172" s="121"/>
      <c r="H172" s="121"/>
      <c r="I172" s="121"/>
      <c r="J172" s="121"/>
      <c r="K172" s="121"/>
      <c r="L172" s="121"/>
      <c r="M172" s="121">
        <v>10</v>
      </c>
      <c r="N172" s="121"/>
      <c r="O172" s="121"/>
      <c r="P172" s="121"/>
      <c r="Q172" s="121"/>
    </row>
    <row r="173" spans="1:17" x14ac:dyDescent="0.3">
      <c r="A173" t="s">
        <v>62</v>
      </c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>
        <v>12</v>
      </c>
      <c r="O173" s="121"/>
      <c r="P173" s="121">
        <v>12</v>
      </c>
      <c r="Q173" s="121"/>
    </row>
    <row r="174" spans="1:17" x14ac:dyDescent="0.3"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</row>
    <row r="175" spans="1:17" s="24" customFormat="1" ht="15.6" x14ac:dyDescent="0.3">
      <c r="A175" s="22" t="s">
        <v>470</v>
      </c>
      <c r="B175" s="22"/>
      <c r="C175" s="23"/>
      <c r="D175" s="23"/>
      <c r="E175" s="23"/>
      <c r="F175" s="23"/>
      <c r="G175" s="23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3">
      <c r="A176" t="s">
        <v>474</v>
      </c>
      <c r="F176" s="133">
        <v>1</v>
      </c>
      <c r="H176" s="105">
        <v>1</v>
      </c>
      <c r="I176" s="105"/>
      <c r="J176" s="105"/>
      <c r="K176" s="105"/>
      <c r="M176" s="105"/>
      <c r="N176" s="105"/>
      <c r="O176" s="105"/>
      <c r="P176" s="105">
        <v>1</v>
      </c>
      <c r="Q176" s="105"/>
    </row>
    <row r="177" spans="1:17" x14ac:dyDescent="0.3">
      <c r="A177" t="s">
        <v>760</v>
      </c>
      <c r="B177" s="2" t="s">
        <v>761</v>
      </c>
      <c r="C177" t="s">
        <v>13</v>
      </c>
      <c r="F177" s="118">
        <v>1.2</v>
      </c>
      <c r="G177" s="118">
        <v>1.1399999999999999</v>
      </c>
      <c r="H177" s="105">
        <v>1.48</v>
      </c>
      <c r="I177" s="105"/>
      <c r="J177" s="105">
        <v>1.39</v>
      </c>
      <c r="K177" s="130"/>
      <c r="L177" s="130"/>
      <c r="M177" s="105">
        <v>1.1100000000000001</v>
      </c>
      <c r="N177" s="130"/>
      <c r="O177" s="130"/>
      <c r="P177" s="130">
        <v>1.84</v>
      </c>
      <c r="Q177" s="130"/>
    </row>
    <row r="178" spans="1:17" x14ac:dyDescent="0.3">
      <c r="A178" t="s">
        <v>54</v>
      </c>
      <c r="B178" t="s">
        <v>765</v>
      </c>
      <c r="C178" t="s">
        <v>766</v>
      </c>
      <c r="F178" s="108">
        <f t="shared" ref="F178:F186" si="21">IF(F165&gt;0,(2*0.93*(F$177/1000)*F$83*(F$38/2)*(F$11/3/2/F165)*F$176)," ")</f>
        <v>7.6334400000000002</v>
      </c>
      <c r="H178" s="108">
        <f t="shared" ref="H178:H186" si="22">IF(H165&gt;0,(2*0.93*(H$177/1000)*H$83*(H$38/2)*(H$11/3/2/H165)*H$176)," ")</f>
        <v>14.865120000000001</v>
      </c>
      <c r="P178" s="132">
        <f>(2*P177*0.93/1000)*P83*(P11/(3*2))</f>
        <v>3.0390911999999997</v>
      </c>
    </row>
    <row r="179" spans="1:17" x14ac:dyDescent="0.3">
      <c r="A179" t="s">
        <v>55</v>
      </c>
      <c r="F179" s="108">
        <f t="shared" si="21"/>
        <v>3.8167200000000001</v>
      </c>
      <c r="H179" s="108">
        <f t="shared" si="22"/>
        <v>7.4325600000000005</v>
      </c>
    </row>
    <row r="180" spans="1:17" x14ac:dyDescent="0.3">
      <c r="A180" t="s">
        <v>56</v>
      </c>
      <c r="F180" s="108">
        <f t="shared" si="21"/>
        <v>2.5444800000000001</v>
      </c>
      <c r="H180" s="108">
        <f t="shared" si="22"/>
        <v>4.9550400000000003</v>
      </c>
    </row>
    <row r="181" spans="1:17" x14ac:dyDescent="0.3">
      <c r="A181" t="s">
        <v>57</v>
      </c>
      <c r="F181" s="108" t="str">
        <f t="shared" si="21"/>
        <v xml:space="preserve"> </v>
      </c>
      <c r="H181" s="108" t="str">
        <f t="shared" si="22"/>
        <v xml:space="preserve"> </v>
      </c>
    </row>
    <row r="182" spans="1:17" x14ac:dyDescent="0.3">
      <c r="A182" t="s">
        <v>58</v>
      </c>
      <c r="F182" s="108" t="str">
        <f t="shared" si="21"/>
        <v xml:space="preserve"> </v>
      </c>
      <c r="H182" s="108" t="str">
        <f t="shared" si="22"/>
        <v xml:space="preserve"> </v>
      </c>
    </row>
    <row r="183" spans="1:17" x14ac:dyDescent="0.3">
      <c r="A183" t="s">
        <v>59</v>
      </c>
      <c r="F183" s="108">
        <f t="shared" si="21"/>
        <v>1.27224</v>
      </c>
      <c r="H183" s="108">
        <f t="shared" si="22"/>
        <v>2.4775200000000002</v>
      </c>
    </row>
    <row r="184" spans="1:17" x14ac:dyDescent="0.3">
      <c r="A184" t="s">
        <v>60</v>
      </c>
      <c r="F184" s="108" t="str">
        <f t="shared" si="21"/>
        <v xml:space="preserve"> </v>
      </c>
      <c r="H184" s="108" t="str">
        <f t="shared" si="22"/>
        <v xml:space="preserve"> </v>
      </c>
    </row>
    <row r="185" spans="1:17" x14ac:dyDescent="0.3">
      <c r="A185" t="s">
        <v>61</v>
      </c>
      <c r="F185" s="108" t="str">
        <f t="shared" si="21"/>
        <v xml:space="preserve"> </v>
      </c>
      <c r="H185" s="108" t="str">
        <f t="shared" si="22"/>
        <v xml:space="preserve"> </v>
      </c>
    </row>
    <row r="186" spans="1:17" x14ac:dyDescent="0.3">
      <c r="A186" t="s">
        <v>62</v>
      </c>
      <c r="F186" s="108" t="str">
        <f t="shared" si="21"/>
        <v xml:space="preserve"> </v>
      </c>
      <c r="H186" s="108" t="str">
        <f t="shared" si="22"/>
        <v xml:space="preserve"> </v>
      </c>
    </row>
    <row r="188" spans="1:17" s="24" customFormat="1" ht="15.6" x14ac:dyDescent="0.3">
      <c r="A188" s="22" t="s">
        <v>471</v>
      </c>
      <c r="B188" s="22"/>
      <c r="C188" s="23"/>
      <c r="D188" s="23"/>
      <c r="E188" s="23"/>
      <c r="F188" s="23"/>
      <c r="G188" s="23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3">
      <c r="A189" t="s">
        <v>473</v>
      </c>
      <c r="F189" s="105">
        <v>1</v>
      </c>
      <c r="H189" s="105">
        <v>1</v>
      </c>
      <c r="I189" s="105"/>
      <c r="J189" s="105"/>
      <c r="K189" s="105"/>
      <c r="M189" s="105"/>
      <c r="N189" s="105"/>
      <c r="O189" s="105"/>
      <c r="P189" s="105"/>
      <c r="Q189" s="105"/>
    </row>
    <row r="190" spans="1:17" x14ac:dyDescent="0.3">
      <c r="A190" t="s">
        <v>54</v>
      </c>
      <c r="F190" s="108">
        <f t="shared" ref="F190:F198" si="23">IF(F165&gt;0,(F178/1.4142*3)," ")</f>
        <v>16.193126856173102</v>
      </c>
      <c r="H190" s="108">
        <f t="shared" ref="H190:H198" si="24">IF(H165&gt;0,(H178/1.4142*3)," ")</f>
        <v>31.533983877810783</v>
      </c>
    </row>
    <row r="191" spans="1:17" x14ac:dyDescent="0.3">
      <c r="A191" t="s">
        <v>55</v>
      </c>
      <c r="F191" s="108">
        <f t="shared" si="23"/>
        <v>8.0965634280865508</v>
      </c>
      <c r="H191" s="108">
        <f t="shared" si="24"/>
        <v>15.766991938905392</v>
      </c>
    </row>
    <row r="192" spans="1:17" x14ac:dyDescent="0.3">
      <c r="A192" t="s">
        <v>56</v>
      </c>
      <c r="F192" s="108">
        <f t="shared" si="23"/>
        <v>5.3977089520577008</v>
      </c>
      <c r="H192" s="108">
        <f t="shared" si="24"/>
        <v>10.511327959270259</v>
      </c>
    </row>
    <row r="193" spans="1:8" x14ac:dyDescent="0.3">
      <c r="A193" t="s">
        <v>57</v>
      </c>
      <c r="F193" s="108" t="str">
        <f t="shared" si="23"/>
        <v xml:space="preserve"> </v>
      </c>
      <c r="H193" s="108" t="str">
        <f t="shared" si="24"/>
        <v xml:space="preserve"> </v>
      </c>
    </row>
    <row r="194" spans="1:8" x14ac:dyDescent="0.3">
      <c r="A194" t="s">
        <v>58</v>
      </c>
      <c r="F194" s="108" t="str">
        <f t="shared" si="23"/>
        <v xml:space="preserve"> </v>
      </c>
      <c r="H194" s="108" t="str">
        <f t="shared" si="24"/>
        <v xml:space="preserve"> </v>
      </c>
    </row>
    <row r="195" spans="1:8" x14ac:dyDescent="0.3">
      <c r="A195" t="s">
        <v>59</v>
      </c>
      <c r="F195" s="108">
        <f t="shared" si="23"/>
        <v>2.6988544760288504</v>
      </c>
      <c r="H195" s="108">
        <f t="shared" si="24"/>
        <v>5.2556639796351297</v>
      </c>
    </row>
    <row r="196" spans="1:8" x14ac:dyDescent="0.3">
      <c r="A196" t="s">
        <v>60</v>
      </c>
      <c r="F196" s="108" t="str">
        <f t="shared" si="23"/>
        <v xml:space="preserve"> </v>
      </c>
      <c r="H196" s="108" t="str">
        <f t="shared" si="24"/>
        <v xml:space="preserve"> </v>
      </c>
    </row>
    <row r="197" spans="1:8" x14ac:dyDescent="0.3">
      <c r="A197" t="s">
        <v>61</v>
      </c>
      <c r="F197" s="108" t="str">
        <f t="shared" si="23"/>
        <v xml:space="preserve"> </v>
      </c>
      <c r="H197" s="108" t="str">
        <f t="shared" si="24"/>
        <v xml:space="preserve"> </v>
      </c>
    </row>
    <row r="198" spans="1:8" x14ac:dyDescent="0.3">
      <c r="A198" t="s">
        <v>62</v>
      </c>
      <c r="F198" s="108" t="str">
        <f t="shared" si="23"/>
        <v xml:space="preserve"> </v>
      </c>
      <c r="H198" s="108" t="str">
        <f t="shared" si="24"/>
        <v xml:space="preserve"> </v>
      </c>
    </row>
  </sheetData>
  <mergeCells count="21">
    <mergeCell ref="AP25:AP26"/>
    <mergeCell ref="AR25:AR26"/>
    <mergeCell ref="AS25:AS26"/>
    <mergeCell ref="AT25:AT26"/>
    <mergeCell ref="C124:E124"/>
    <mergeCell ref="C111:E111"/>
    <mergeCell ref="AG1:AH2"/>
    <mergeCell ref="AI1:AL2"/>
    <mergeCell ref="AM1:AN2"/>
    <mergeCell ref="AG3:AH3"/>
    <mergeCell ref="AI3:AJ3"/>
    <mergeCell ref="AK3:AL3"/>
    <mergeCell ref="AM3:AN3"/>
    <mergeCell ref="A59:A73"/>
    <mergeCell ref="C2:E2"/>
    <mergeCell ref="C36:E36"/>
    <mergeCell ref="C81:E81"/>
    <mergeCell ref="AF1:AF2"/>
    <mergeCell ref="R6:AE34"/>
    <mergeCell ref="L3:L13"/>
    <mergeCell ref="Q3:Q13"/>
  </mergeCells>
  <hyperlinks>
    <hyperlink ref="AG1" r:id="rId1" tooltip="Remanenz bei Wikipedia" display="http://de.wikipedia.org/wiki/Remanenz" xr:uid="{00000000-0004-0000-0100-000000000000}"/>
    <hyperlink ref="AI1" r:id="rId2" tooltip="Koerzitivfeldstärke bei Wikipedia" display="http://de.wikipedia.org/wiki/Koerzitivfeldst%C3%A4rke" xr:uid="{00000000-0004-0000-0100-000001000000}"/>
    <hyperlink ref="AM1" r:id="rId3" location="Energiedichte_BH" tooltip="Energiedichte von Dauermagneten bei Wikipedia" display="http://de.wikipedia.org/wiki/Dauermagnet - Energiedichte_BH" xr:uid="{00000000-0004-0000-0100-000002000000}"/>
  </hyperlinks>
  <pageMargins left="0.23622047244094491" right="0.23622047244094491" top="0.74803149606299213" bottom="0.74803149606299213" header="0.31496062992125984" footer="0.31496062992125984"/>
  <pageSetup paperSize="9" orientation="portrait" r:id="rId4"/>
  <headerFooter>
    <oddHeader>&amp;C&amp;14Durchmesserabhängige Daten  der Außenläufermotoren</oddHeader>
  </headerFooter>
  <ignoredErrors>
    <ignoredError sqref="M47 Q48 O48 I48 G48" formula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zoomScale="85" zoomScaleNormal="85" workbookViewId="0">
      <selection activeCell="I216" sqref="I216"/>
    </sheetView>
  </sheetViews>
  <sheetFormatPr baseColWidth="10" defaultColWidth="11.44140625" defaultRowHeight="14.4" x14ac:dyDescent="0.3"/>
  <cols>
    <col min="1" max="1" width="45.88671875" style="9" customWidth="1"/>
    <col min="2" max="2" width="41.5546875" style="9" customWidth="1"/>
    <col min="3" max="3" width="14.109375" style="9" customWidth="1"/>
    <col min="4" max="4" width="11.33203125" style="117" customWidth="1"/>
    <col min="5" max="16384" width="11.44140625" style="9"/>
  </cols>
  <sheetData>
    <row r="1" spans="1:4" ht="15.6" x14ac:dyDescent="0.3">
      <c r="A1" s="115" t="s">
        <v>502</v>
      </c>
      <c r="B1" s="115" t="s">
        <v>503</v>
      </c>
      <c r="C1" s="115" t="s">
        <v>504</v>
      </c>
      <c r="D1" s="116" t="s">
        <v>505</v>
      </c>
    </row>
    <row r="2" spans="1:4" x14ac:dyDescent="0.3">
      <c r="A2" s="9" t="s">
        <v>543</v>
      </c>
      <c r="B2" s="9" t="s">
        <v>506</v>
      </c>
      <c r="C2" s="9" t="s">
        <v>575</v>
      </c>
      <c r="D2" s="117">
        <v>600</v>
      </c>
    </row>
    <row r="3" spans="1:4" x14ac:dyDescent="0.3">
      <c r="A3" s="9" t="s">
        <v>544</v>
      </c>
      <c r="B3" s="9" t="s">
        <v>507</v>
      </c>
      <c r="C3" s="9" t="s">
        <v>576</v>
      </c>
      <c r="D3" s="117">
        <v>35</v>
      </c>
    </row>
    <row r="4" spans="1:4" x14ac:dyDescent="0.3">
      <c r="A4" s="9" t="s">
        <v>545</v>
      </c>
      <c r="B4" s="9" t="s">
        <v>508</v>
      </c>
      <c r="C4" s="9" t="s">
        <v>144</v>
      </c>
      <c r="D4" s="117">
        <v>130</v>
      </c>
    </row>
    <row r="5" spans="1:4" ht="15.6" x14ac:dyDescent="0.3">
      <c r="A5" s="115" t="s">
        <v>497</v>
      </c>
      <c r="B5" s="115"/>
      <c r="C5" s="115"/>
      <c r="D5" s="116"/>
    </row>
    <row r="6" spans="1:4" x14ac:dyDescent="0.3">
      <c r="A6" s="9" t="s">
        <v>546</v>
      </c>
      <c r="B6" s="9" t="s">
        <v>509</v>
      </c>
      <c r="C6" s="9" t="s">
        <v>15</v>
      </c>
      <c r="D6" s="117">
        <v>1210</v>
      </c>
    </row>
    <row r="7" spans="1:4" x14ac:dyDescent="0.3">
      <c r="A7" s="9" t="s">
        <v>547</v>
      </c>
      <c r="B7" s="9" t="s">
        <v>510</v>
      </c>
      <c r="C7" s="9" t="s">
        <v>577</v>
      </c>
      <c r="D7" s="117" t="s">
        <v>595</v>
      </c>
    </row>
    <row r="8" spans="1:4" x14ac:dyDescent="0.3">
      <c r="A8" s="9" t="s">
        <v>548</v>
      </c>
      <c r="B8" s="9" t="s">
        <v>511</v>
      </c>
      <c r="C8" s="9" t="s">
        <v>578</v>
      </c>
      <c r="D8" s="117">
        <v>108</v>
      </c>
    </row>
    <row r="9" spans="1:4" x14ac:dyDescent="0.3">
      <c r="A9" s="9" t="s">
        <v>549</v>
      </c>
      <c r="B9" s="9" t="s">
        <v>512</v>
      </c>
      <c r="C9" s="9" t="s">
        <v>579</v>
      </c>
      <c r="D9" s="117" t="s">
        <v>596</v>
      </c>
    </row>
    <row r="10" spans="1:4" ht="15.6" x14ac:dyDescent="0.3">
      <c r="A10" s="115" t="s">
        <v>498</v>
      </c>
      <c r="B10" s="115"/>
      <c r="C10" s="115"/>
      <c r="D10" s="116"/>
    </row>
    <row r="11" spans="1:4" x14ac:dyDescent="0.3">
      <c r="A11" s="9" t="s">
        <v>550</v>
      </c>
      <c r="B11" s="9" t="s">
        <v>513</v>
      </c>
      <c r="C11" s="9" t="s">
        <v>15</v>
      </c>
      <c r="D11" s="117">
        <v>2100</v>
      </c>
    </row>
    <row r="12" spans="1:4" x14ac:dyDescent="0.3">
      <c r="A12" s="9" t="s">
        <v>551</v>
      </c>
      <c r="B12" s="9" t="s">
        <v>514</v>
      </c>
      <c r="C12" s="9" t="s">
        <v>577</v>
      </c>
      <c r="D12" s="117" t="s">
        <v>590</v>
      </c>
    </row>
    <row r="13" spans="1:4" x14ac:dyDescent="0.3">
      <c r="A13" s="9" t="s">
        <v>552</v>
      </c>
      <c r="B13" s="9" t="s">
        <v>515</v>
      </c>
      <c r="C13" s="9" t="s">
        <v>579</v>
      </c>
      <c r="D13" s="117" t="s">
        <v>591</v>
      </c>
    </row>
    <row r="14" spans="1:4" x14ac:dyDescent="0.3">
      <c r="A14" s="9" t="s">
        <v>553</v>
      </c>
      <c r="B14" s="9" t="s">
        <v>516</v>
      </c>
      <c r="C14" s="9" t="s">
        <v>578</v>
      </c>
      <c r="D14" s="117">
        <v>309</v>
      </c>
    </row>
    <row r="15" spans="1:4" x14ac:dyDescent="0.3">
      <c r="A15" s="9" t="s">
        <v>554</v>
      </c>
      <c r="B15" s="9" t="s">
        <v>517</v>
      </c>
      <c r="C15" s="9" t="s">
        <v>578</v>
      </c>
      <c r="D15" s="117" t="s">
        <v>592</v>
      </c>
    </row>
    <row r="16" spans="1:4" x14ac:dyDescent="0.3">
      <c r="A16" s="9" t="s">
        <v>555</v>
      </c>
      <c r="B16" s="9" t="s">
        <v>518</v>
      </c>
      <c r="C16" s="9" t="s">
        <v>578</v>
      </c>
      <c r="D16" s="117">
        <v>211</v>
      </c>
    </row>
    <row r="17" spans="1:4" x14ac:dyDescent="0.3">
      <c r="A17" s="9" t="s">
        <v>556</v>
      </c>
      <c r="B17" s="9" t="s">
        <v>519</v>
      </c>
      <c r="C17" s="9" t="s">
        <v>578</v>
      </c>
      <c r="D17" s="117">
        <v>155</v>
      </c>
    </row>
    <row r="18" spans="1:4" x14ac:dyDescent="0.3">
      <c r="A18" s="9" t="s">
        <v>557</v>
      </c>
      <c r="B18" s="9" t="s">
        <v>520</v>
      </c>
      <c r="C18" s="9" t="s">
        <v>15</v>
      </c>
      <c r="D18" s="117">
        <v>1250</v>
      </c>
    </row>
    <row r="19" spans="1:4" x14ac:dyDescent="0.3">
      <c r="A19" s="9" t="s">
        <v>558</v>
      </c>
      <c r="B19" s="9" t="s">
        <v>521</v>
      </c>
      <c r="C19" s="9" t="s">
        <v>577</v>
      </c>
      <c r="D19" s="117" t="s">
        <v>597</v>
      </c>
    </row>
    <row r="20" spans="1:4" x14ac:dyDescent="0.3">
      <c r="A20" s="9" t="s">
        <v>559</v>
      </c>
      <c r="B20" s="9" t="s">
        <v>522</v>
      </c>
      <c r="C20" s="9" t="s">
        <v>15</v>
      </c>
      <c r="D20" s="117">
        <v>904</v>
      </c>
    </row>
    <row r="21" spans="1:4" x14ac:dyDescent="0.3">
      <c r="A21" s="9" t="s">
        <v>560</v>
      </c>
      <c r="B21" s="9" t="s">
        <v>523</v>
      </c>
      <c r="C21" s="9" t="s">
        <v>577</v>
      </c>
      <c r="D21" s="117" t="s">
        <v>598</v>
      </c>
    </row>
    <row r="22" spans="1:4" ht="15.6" x14ac:dyDescent="0.3">
      <c r="A22" s="115" t="s">
        <v>499</v>
      </c>
      <c r="B22" s="115"/>
      <c r="C22" s="115"/>
      <c r="D22" s="116"/>
    </row>
    <row r="23" spans="1:4" x14ac:dyDescent="0.3">
      <c r="A23" s="9" t="s">
        <v>561</v>
      </c>
      <c r="B23" s="9" t="s">
        <v>524</v>
      </c>
      <c r="C23" s="9" t="s">
        <v>580</v>
      </c>
      <c r="D23" s="117" t="s">
        <v>593</v>
      </c>
    </row>
    <row r="24" spans="1:4" x14ac:dyDescent="0.3">
      <c r="A24" s="9" t="s">
        <v>470</v>
      </c>
      <c r="B24" s="9" t="s">
        <v>525</v>
      </c>
      <c r="C24" s="9" t="s">
        <v>581</v>
      </c>
      <c r="D24" s="117">
        <v>2740</v>
      </c>
    </row>
    <row r="25" spans="1:4" x14ac:dyDescent="0.3">
      <c r="A25" s="9" t="s">
        <v>562</v>
      </c>
      <c r="B25" s="9" t="s">
        <v>526</v>
      </c>
      <c r="C25" s="9" t="s">
        <v>582</v>
      </c>
      <c r="D25" s="117" t="s">
        <v>599</v>
      </c>
    </row>
    <row r="26" spans="1:4" x14ac:dyDescent="0.3">
      <c r="A26" s="9" t="s">
        <v>563</v>
      </c>
      <c r="B26" s="9" t="s">
        <v>527</v>
      </c>
      <c r="C26" s="9" t="s">
        <v>583</v>
      </c>
      <c r="D26" s="117">
        <v>95</v>
      </c>
    </row>
    <row r="27" spans="1:4" x14ac:dyDescent="0.3">
      <c r="A27" s="9" t="s">
        <v>564</v>
      </c>
      <c r="B27" s="9" t="s">
        <v>528</v>
      </c>
      <c r="C27" s="9" t="s">
        <v>337</v>
      </c>
      <c r="D27" s="117">
        <v>42</v>
      </c>
    </row>
    <row r="28" spans="1:4" x14ac:dyDescent="0.3">
      <c r="A28" s="9" t="s">
        <v>565</v>
      </c>
      <c r="B28" s="9" t="s">
        <v>529</v>
      </c>
      <c r="C28" s="9" t="s">
        <v>15</v>
      </c>
      <c r="D28" s="117" t="s">
        <v>600</v>
      </c>
    </row>
    <row r="29" spans="1:4" x14ac:dyDescent="0.3">
      <c r="A29" s="9" t="s">
        <v>566</v>
      </c>
      <c r="B29" s="9" t="s">
        <v>530</v>
      </c>
      <c r="C29" s="9" t="s">
        <v>125</v>
      </c>
      <c r="D29" s="117">
        <v>68</v>
      </c>
    </row>
    <row r="30" spans="1:4" x14ac:dyDescent="0.3">
      <c r="A30" s="9" t="s">
        <v>567</v>
      </c>
      <c r="B30" s="9" t="s">
        <v>531</v>
      </c>
      <c r="C30" s="9" t="s">
        <v>125</v>
      </c>
      <c r="D30" s="117" t="s">
        <v>601</v>
      </c>
    </row>
    <row r="31" spans="1:4" x14ac:dyDescent="0.3">
      <c r="A31" s="9" t="s">
        <v>568</v>
      </c>
      <c r="B31" s="9" t="s">
        <v>532</v>
      </c>
      <c r="C31" s="9" t="s">
        <v>584</v>
      </c>
      <c r="D31" s="117">
        <v>110</v>
      </c>
    </row>
    <row r="32" spans="1:4" x14ac:dyDescent="0.3">
      <c r="A32" s="9" t="s">
        <v>569</v>
      </c>
      <c r="B32" s="9" t="s">
        <v>533</v>
      </c>
      <c r="C32" s="9" t="s">
        <v>585</v>
      </c>
      <c r="D32" s="117" t="s">
        <v>602</v>
      </c>
    </row>
    <row r="33" spans="1:4" x14ac:dyDescent="0.3">
      <c r="A33" s="9" t="s">
        <v>570</v>
      </c>
      <c r="B33" s="9" t="s">
        <v>534</v>
      </c>
      <c r="C33" s="9" t="s">
        <v>586</v>
      </c>
      <c r="D33" s="117" t="s">
        <v>603</v>
      </c>
    </row>
    <row r="34" spans="1:4" ht="15.6" x14ac:dyDescent="0.3">
      <c r="A34" s="115" t="s">
        <v>500</v>
      </c>
      <c r="B34" s="115"/>
      <c r="C34" s="115"/>
      <c r="D34" s="116"/>
    </row>
    <row r="35" spans="1:4" x14ac:dyDescent="0.3">
      <c r="A35" s="9" t="s">
        <v>571</v>
      </c>
      <c r="B35" s="9" t="s">
        <v>535</v>
      </c>
      <c r="C35" s="9" t="s">
        <v>579</v>
      </c>
      <c r="D35" s="117" t="s">
        <v>604</v>
      </c>
    </row>
    <row r="36" spans="1:4" x14ac:dyDescent="0.3">
      <c r="A36" s="9" t="s">
        <v>572</v>
      </c>
      <c r="B36" s="9" t="s">
        <v>536</v>
      </c>
      <c r="C36" s="9" t="s">
        <v>587</v>
      </c>
      <c r="D36" s="117" t="s">
        <v>605</v>
      </c>
    </row>
    <row r="37" spans="1:4" x14ac:dyDescent="0.3">
      <c r="A37" s="9" t="s">
        <v>573</v>
      </c>
      <c r="B37" s="9" t="s">
        <v>537</v>
      </c>
      <c r="C37" s="9" t="s">
        <v>588</v>
      </c>
      <c r="D37" s="117" t="s">
        <v>606</v>
      </c>
    </row>
    <row r="38" spans="1:4" x14ac:dyDescent="0.3">
      <c r="A38" s="9" t="s">
        <v>574</v>
      </c>
      <c r="B38" s="9" t="s">
        <v>538</v>
      </c>
      <c r="C38" s="9" t="s">
        <v>589</v>
      </c>
      <c r="D38" s="117" t="s">
        <v>594</v>
      </c>
    </row>
    <row r="39" spans="1:4" ht="15.6" x14ac:dyDescent="0.3">
      <c r="A39" s="115" t="s">
        <v>501</v>
      </c>
      <c r="B39" s="115"/>
      <c r="C39" s="115"/>
      <c r="D39" s="116"/>
    </row>
    <row r="40" spans="1:4" x14ac:dyDescent="0.3">
      <c r="A40" s="9" t="s">
        <v>571</v>
      </c>
      <c r="B40" s="9" t="s">
        <v>539</v>
      </c>
      <c r="C40" s="9" t="s">
        <v>579</v>
      </c>
    </row>
    <row r="41" spans="1:4" x14ac:dyDescent="0.3">
      <c r="A41" s="9" t="s">
        <v>572</v>
      </c>
      <c r="B41" s="9" t="s">
        <v>540</v>
      </c>
      <c r="C41" s="9" t="s">
        <v>587</v>
      </c>
    </row>
    <row r="42" spans="1:4" x14ac:dyDescent="0.3">
      <c r="A42" s="9" t="s">
        <v>573</v>
      </c>
      <c r="B42" s="9" t="s">
        <v>541</v>
      </c>
      <c r="C42" s="9" t="s">
        <v>588</v>
      </c>
    </row>
    <row r="43" spans="1:4" x14ac:dyDescent="0.3">
      <c r="A43" s="9" t="s">
        <v>574</v>
      </c>
      <c r="B43" s="9" t="s">
        <v>542</v>
      </c>
      <c r="C43" s="9" t="s">
        <v>589</v>
      </c>
    </row>
    <row r="46" spans="1:4" ht="15.6" x14ac:dyDescent="0.3">
      <c r="A46" s="115" t="s">
        <v>0</v>
      </c>
      <c r="B46" s="115" t="s">
        <v>631</v>
      </c>
      <c r="C46" s="116" t="s">
        <v>505</v>
      </c>
      <c r="D46" s="116" t="s">
        <v>1</v>
      </c>
    </row>
    <row r="47" spans="1:4" x14ac:dyDescent="0.3">
      <c r="A47" s="9" t="s">
        <v>607</v>
      </c>
      <c r="B47" s="9" t="s">
        <v>632</v>
      </c>
      <c r="C47" s="117" t="s">
        <v>597</v>
      </c>
      <c r="D47" s="117" t="s">
        <v>673</v>
      </c>
    </row>
    <row r="48" spans="1:4" x14ac:dyDescent="0.3">
      <c r="A48" s="9" t="s">
        <v>608</v>
      </c>
      <c r="B48" s="9" t="s">
        <v>633</v>
      </c>
      <c r="C48" s="117" t="s">
        <v>659</v>
      </c>
      <c r="D48" s="117" t="s">
        <v>674</v>
      </c>
    </row>
    <row r="49" spans="1:4" x14ac:dyDescent="0.3">
      <c r="A49" s="9" t="s">
        <v>609</v>
      </c>
      <c r="B49" s="9" t="s">
        <v>634</v>
      </c>
      <c r="C49" s="117" t="s">
        <v>660</v>
      </c>
      <c r="D49" s="117" t="s">
        <v>337</v>
      </c>
    </row>
    <row r="50" spans="1:4" x14ac:dyDescent="0.3">
      <c r="A50" s="9" t="s">
        <v>610</v>
      </c>
      <c r="B50" s="9" t="s">
        <v>635</v>
      </c>
      <c r="C50" s="117" t="s">
        <v>655</v>
      </c>
      <c r="D50" s="117" t="s">
        <v>580</v>
      </c>
    </row>
    <row r="51" spans="1:4" x14ac:dyDescent="0.3">
      <c r="A51" s="9" t="s">
        <v>611</v>
      </c>
      <c r="B51" s="9" t="s">
        <v>636</v>
      </c>
      <c r="C51" s="117" t="s">
        <v>661</v>
      </c>
      <c r="D51" s="117" t="s">
        <v>674</v>
      </c>
    </row>
    <row r="52" spans="1:4" x14ac:dyDescent="0.3">
      <c r="A52" s="9" t="s">
        <v>612</v>
      </c>
      <c r="B52" s="9" t="s">
        <v>637</v>
      </c>
      <c r="C52" s="117" t="s">
        <v>590</v>
      </c>
      <c r="D52" s="117" t="s">
        <v>673</v>
      </c>
    </row>
    <row r="53" spans="1:4" x14ac:dyDescent="0.3">
      <c r="A53" s="9" t="s">
        <v>613</v>
      </c>
      <c r="B53" s="9" t="s">
        <v>638</v>
      </c>
      <c r="C53" s="117" t="s">
        <v>590</v>
      </c>
      <c r="D53" s="117" t="s">
        <v>673</v>
      </c>
    </row>
    <row r="54" spans="1:4" x14ac:dyDescent="0.3">
      <c r="A54" s="9" t="s">
        <v>614</v>
      </c>
      <c r="B54" s="9" t="s">
        <v>639</v>
      </c>
      <c r="C54" s="117" t="s">
        <v>662</v>
      </c>
      <c r="D54" s="117" t="s">
        <v>675</v>
      </c>
    </row>
    <row r="55" spans="1:4" x14ac:dyDescent="0.3">
      <c r="A55" s="9" t="s">
        <v>615</v>
      </c>
      <c r="B55" s="9" t="s">
        <v>640</v>
      </c>
      <c r="C55" s="117" t="s">
        <v>663</v>
      </c>
      <c r="D55" s="117" t="s">
        <v>579</v>
      </c>
    </row>
    <row r="56" spans="1:4" x14ac:dyDescent="0.3">
      <c r="A56" s="9" t="s">
        <v>616</v>
      </c>
      <c r="B56" s="9" t="s">
        <v>641</v>
      </c>
      <c r="C56" s="117" t="s">
        <v>664</v>
      </c>
      <c r="D56" s="117" t="s">
        <v>15</v>
      </c>
    </row>
    <row r="57" spans="1:4" x14ac:dyDescent="0.3">
      <c r="A57" s="9" t="s">
        <v>617</v>
      </c>
      <c r="B57" s="9" t="s">
        <v>642</v>
      </c>
      <c r="C57" s="117" t="s">
        <v>665</v>
      </c>
      <c r="D57" s="117" t="s">
        <v>676</v>
      </c>
    </row>
    <row r="58" spans="1:4" x14ac:dyDescent="0.3">
      <c r="A58" s="9" t="s">
        <v>618</v>
      </c>
      <c r="B58" s="9" t="s">
        <v>643</v>
      </c>
      <c r="C58" s="117" t="s">
        <v>598</v>
      </c>
      <c r="D58" s="117" t="s">
        <v>673</v>
      </c>
    </row>
    <row r="59" spans="1:4" x14ac:dyDescent="0.3">
      <c r="A59" s="9" t="s">
        <v>619</v>
      </c>
      <c r="B59" s="9" t="s">
        <v>644</v>
      </c>
      <c r="C59" s="117" t="s">
        <v>666</v>
      </c>
      <c r="D59" s="117" t="s">
        <v>15</v>
      </c>
    </row>
    <row r="60" spans="1:4" x14ac:dyDescent="0.3">
      <c r="A60" s="9" t="s">
        <v>620</v>
      </c>
      <c r="B60" s="9" t="s">
        <v>645</v>
      </c>
      <c r="C60" s="117" t="s">
        <v>656</v>
      </c>
      <c r="D60" s="117" t="s">
        <v>673</v>
      </c>
    </row>
    <row r="61" spans="1:4" x14ac:dyDescent="0.3">
      <c r="A61" s="9" t="s">
        <v>621</v>
      </c>
      <c r="B61" s="9" t="s">
        <v>646</v>
      </c>
      <c r="C61" s="117" t="s">
        <v>657</v>
      </c>
      <c r="D61" s="117" t="s">
        <v>110</v>
      </c>
    </row>
    <row r="62" spans="1:4" x14ac:dyDescent="0.3">
      <c r="A62" s="9" t="s">
        <v>622</v>
      </c>
      <c r="B62" s="9" t="s">
        <v>647</v>
      </c>
      <c r="C62" s="117" t="s">
        <v>667</v>
      </c>
      <c r="D62" s="117" t="s">
        <v>677</v>
      </c>
    </row>
    <row r="63" spans="1:4" x14ac:dyDescent="0.3">
      <c r="A63" s="9" t="s">
        <v>623</v>
      </c>
      <c r="B63" s="9" t="s">
        <v>648</v>
      </c>
      <c r="C63" s="117" t="s">
        <v>668</v>
      </c>
      <c r="D63" s="117" t="s">
        <v>586</v>
      </c>
    </row>
    <row r="64" spans="1:4" x14ac:dyDescent="0.3">
      <c r="A64" s="9" t="s">
        <v>624</v>
      </c>
      <c r="B64" s="9" t="s">
        <v>649</v>
      </c>
      <c r="C64" s="117" t="s">
        <v>669</v>
      </c>
      <c r="D64" s="117" t="s">
        <v>673</v>
      </c>
    </row>
    <row r="65" spans="1:4" x14ac:dyDescent="0.3">
      <c r="A65" s="9" t="s">
        <v>625</v>
      </c>
      <c r="B65" s="9" t="s">
        <v>650</v>
      </c>
      <c r="C65" s="117" t="s">
        <v>670</v>
      </c>
      <c r="D65" s="117" t="s">
        <v>674</v>
      </c>
    </row>
    <row r="66" spans="1:4" x14ac:dyDescent="0.3">
      <c r="A66" s="9" t="s">
        <v>626</v>
      </c>
      <c r="B66" s="9" t="s">
        <v>651</v>
      </c>
      <c r="C66" s="117" t="s">
        <v>671</v>
      </c>
      <c r="D66" s="117" t="s">
        <v>673</v>
      </c>
    </row>
    <row r="67" spans="1:4" x14ac:dyDescent="0.3">
      <c r="A67" s="9" t="s">
        <v>627</v>
      </c>
      <c r="B67" s="9" t="s">
        <v>651</v>
      </c>
      <c r="C67" s="117" t="s">
        <v>658</v>
      </c>
      <c r="D67" s="117" t="s">
        <v>673</v>
      </c>
    </row>
    <row r="68" spans="1:4" x14ac:dyDescent="0.3">
      <c r="A68" s="9" t="s">
        <v>628</v>
      </c>
      <c r="B68" s="9" t="s">
        <v>652</v>
      </c>
      <c r="C68" s="117" t="s">
        <v>672</v>
      </c>
      <c r="D68" s="117" t="s">
        <v>110</v>
      </c>
    </row>
    <row r="69" spans="1:4" x14ac:dyDescent="0.3">
      <c r="A69" s="9" t="s">
        <v>629</v>
      </c>
      <c r="B69" s="9" t="s">
        <v>653</v>
      </c>
      <c r="C69" s="117" t="s">
        <v>602</v>
      </c>
      <c r="D69" s="117" t="s">
        <v>678</v>
      </c>
    </row>
    <row r="70" spans="1:4" x14ac:dyDescent="0.3">
      <c r="A70" s="9" t="s">
        <v>630</v>
      </c>
      <c r="B70" s="9" t="s">
        <v>654</v>
      </c>
      <c r="C70" s="117" t="s">
        <v>603</v>
      </c>
      <c r="D70" s="117" t="s">
        <v>586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Änderungen</vt:lpstr>
      <vt:lpstr>Technologiedaten</vt:lpstr>
      <vt:lpstr>Datenblatt (Siemens)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Hodapp</dc:creator>
  <cp:lastModifiedBy>William Molina</cp:lastModifiedBy>
  <cp:lastPrinted>2019-07-24T18:24:45Z</cp:lastPrinted>
  <dcterms:created xsi:type="dcterms:W3CDTF">2019-07-24T18:20:56Z</dcterms:created>
  <dcterms:modified xsi:type="dcterms:W3CDTF">2021-06-29T11:27:19Z</dcterms:modified>
</cp:coreProperties>
</file>