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aman\Desktop\"/>
    </mc:Choice>
  </mc:AlternateContent>
  <xr:revisionPtr revIDLastSave="0" documentId="13_ncr:1_{31C81316-3231-4478-B975-75C5B82371EE}" xr6:coauthVersionLast="47" xr6:coauthVersionMax="47" xr10:uidLastSave="{00000000-0000-0000-0000-000000000000}"/>
  <bookViews>
    <workbookView xWindow="-110" yWindow="-110" windowWidth="25820" windowHeight="14020" xr2:uid="{B5437263-2207-B640-BC4C-B3DBDAA3948A}"/>
  </bookViews>
  <sheets>
    <sheet name="Sheet1" sheetId="1" r:id="rId1"/>
  </sheets>
  <definedNames>
    <definedName name="AvgOCritDamA">Sheet1!$A$80</definedName>
    <definedName name="AvgOCritDamB">Sheet1!$A$81</definedName>
    <definedName name="AvgRCritDamA">Sheet1!$A$82</definedName>
    <definedName name="AvgRCritDamB">Sheet1!$A$83</definedName>
    <definedName name="AvgYCritDamA">Sheet1!$A$78</definedName>
    <definedName name="AvgYCritDamB">Sheet1!$A$79</definedName>
    <definedName name="ChargeA">Sheet1!$D$5</definedName>
    <definedName name="ChargeB">Sheet1!$D$9</definedName>
    <definedName name="CritChanceA">Sheet1!$F$5</definedName>
    <definedName name="CritChanceB">Sheet1!$F$9</definedName>
    <definedName name="CritMultA">Sheet1!$G$5</definedName>
    <definedName name="CritMultB">Sheet1!$G$9</definedName>
    <definedName name="DamA">Sheet1!$Q$5</definedName>
    <definedName name="DamB">Sheet1!$Q$9</definedName>
    <definedName name="MagA">Sheet1!$H$5</definedName>
    <definedName name="MagB">Sheet1!$H$9</definedName>
    <definedName name="ModBaseDam" localSheetId="0">Sheet1!$A$84</definedName>
    <definedName name="ModBaseDamA" localSheetId="0">Sheet1!$A$84</definedName>
    <definedName name="ModBaseDamB" localSheetId="0">Sheet1!$A$85</definedName>
    <definedName name="MultShotA">Sheet1!$I$5</definedName>
    <definedName name="MultShotB">Sheet1!$I$9</definedName>
    <definedName name="OCritDamA">Sheet1!$A$62</definedName>
    <definedName name="OCritDamB">Sheet1!$A$63</definedName>
    <definedName name="RCritBA">Sheet1!$A$66</definedName>
    <definedName name="RCritBB">Sheet1!$A$67</definedName>
    <definedName name="RCritCA">Sheet1!$A$68</definedName>
    <definedName name="RCritCB">Sheet1!$A$69</definedName>
    <definedName name="RCritDA">Sheet1!$A$70</definedName>
    <definedName name="RCritDamA">Sheet1!$A$64</definedName>
    <definedName name="RCritDamB">Sheet1!$A$65</definedName>
    <definedName name="RCritDB">Sheet1!$A$71</definedName>
    <definedName name="RCritEA">Sheet1!$A$72</definedName>
    <definedName name="RCritEB">Sheet1!$A$73</definedName>
    <definedName name="RCritFA">Sheet1!$A$74</definedName>
    <definedName name="RCritFB">Sheet1!$A$75</definedName>
    <definedName name="RCritGA">Sheet1!$A$76</definedName>
    <definedName name="RCritGB">Sheet1!$A$77</definedName>
    <definedName name="ReloadA">Sheet1!$J$5</definedName>
    <definedName name="ReloadB">Sheet1!$J$9</definedName>
    <definedName name="SpeedA">Sheet1!$E$5</definedName>
    <definedName name="SpeedB">Sheet1!$E$9</definedName>
    <definedName name="StatusA">Sheet1!$K$5</definedName>
    <definedName name="StatusB">Sheet1!$K$9</definedName>
    <definedName name="TimeA">Sheet1!$A$86</definedName>
    <definedName name="TimeB">Sheet1!$A$87</definedName>
    <definedName name="YCritDamA">Sheet1!$A$60</definedName>
    <definedName name="YCritDamB">Sheet1!$A$61</definedName>
  </definedNames>
  <calcPr calcId="191029" iterateCount="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E9" i="1"/>
  <c r="H9" i="1"/>
  <c r="J9" i="1"/>
  <c r="A87" i="1"/>
  <c r="Q7" i="1"/>
  <c r="L9" i="1"/>
  <c r="P9" i="1"/>
  <c r="M9" i="1"/>
  <c r="N9" i="1"/>
  <c r="O9" i="1"/>
  <c r="I9" i="1"/>
  <c r="Q9" i="1"/>
  <c r="G9" i="1"/>
  <c r="A61" i="1"/>
  <c r="F9" i="1"/>
  <c r="A79" i="1"/>
  <c r="T9" i="1"/>
  <c r="U9" i="1" a="1"/>
  <c r="U9" i="1"/>
  <c r="A86" i="1"/>
  <c r="D5" i="1"/>
  <c r="Q5" i="1"/>
  <c r="G5" i="1"/>
  <c r="A60" i="1"/>
  <c r="F5" i="1"/>
  <c r="A78" i="1"/>
  <c r="T5" i="1"/>
  <c r="U5" i="1"/>
  <c r="E5" i="1"/>
  <c r="A62" i="1"/>
  <c r="A80" i="1"/>
  <c r="J5" i="1"/>
  <c r="H5" i="1"/>
  <c r="A85" i="1"/>
  <c r="K17" i="1"/>
  <c r="J17" i="1"/>
  <c r="I17" i="1"/>
  <c r="H17" i="1"/>
  <c r="G17" i="1"/>
  <c r="F17" i="1"/>
  <c r="E17" i="1"/>
  <c r="D17" i="1"/>
  <c r="A84" i="1"/>
  <c r="K16" i="1"/>
  <c r="J16" i="1"/>
  <c r="I16" i="1"/>
  <c r="H16" i="1"/>
  <c r="G16" i="1"/>
  <c r="F16" i="1"/>
  <c r="E16" i="1"/>
  <c r="D16" i="1"/>
  <c r="Q3" i="1"/>
  <c r="P39" i="1"/>
  <c r="P38" i="1"/>
  <c r="N40" i="1"/>
  <c r="O37" i="1"/>
  <c r="P37" i="1"/>
  <c r="O36" i="1"/>
  <c r="P36" i="1"/>
  <c r="O35" i="1"/>
  <c r="P35" i="1"/>
  <c r="O34" i="1"/>
  <c r="P34" i="1"/>
  <c r="O33" i="1"/>
  <c r="P33" i="1"/>
  <c r="O39" i="1"/>
  <c r="O38" i="1"/>
  <c r="K9" i="1"/>
  <c r="T24" i="1"/>
  <c r="T23" i="1"/>
  <c r="T22" i="1"/>
  <c r="T21" i="1"/>
  <c r="T20" i="1"/>
  <c r="T19" i="1"/>
  <c r="T18" i="1"/>
  <c r="T17" i="1"/>
  <c r="T16" i="1"/>
  <c r="T15" i="1"/>
  <c r="P26" i="1"/>
  <c r="P25" i="1"/>
  <c r="P24" i="1"/>
  <c r="P23" i="1"/>
  <c r="P22" i="1"/>
  <c r="P21" i="1"/>
  <c r="P20" i="1"/>
  <c r="P19" i="1"/>
  <c r="P18" i="1"/>
  <c r="P17" i="1"/>
  <c r="P16" i="1"/>
  <c r="P15" i="1"/>
  <c r="A63" i="1"/>
  <c r="A81" i="1"/>
  <c r="L5" i="1"/>
  <c r="P5" i="1"/>
  <c r="M5" i="1"/>
  <c r="N5" i="1"/>
  <c r="O5" i="1"/>
  <c r="I5" i="1"/>
  <c r="R5" i="1"/>
  <c r="R9" i="1"/>
  <c r="K5" i="1"/>
  <c r="K19" i="1"/>
  <c r="J19" i="1"/>
  <c r="I19" i="1"/>
  <c r="H19" i="1"/>
  <c r="G19" i="1"/>
  <c r="F19" i="1"/>
  <c r="E19" i="1"/>
  <c r="D19" i="1"/>
  <c r="K18" i="1"/>
  <c r="J18" i="1"/>
  <c r="I18" i="1"/>
  <c r="H18" i="1"/>
  <c r="G18" i="1"/>
  <c r="F18" i="1"/>
  <c r="E18" i="1"/>
  <c r="D18" i="1"/>
  <c r="W33" i="1"/>
  <c r="V33" i="1"/>
  <c r="Q33" i="1"/>
  <c r="R33" i="1"/>
  <c r="S33" i="1"/>
  <c r="T33" i="1"/>
  <c r="U33" i="1"/>
  <c r="H56" i="1"/>
  <c r="G56" i="1"/>
  <c r="E56" i="1"/>
  <c r="J49" i="1"/>
  <c r="I49" i="1"/>
  <c r="H49" i="1"/>
  <c r="G49" i="1"/>
  <c r="F49" i="1"/>
  <c r="E49" i="1"/>
  <c r="D49" i="1"/>
  <c r="J48" i="1"/>
  <c r="I48" i="1"/>
  <c r="H48" i="1"/>
  <c r="G48" i="1"/>
  <c r="F48" i="1"/>
  <c r="E48" i="1"/>
  <c r="D48" i="1"/>
  <c r="J47" i="1"/>
  <c r="I47" i="1"/>
  <c r="H47" i="1"/>
  <c r="G47" i="1"/>
  <c r="F47" i="1"/>
  <c r="E47" i="1"/>
  <c r="D47" i="1"/>
  <c r="J46" i="1"/>
  <c r="I46" i="1"/>
  <c r="H46" i="1"/>
  <c r="G46" i="1"/>
  <c r="F46" i="1"/>
  <c r="E46" i="1"/>
  <c r="D46" i="1"/>
  <c r="J45" i="1"/>
  <c r="I45" i="1"/>
  <c r="H45" i="1"/>
  <c r="G45" i="1"/>
  <c r="F45" i="1"/>
  <c r="E45" i="1"/>
  <c r="D45" i="1"/>
  <c r="J44" i="1"/>
  <c r="I44" i="1"/>
  <c r="H44" i="1"/>
  <c r="G44" i="1"/>
  <c r="F44" i="1"/>
  <c r="E44" i="1"/>
  <c r="D44" i="1"/>
  <c r="J43" i="1"/>
  <c r="I43" i="1"/>
  <c r="H43" i="1"/>
  <c r="G43" i="1"/>
  <c r="F43" i="1"/>
  <c r="E43" i="1"/>
  <c r="D43" i="1"/>
  <c r="J42" i="1"/>
  <c r="I42" i="1"/>
  <c r="H42" i="1"/>
  <c r="G42" i="1"/>
  <c r="F42" i="1"/>
  <c r="E42" i="1"/>
  <c r="D42" i="1"/>
  <c r="J41" i="1"/>
  <c r="I41" i="1"/>
  <c r="H41" i="1"/>
  <c r="G41" i="1"/>
  <c r="F41" i="1"/>
  <c r="E41" i="1"/>
  <c r="D41" i="1"/>
  <c r="J40" i="1"/>
  <c r="I40" i="1"/>
  <c r="H40" i="1"/>
  <c r="G40" i="1"/>
  <c r="F40" i="1"/>
  <c r="E40" i="1"/>
  <c r="D40" i="1"/>
  <c r="C48" i="1"/>
  <c r="C46" i="1"/>
  <c r="C44" i="1"/>
  <c r="C42" i="1"/>
  <c r="C40" i="1"/>
  <c r="C49" i="1"/>
  <c r="C47" i="1"/>
  <c r="C45" i="1"/>
  <c r="C43" i="1"/>
  <c r="C41" i="1"/>
  <c r="J39" i="1"/>
  <c r="I39" i="1"/>
  <c r="H39" i="1"/>
  <c r="G39" i="1"/>
  <c r="F39" i="1"/>
  <c r="E39" i="1"/>
  <c r="D39" i="1"/>
  <c r="C39" i="1"/>
  <c r="J37" i="1"/>
  <c r="I37" i="1"/>
  <c r="H37" i="1"/>
  <c r="G37" i="1"/>
  <c r="F37" i="1"/>
  <c r="E37" i="1"/>
  <c r="D37" i="1"/>
  <c r="C37" i="1"/>
  <c r="J35" i="1"/>
  <c r="I35" i="1"/>
  <c r="H35" i="1"/>
  <c r="G35" i="1"/>
  <c r="F35" i="1"/>
  <c r="E35" i="1"/>
  <c r="D35" i="1"/>
  <c r="C35" i="1"/>
  <c r="J33" i="1"/>
  <c r="I33" i="1"/>
  <c r="H33" i="1"/>
  <c r="G33" i="1"/>
  <c r="F33" i="1"/>
  <c r="E33" i="1"/>
  <c r="D33" i="1"/>
  <c r="C33" i="1"/>
  <c r="J31" i="1"/>
  <c r="I31" i="1"/>
  <c r="H31" i="1"/>
  <c r="G31" i="1"/>
  <c r="F31" i="1"/>
  <c r="E31" i="1"/>
  <c r="D31" i="1"/>
  <c r="C31" i="1"/>
  <c r="J29" i="1"/>
  <c r="I29" i="1"/>
  <c r="H29" i="1"/>
  <c r="G29" i="1"/>
  <c r="F29" i="1"/>
  <c r="E29" i="1"/>
  <c r="D29" i="1"/>
  <c r="C29" i="1"/>
  <c r="J38" i="1"/>
  <c r="I38" i="1"/>
  <c r="H38" i="1"/>
  <c r="G38" i="1"/>
  <c r="F38" i="1"/>
  <c r="E38" i="1"/>
  <c r="D38" i="1"/>
  <c r="C38" i="1"/>
  <c r="J36" i="1"/>
  <c r="I36" i="1"/>
  <c r="H36" i="1"/>
  <c r="G36" i="1"/>
  <c r="F36" i="1"/>
  <c r="E36" i="1"/>
  <c r="D36" i="1"/>
  <c r="C36" i="1"/>
  <c r="J34" i="1"/>
  <c r="I34" i="1"/>
  <c r="H34" i="1"/>
  <c r="G34" i="1"/>
  <c r="F34" i="1"/>
  <c r="E34" i="1"/>
  <c r="D34" i="1"/>
  <c r="C34" i="1"/>
  <c r="J32" i="1"/>
  <c r="I32" i="1"/>
  <c r="H32" i="1"/>
  <c r="G32" i="1"/>
  <c r="F32" i="1"/>
  <c r="E32" i="1"/>
  <c r="D32" i="1"/>
  <c r="C32" i="1"/>
  <c r="J30" i="1"/>
  <c r="I30" i="1"/>
  <c r="H30" i="1"/>
  <c r="G30" i="1"/>
  <c r="F30" i="1"/>
  <c r="E30" i="1"/>
  <c r="D30" i="1"/>
  <c r="C30" i="1"/>
  <c r="D28" i="1"/>
  <c r="J28" i="1"/>
  <c r="I28" i="1"/>
  <c r="H28" i="1"/>
  <c r="G28" i="1"/>
  <c r="F28" i="1"/>
  <c r="E28" i="1"/>
  <c r="C28" i="1"/>
  <c r="K21" i="1"/>
  <c r="J21" i="1"/>
  <c r="I21" i="1"/>
  <c r="H21" i="1"/>
  <c r="G21" i="1"/>
  <c r="F21" i="1"/>
  <c r="E21" i="1"/>
  <c r="D21" i="1"/>
  <c r="K20" i="1"/>
  <c r="J20" i="1"/>
  <c r="I20" i="1"/>
  <c r="H20" i="1"/>
  <c r="G20" i="1"/>
  <c r="F20" i="1"/>
  <c r="E20" i="1"/>
  <c r="D20" i="1"/>
  <c r="A64" i="1"/>
  <c r="A82" i="1"/>
  <c r="A66" i="1"/>
  <c r="A68" i="1"/>
  <c r="A70" i="1"/>
  <c r="A72" i="1"/>
  <c r="A74" i="1"/>
  <c r="A76" i="1"/>
  <c r="R16" i="1"/>
  <c r="Q25" i="1"/>
  <c r="V17" i="1"/>
  <c r="V19" i="1"/>
  <c r="V21" i="1"/>
  <c r="V23" i="1"/>
  <c r="V15" i="1"/>
  <c r="U23" i="1"/>
  <c r="U21" i="1"/>
  <c r="U19" i="1"/>
  <c r="U17" i="1"/>
  <c r="U15" i="1"/>
  <c r="Q23" i="1"/>
  <c r="Q21" i="1"/>
  <c r="Q19" i="1"/>
  <c r="Q17" i="1"/>
  <c r="Q15" i="1"/>
  <c r="R26" i="1"/>
  <c r="A67" i="1"/>
  <c r="A65" i="1"/>
  <c r="Q26" i="1"/>
  <c r="R25" i="1"/>
  <c r="V24" i="1"/>
  <c r="A71" i="1"/>
  <c r="A69" i="1"/>
  <c r="U24" i="1"/>
  <c r="R24" i="1"/>
  <c r="Q24" i="1"/>
  <c r="R23" i="1"/>
  <c r="V22" i="1"/>
  <c r="U22" i="1"/>
  <c r="R22" i="1"/>
  <c r="Q22" i="1"/>
  <c r="R21" i="1"/>
  <c r="V20" i="1"/>
  <c r="U20" i="1"/>
  <c r="R20" i="1"/>
  <c r="Q20" i="1"/>
  <c r="R19" i="1"/>
  <c r="V18" i="1"/>
  <c r="U18" i="1"/>
  <c r="R18" i="1"/>
  <c r="Q18" i="1"/>
  <c r="R17" i="1"/>
  <c r="V16" i="1"/>
  <c r="U16" i="1"/>
  <c r="Q16" i="1"/>
  <c r="R15" i="1"/>
  <c r="V9" i="1"/>
  <c r="S9" i="1"/>
  <c r="S5" i="1"/>
  <c r="V5" i="1"/>
  <c r="A77" i="1"/>
  <c r="A75" i="1"/>
  <c r="A73" i="1"/>
  <c r="A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Aguaman</author>
    <author>Microsoft Office User</author>
  </authors>
  <commentList>
    <comment ref="I3" authorId="0" shapeId="0" xr:uid="{DF354E2A-C9F0-403D-AB8F-2AC48C4D1B6C}">
      <text>
        <r>
          <rPr>
            <b/>
            <sz val="9"/>
            <color indexed="81"/>
            <rFont val="Tahoma"/>
            <family val="2"/>
          </rPr>
          <t>Aguaman:</t>
        </r>
        <r>
          <rPr>
            <sz val="9"/>
            <color indexed="81"/>
            <rFont val="Tahoma"/>
            <family val="2"/>
          </rPr>
          <t xml:space="preserve">
Even through the Arsenal might not show anything, every ranged  weapon starts with a multishot of 1</t>
        </r>
      </text>
    </comment>
    <comment ref="P4" authorId="0" shapeId="0" xr:uid="{3F5D5940-A99D-4B16-A08B-CF4A6AF37F7F}">
      <text>
        <r>
          <rPr>
            <sz val="10"/>
            <color indexed="81"/>
            <rFont val="Tahoma"/>
            <family val="2"/>
          </rPr>
          <t>The Sum of all elemental mods</t>
        </r>
      </text>
    </comment>
    <comment ref="Q4" authorId="1" shapeId="0" xr:uid="{9BD077D5-9FC9-AB47-A2C6-B429AF105A2B}">
      <text>
        <r>
          <rPr>
            <sz val="10"/>
            <color rgb="FF000000"/>
            <rFont val="Tahoma"/>
            <family val="2"/>
          </rPr>
          <t>The Sum of all General damage mods. 
For example, Pressure Point, Spoiled Strike,  Serration, etc.</t>
        </r>
      </text>
    </comment>
    <comment ref="P8" authorId="0" shapeId="0" xr:uid="{CF2EC755-8C71-48E3-AD34-5C3874CDC77C}">
      <text>
        <r>
          <rPr>
            <sz val="10"/>
            <color indexed="81"/>
            <rFont val="Tahoma"/>
            <family val="2"/>
          </rPr>
          <t>The Sum of all elemental mods</t>
        </r>
      </text>
    </comment>
    <comment ref="Q8" authorId="1" shapeId="0" xr:uid="{E600BFF3-8512-9C4D-BDEC-424362E1B5C0}">
      <text>
        <r>
          <rPr>
            <b/>
            <sz val="10"/>
            <color rgb="FF000000"/>
            <rFont val="Tahoma"/>
            <family val="2"/>
          </rPr>
          <t>General damage mods %. For example, Pressure Point, Serration, etc.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<sst xmlns="http://schemas.openxmlformats.org/spreadsheetml/2006/main" count="154" uniqueCount="130">
  <si>
    <t>WARFRAME FORMULA</t>
  </si>
  <si>
    <t>NAMES</t>
  </si>
  <si>
    <t>YCritDamA</t>
  </si>
  <si>
    <t>Yellow Critical Single Hit Damage = Damage x Crit Multiplier -- Crit Multiplier = Crit Level × (Crit Multiplier − 1) + 1</t>
  </si>
  <si>
    <t>YCritDamB</t>
  </si>
  <si>
    <t>OCritDamA</t>
  </si>
  <si>
    <t>Orange Critical Single Hit Damage = Damage x (2 × (Crit Multiplier − 1) + 1)</t>
  </si>
  <si>
    <t>OCritDamB</t>
  </si>
  <si>
    <t>RCritDamA</t>
  </si>
  <si>
    <t>Red Lvl 1 Critical Single Hit Damage = Damage x (3 × (Crit Multiplier − 1) + 1)</t>
  </si>
  <si>
    <t>RCritDamB</t>
  </si>
  <si>
    <t>AvgYCritDamA</t>
  </si>
  <si>
    <t>Average Yellow Critical Hit Damage = (Yellow Crit Damage x Crit Chance) + (Damage x (100-Crit Chance))</t>
  </si>
  <si>
    <t>AvgYCritDamB</t>
  </si>
  <si>
    <t>AvgOCritDamA</t>
  </si>
  <si>
    <t>Average Orange Critical Hit Damage = (Orange Crit Damage x (Crit Chance-100) + Yellow Crit Damage x (100-(Crit Chance-100))</t>
  </si>
  <si>
    <t>AvgOCritDamB</t>
  </si>
  <si>
    <t>AvgRCritDamA</t>
  </si>
  <si>
    <t>Average Red Lvl 1 Critical Hit Damage = (Red Lvl 1 Crit Damage x (Crit Chance-200)) + (Orange Lvl 1 Crit Damage x (100-(Crit Chance-200)))</t>
  </si>
  <si>
    <t>AvgRCritDamB</t>
  </si>
  <si>
    <t>RCritBA</t>
  </si>
  <si>
    <t>Red Lvl 2 Critical Single Hit Damage = Damage x (4 × (Crit Multiplier − 1) + 1)</t>
  </si>
  <si>
    <t>RCritBB</t>
  </si>
  <si>
    <t>RCritCA</t>
  </si>
  <si>
    <t>Red Lvl 3 Critical Single Hit Damage = Damage x (5 × (Crit Multiplier − 1) + 1)</t>
  </si>
  <si>
    <t>RCritCB</t>
  </si>
  <si>
    <t>RCritDA</t>
  </si>
  <si>
    <t>Red Lvl 4 Critical Single Hit Damage = Damage x (6 × (Crit Multiplier − 1) + 1)</t>
  </si>
  <si>
    <t>RCritDB</t>
  </si>
  <si>
    <t>RCritEA</t>
  </si>
  <si>
    <t>Red Lvl 5 Critical Single Hit Damage = Damage x (7 × (Crit Multiplier − 1) + 1)</t>
  </si>
  <si>
    <t>RCritEB</t>
  </si>
  <si>
    <t>RCritFA</t>
  </si>
  <si>
    <t>Red Lvl 6 Critical Single Hit Damage = Damage x (8 × (Crit Multiplier − 1) + 1)</t>
  </si>
  <si>
    <t>RCritFB</t>
  </si>
  <si>
    <t>RCritGA</t>
  </si>
  <si>
    <t>Red Lvl 7 Critical Single Hit Damage = Damage x (9 × (Crit Multiplier − 1) + 1)</t>
  </si>
  <si>
    <t>RCritGB</t>
  </si>
  <si>
    <t>Weapon Type</t>
  </si>
  <si>
    <t>Reload Time</t>
  </si>
  <si>
    <t>Magazine Capacity</t>
  </si>
  <si>
    <t>Status Chance</t>
  </si>
  <si>
    <t></t>
  </si>
  <si>
    <t>Average Crit Damage Per Shot/Hit</t>
  </si>
  <si>
    <t>Damage On Single Crit</t>
  </si>
  <si>
    <t>Sustained Damage Per Second      (DPS)</t>
  </si>
  <si>
    <t>Crit Level</t>
  </si>
  <si>
    <t></t>
  </si>
  <si>
    <t></t>
  </si>
  <si>
    <t>Select Here</t>
  </si>
  <si>
    <t>CONDITION OVERLOAD DAMAGE EFFECTS (Melee Only)</t>
  </si>
  <si>
    <t>BLOOD RUSH DAMAGE EFFECTS (Melee Only)</t>
  </si>
  <si>
    <t>Number of Status Effects On Target</t>
  </si>
  <si>
    <t>Blood Rush +Crit %</t>
  </si>
  <si>
    <t>Total Crit Chance %</t>
  </si>
  <si>
    <t>DPS</t>
  </si>
  <si>
    <t>Damage On Single Hit</t>
  </si>
  <si>
    <t>Weeping Wounds Modified Status Chance Calculator</t>
  </si>
  <si>
    <t>Total Damage</t>
  </si>
  <si>
    <t>Status Chance %</t>
  </si>
  <si>
    <t>Minimum Hits Needed</t>
  </si>
  <si>
    <t>Total Status Chance</t>
  </si>
  <si>
    <t>Weapon #1</t>
  </si>
  <si>
    <t>Base Stats</t>
  </si>
  <si>
    <t>Mod Bonus %</t>
  </si>
  <si>
    <t>Totals</t>
  </si>
  <si>
    <t>Weapon #2</t>
  </si>
  <si>
    <t>Attack Speed/Fire Rate</t>
  </si>
  <si>
    <t>Critical Chance</t>
  </si>
  <si>
    <t>Critical Multiplier</t>
  </si>
  <si>
    <t>Impact Damage</t>
  </si>
  <si>
    <t>Puncture Damage</t>
  </si>
  <si>
    <t>Slash Damage</t>
  </si>
  <si>
    <t>Inherent Elemental Damage</t>
  </si>
  <si>
    <t>Elemental Damage Mods %</t>
  </si>
  <si>
    <t>DAMAGE INCLUDING CRITICAL HITS</t>
  </si>
  <si>
    <t>BASE WEAPON STATS</t>
  </si>
  <si>
    <t>Probable Number Of Hits To Achieve a Crit</t>
  </si>
  <si>
    <t>Multishot</t>
  </si>
  <si>
    <t>20 (x2)</t>
  </si>
  <si>
    <t>No. of Hits (Combo Mult)</t>
  </si>
  <si>
    <t>40 (x3)</t>
  </si>
  <si>
    <t>60 (x4)</t>
  </si>
  <si>
    <t>80 (x5)</t>
  </si>
  <si>
    <t>100 (x6)</t>
  </si>
  <si>
    <t>120 (x7)</t>
  </si>
  <si>
    <t>140 (x8)</t>
  </si>
  <si>
    <t>160 (x9)</t>
  </si>
  <si>
    <t>180 (x10)</t>
  </si>
  <si>
    <t>200 (x11)</t>
  </si>
  <si>
    <t>220 (x12)</t>
  </si>
  <si>
    <t>ModBaseDamB</t>
  </si>
  <si>
    <t>ModBaseDamA</t>
  </si>
  <si>
    <t>Avg Damage</t>
  </si>
  <si>
    <t>DPS w/ Crit</t>
  </si>
  <si>
    <t>CONDITION OVERLOAD &amp; BLOOD RUSH COMBINED DPS (Melee Only)</t>
  </si>
  <si>
    <t>STAT NAMES:  DamA, DamB, CritChanceA, CritChanceB, CritMultA, CritMultB, CritDamA, CritDamB, SpeedA, SpeedB, StatusA, StatusB, ReloadA, ReloadB, MagA, MagB, MultShotA, MultShotB, ModBaseDamA, ModBaseDamB</t>
  </si>
  <si>
    <t>Status Chance Mods %</t>
  </si>
  <si>
    <t>Base Status Chance %</t>
  </si>
  <si>
    <t>Combo Counter Multiplier X</t>
  </si>
  <si>
    <t>Mod % Needed for 100%</t>
  </si>
  <si>
    <t>Damage Types</t>
  </si>
  <si>
    <t>Chance to Proc Per Hit</t>
  </si>
  <si>
    <t>4th</t>
  </si>
  <si>
    <t>5th</t>
  </si>
  <si>
    <t>6th</t>
  </si>
  <si>
    <t>7th</t>
  </si>
  <si>
    <t>=Total Damage</t>
  </si>
  <si>
    <t>= Physical Damage Types</t>
  </si>
  <si>
    <t>= Elemental Damage Types</t>
  </si>
  <si>
    <t>1 Status</t>
  </si>
  <si>
    <t>2 Status</t>
  </si>
  <si>
    <t>3 Status</t>
  </si>
  <si>
    <t>4 Status</t>
  </si>
  <si>
    <t>5 Status</t>
  </si>
  <si>
    <t>6 Status</t>
  </si>
  <si>
    <t>7 Status</t>
  </si>
  <si>
    <t>Probable No. of Hits needed to Proc Multiple Status Effects on a Target</t>
  </si>
  <si>
    <t>Modified Base Damage without Elemental Damage Mods or General Damage Mods (only physical damage mods)</t>
  </si>
  <si>
    <t>Ranged</t>
  </si>
  <si>
    <t>Impact</t>
  </si>
  <si>
    <t>Puncture</t>
  </si>
  <si>
    <t>Slash</t>
  </si>
  <si>
    <t>Modded Damage</t>
  </si>
  <si>
    <t>Melee Proc Chance Calculator</t>
  </si>
  <si>
    <t>Rel Chance to Proc</t>
  </si>
  <si>
    <t>TimeA</t>
  </si>
  <si>
    <t>Time Per Shot</t>
  </si>
  <si>
    <t>TimeB</t>
  </si>
  <si>
    <t>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</si>
</sst>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Wingdings"/>
      <family val="2"/>
    </font>
    <font>
      <sz val="16"/>
      <color rgb="FF66006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Wingdings"/>
      <family val="2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color rgb="FF000000"/>
      <name val="Tahoma"/>
      <family val="2"/>
    </font>
    <font>
      <sz val="10"/>
      <color indexed="81"/>
      <name val="Tahoma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DA0"/>
        <bgColor indexed="64"/>
      </patternFill>
    </fill>
    <fill>
      <patternFill patternType="solid">
        <fgColor rgb="FFEEECE1"/>
        <bgColor indexed="64"/>
      </patternFill>
    </fill>
  </fills>
  <borders count="8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rgb="FFFF0000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rgb="FFFF000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2">
    <xf numFmtId="0" fontId="0" fillId="0" borderId="0" xfId="0"/>
    <xf numFmtId="1" fontId="0" fillId="0" borderId="4" xfId="0" applyNumberFormat="1" applyBorder="1"/>
    <xf numFmtId="0" fontId="0" fillId="0" borderId="3" xfId="0" applyBorder="1"/>
    <xf numFmtId="3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6" xfId="0" applyBorder="1"/>
    <xf numFmtId="0" fontId="0" fillId="0" borderId="0" xfId="0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2" borderId="23" xfId="0" applyFill="1" applyBorder="1" applyAlignment="1">
      <alignment horizontal="center" wrapText="1"/>
    </xf>
    <xf numFmtId="0" fontId="0" fillId="0" borderId="24" xfId="0" applyBorder="1"/>
    <xf numFmtId="0" fontId="0" fillId="4" borderId="4" xfId="0" applyFill="1" applyBorder="1"/>
    <xf numFmtId="0" fontId="0" fillId="3" borderId="4" xfId="0" applyFill="1" applyBorder="1"/>
    <xf numFmtId="0" fontId="0" fillId="4" borderId="27" xfId="0" applyFill="1" applyBorder="1"/>
    <xf numFmtId="0" fontId="4" fillId="0" borderId="0" xfId="0" applyFont="1" applyAlignment="1">
      <alignment horizontal="center"/>
    </xf>
    <xf numFmtId="0" fontId="0" fillId="0" borderId="19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2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5" borderId="36" xfId="0" applyFill="1" applyBorder="1"/>
    <xf numFmtId="0" fontId="0" fillId="0" borderId="37" xfId="0" applyBorder="1"/>
    <xf numFmtId="0" fontId="0" fillId="0" borderId="25" xfId="0" applyFill="1" applyBorder="1"/>
    <xf numFmtId="0" fontId="0" fillId="4" borderId="1" xfId="0" applyFill="1" applyBorder="1"/>
    <xf numFmtId="0" fontId="0" fillId="2" borderId="40" xfId="0" applyFill="1" applyBorder="1" applyAlignment="1">
      <alignment horizontal="center" wrapText="1"/>
    </xf>
    <xf numFmtId="0" fontId="0" fillId="0" borderId="42" xfId="0" applyBorder="1"/>
    <xf numFmtId="0" fontId="0" fillId="0" borderId="43" xfId="0" applyBorder="1"/>
    <xf numFmtId="0" fontId="0" fillId="4" borderId="4" xfId="0" applyFill="1" applyBorder="1" applyProtection="1">
      <protection locked="0"/>
    </xf>
    <xf numFmtId="9" fontId="0" fillId="3" borderId="4" xfId="0" applyNumberFormat="1" applyFill="1" applyBorder="1" applyProtection="1">
      <protection locked="0"/>
    </xf>
    <xf numFmtId="3" fontId="0" fillId="5" borderId="36" xfId="0" applyNumberFormat="1" applyFill="1" applyBorder="1"/>
    <xf numFmtId="164" fontId="0" fillId="5" borderId="41" xfId="0" applyNumberFormat="1" applyFill="1" applyBorder="1"/>
    <xf numFmtId="3" fontId="3" fillId="2" borderId="4" xfId="0" applyNumberFormat="1" applyFont="1" applyFill="1" applyBorder="1" applyAlignment="1">
      <alignment horizontal="center" vertical="center"/>
    </xf>
    <xf numFmtId="3" fontId="12" fillId="0" borderId="4" xfId="0" applyNumberFormat="1" applyFont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/>
    </xf>
    <xf numFmtId="3" fontId="12" fillId="0" borderId="4" xfId="0" applyNumberFormat="1" applyFont="1" applyBorder="1" applyAlignment="1">
      <alignment horizontal="center"/>
    </xf>
    <xf numFmtId="0" fontId="15" fillId="0" borderId="4" xfId="0" applyFont="1" applyBorder="1"/>
    <xf numFmtId="0" fontId="16" fillId="0" borderId="27" xfId="0" applyFont="1" applyBorder="1"/>
    <xf numFmtId="164" fontId="13" fillId="0" borderId="4" xfId="0" applyNumberFormat="1" applyFont="1" applyBorder="1" applyAlignment="1">
      <alignment horizontal="center" shrinkToFit="1"/>
    </xf>
    <xf numFmtId="164" fontId="10" fillId="0" borderId="4" xfId="0" applyNumberFormat="1" applyFont="1" applyBorder="1" applyAlignment="1">
      <alignment horizontal="center" shrinkToFit="1"/>
    </xf>
    <xf numFmtId="3" fontId="0" fillId="5" borderId="39" xfId="0" applyNumberFormat="1" applyFill="1" applyBorder="1"/>
    <xf numFmtId="9" fontId="0" fillId="0" borderId="4" xfId="0" applyNumberFormat="1" applyFill="1" applyBorder="1"/>
    <xf numFmtId="3" fontId="3" fillId="5" borderId="4" xfId="0" applyNumberFormat="1" applyFont="1" applyFill="1" applyBorder="1" applyAlignment="1">
      <alignment horizontal="center" shrinkToFit="1"/>
    </xf>
    <xf numFmtId="0" fontId="0" fillId="0" borderId="2" xfId="0" applyBorder="1"/>
    <xf numFmtId="0" fontId="3" fillId="0" borderId="0" xfId="0" applyFont="1" applyBorder="1" applyAlignment="1">
      <alignment horizontal="center"/>
    </xf>
    <xf numFmtId="3" fontId="3" fillId="2" borderId="25" xfId="0" applyNumberFormat="1" applyFont="1" applyFill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/>
    </xf>
    <xf numFmtId="3" fontId="12" fillId="0" borderId="25" xfId="0" applyNumberFormat="1" applyFont="1" applyBorder="1" applyAlignment="1">
      <alignment horizontal="center" vertical="center"/>
    </xf>
    <xf numFmtId="3" fontId="3" fillId="5" borderId="25" xfId="0" applyNumberFormat="1" applyFont="1" applyFill="1" applyBorder="1" applyAlignment="1">
      <alignment horizontal="center" shrinkToFit="1"/>
    </xf>
    <xf numFmtId="0" fontId="3" fillId="5" borderId="51" xfId="0" applyFont="1" applyFill="1" applyBorder="1" applyAlignment="1">
      <alignment horizontal="center" wrapText="1"/>
    </xf>
    <xf numFmtId="0" fontId="3" fillId="5" borderId="52" xfId="0" applyFont="1" applyFill="1" applyBorder="1" applyAlignment="1">
      <alignment horizontal="center" wrapText="1"/>
    </xf>
    <xf numFmtId="3" fontId="12" fillId="5" borderId="37" xfId="0" applyNumberFormat="1" applyFont="1" applyFill="1" applyBorder="1" applyAlignment="1">
      <alignment horizontal="center" shrinkToFit="1"/>
    </xf>
    <xf numFmtId="3" fontId="12" fillId="5" borderId="38" xfId="0" applyNumberFormat="1" applyFont="1" applyFill="1" applyBorder="1" applyAlignment="1">
      <alignment horizontal="center" shrinkToFit="1"/>
    </xf>
    <xf numFmtId="0" fontId="13" fillId="0" borderId="4" xfId="0" applyFont="1" applyBorder="1" applyAlignment="1">
      <alignment horizontal="center"/>
    </xf>
    <xf numFmtId="0" fontId="10" fillId="2" borderId="56" xfId="0" applyFont="1" applyFill="1" applyBorder="1" applyAlignment="1">
      <alignment horizontal="center" wrapText="1"/>
    </xf>
    <xf numFmtId="0" fontId="10" fillId="2" borderId="27" xfId="0" applyFont="1" applyFill="1" applyBorder="1" applyAlignment="1">
      <alignment horizontal="center" wrapText="1"/>
    </xf>
    <xf numFmtId="0" fontId="10" fillId="2" borderId="26" xfId="0" applyFon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shrinkToFit="1"/>
    </xf>
    <xf numFmtId="3" fontId="10" fillId="0" borderId="25" xfId="0" applyNumberFormat="1" applyFont="1" applyBorder="1" applyAlignment="1">
      <alignment horizontal="center" shrinkToFit="1"/>
    </xf>
    <xf numFmtId="0" fontId="13" fillId="0" borderId="37" xfId="0" applyFont="1" applyBorder="1" applyAlignment="1">
      <alignment horizontal="center"/>
    </xf>
    <xf numFmtId="164" fontId="13" fillId="0" borderId="37" xfId="0" applyNumberFormat="1" applyFont="1" applyBorder="1" applyAlignment="1">
      <alignment horizontal="center" shrinkToFit="1"/>
    </xf>
    <xf numFmtId="3" fontId="10" fillId="0" borderId="38" xfId="0" applyNumberFormat="1" applyFont="1" applyBorder="1" applyAlignment="1">
      <alignment horizontal="center" shrinkToFit="1"/>
    </xf>
    <xf numFmtId="0" fontId="10" fillId="5" borderId="27" xfId="0" applyFont="1" applyFill="1" applyBorder="1" applyAlignment="1">
      <alignment horizontal="center" wrapText="1"/>
    </xf>
    <xf numFmtId="3" fontId="10" fillId="5" borderId="4" xfId="0" applyNumberFormat="1" applyFont="1" applyFill="1" applyBorder="1" applyAlignment="1">
      <alignment horizontal="center" shrinkToFit="1"/>
    </xf>
    <xf numFmtId="3" fontId="13" fillId="5" borderId="4" xfId="0" applyNumberFormat="1" applyFont="1" applyFill="1" applyBorder="1" applyAlignment="1">
      <alignment horizontal="center" shrinkToFit="1"/>
    </xf>
    <xf numFmtId="3" fontId="13" fillId="5" borderId="37" xfId="0" applyNumberFormat="1" applyFont="1" applyFill="1" applyBorder="1" applyAlignment="1">
      <alignment horizontal="center" shrinkToFit="1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9" xfId="0" applyFont="1" applyFill="1" applyBorder="1" applyAlignment="1">
      <alignment horizontal="center"/>
    </xf>
    <xf numFmtId="3" fontId="3" fillId="2" borderId="59" xfId="0" applyNumberFormat="1" applyFont="1" applyFill="1" applyBorder="1" applyAlignment="1">
      <alignment horizontal="center" vertical="center"/>
    </xf>
    <xf numFmtId="0" fontId="13" fillId="0" borderId="59" xfId="0" applyFont="1" applyBorder="1" applyAlignment="1">
      <alignment horizontal="center"/>
    </xf>
    <xf numFmtId="3" fontId="3" fillId="2" borderId="59" xfId="0" applyNumberFormat="1" applyFont="1" applyFill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0" fillId="2" borderId="57" xfId="0" applyFon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shrinkToFit="1"/>
    </xf>
    <xf numFmtId="0" fontId="10" fillId="0" borderId="59" xfId="0" applyFont="1" applyBorder="1" applyAlignment="1">
      <alignment horizontal="center"/>
    </xf>
    <xf numFmtId="0" fontId="10" fillId="0" borderId="60" xfId="0" applyFont="1" applyBorder="1" applyAlignment="1">
      <alignment horizontal="center"/>
    </xf>
    <xf numFmtId="0" fontId="5" fillId="0" borderId="3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0" fillId="2" borderId="43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0" fillId="8" borderId="4" xfId="0" applyNumberFormat="1" applyFill="1" applyBorder="1" applyAlignment="1" applyProtection="1">
      <alignment horizontal="center"/>
      <protection locked="0"/>
    </xf>
    <xf numFmtId="10" fontId="0" fillId="0" borderId="4" xfId="0" applyNumberFormat="1" applyBorder="1" applyAlignment="1">
      <alignment horizontal="right" vertical="distributed"/>
    </xf>
    <xf numFmtId="10" fontId="0" fillId="0" borderId="4" xfId="0" applyNumberFormat="1" applyBorder="1" applyAlignment="1">
      <alignment horizontal="right"/>
    </xf>
    <xf numFmtId="0" fontId="0" fillId="0" borderId="67" xfId="0" applyBorder="1"/>
    <xf numFmtId="164" fontId="0" fillId="9" borderId="6" xfId="0" applyNumberFormat="1" applyFill="1" applyBorder="1" applyAlignment="1" applyProtection="1">
      <alignment horizontal="center"/>
      <protection locked="0"/>
    </xf>
    <xf numFmtId="49" fontId="0" fillId="0" borderId="21" xfId="0" applyNumberFormat="1" applyBorder="1"/>
    <xf numFmtId="164" fontId="25" fillId="0" borderId="1" xfId="0" applyNumberFormat="1" applyFont="1" applyBorder="1" applyAlignment="1">
      <alignment horizontal="center"/>
    </xf>
    <xf numFmtId="0" fontId="0" fillId="8" borderId="0" xfId="0" applyFill="1" applyBorder="1"/>
    <xf numFmtId="49" fontId="22" fillId="0" borderId="0" xfId="0" quotePrefix="1" applyNumberFormat="1" applyFont="1" applyBorder="1"/>
    <xf numFmtId="0" fontId="0" fillId="0" borderId="0" xfId="0" applyBorder="1"/>
    <xf numFmtId="0" fontId="0" fillId="0" borderId="4" xfId="0" applyBorder="1"/>
    <xf numFmtId="0" fontId="0" fillId="7" borderId="4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5" fillId="0" borderId="69" xfId="0" applyFont="1" applyBorder="1" applyAlignment="1">
      <alignment horizontal="center" vertical="center"/>
    </xf>
    <xf numFmtId="9" fontId="23" fillId="0" borderId="71" xfId="0" applyNumberFormat="1" applyFont="1" applyBorder="1" applyAlignment="1">
      <alignment horizontal="center" shrinkToFit="1"/>
    </xf>
    <xf numFmtId="0" fontId="0" fillId="0" borderId="72" xfId="0" applyBorder="1"/>
    <xf numFmtId="0" fontId="0" fillId="0" borderId="73" xfId="0" applyBorder="1"/>
    <xf numFmtId="1" fontId="0" fillId="0" borderId="0" xfId="0" applyNumberFormat="1" applyBorder="1"/>
    <xf numFmtId="0" fontId="0" fillId="0" borderId="74" xfId="0" applyBorder="1"/>
    <xf numFmtId="0" fontId="0" fillId="0" borderId="55" xfId="0" applyBorder="1"/>
    <xf numFmtId="0" fontId="0" fillId="0" borderId="75" xfId="0" applyBorder="1"/>
    <xf numFmtId="0" fontId="0" fillId="7" borderId="25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25" xfId="0" applyNumberFormat="1" applyBorder="1"/>
    <xf numFmtId="0" fontId="5" fillId="0" borderId="42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58" xfId="0" applyBorder="1"/>
    <xf numFmtId="0" fontId="0" fillId="0" borderId="77" xfId="0" applyBorder="1"/>
    <xf numFmtId="0" fontId="0" fillId="0" borderId="51" xfId="0" applyBorder="1"/>
    <xf numFmtId="0" fontId="0" fillId="9" borderId="55" xfId="0" applyFill="1" applyBorder="1"/>
    <xf numFmtId="49" fontId="22" fillId="0" borderId="55" xfId="0" quotePrefix="1" applyNumberFormat="1" applyFont="1" applyBorder="1"/>
    <xf numFmtId="0" fontId="0" fillId="0" borderId="52" xfId="0" applyBorder="1"/>
    <xf numFmtId="3" fontId="12" fillId="0" borderId="37" xfId="0" applyNumberFormat="1" applyFont="1" applyBorder="1" applyAlignment="1">
      <alignment horizontal="center" vertical="center"/>
    </xf>
    <xf numFmtId="3" fontId="12" fillId="0" borderId="38" xfId="0" applyNumberFormat="1" applyFont="1" applyBorder="1" applyAlignment="1">
      <alignment horizontal="center" vertical="center"/>
    </xf>
    <xf numFmtId="3" fontId="0" fillId="5" borderId="78" xfId="0" applyNumberFormat="1" applyFill="1" applyBorder="1" applyAlignment="1">
      <alignment horizontal="center" shrinkToFit="1"/>
    </xf>
    <xf numFmtId="0" fontId="0" fillId="7" borderId="4" xfId="0" applyFill="1" applyBorder="1" applyProtection="1">
      <protection locked="0"/>
    </xf>
    <xf numFmtId="10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10" borderId="17" xfId="0" applyFill="1" applyBorder="1" applyAlignment="1" applyProtection="1">
      <alignment horizontal="center"/>
      <protection locked="0"/>
    </xf>
    <xf numFmtId="0" fontId="13" fillId="10" borderId="17" xfId="0" applyFont="1" applyFill="1" applyBorder="1" applyAlignment="1" applyProtection="1">
      <alignment horizontal="center"/>
      <protection locked="0"/>
    </xf>
    <xf numFmtId="0" fontId="0" fillId="0" borderId="68" xfId="0" applyBorder="1" applyAlignment="1">
      <alignment horizontal="center"/>
    </xf>
    <xf numFmtId="0" fontId="0" fillId="10" borderId="83" xfId="0" applyFill="1" applyBorder="1" applyAlignment="1" applyProtection="1">
      <alignment horizontal="center"/>
      <protection locked="0"/>
    </xf>
    <xf numFmtId="0" fontId="0" fillId="0" borderId="21" xfId="0" applyBorder="1"/>
    <xf numFmtId="9" fontId="6" fillId="7" borderId="70" xfId="0" applyNumberFormat="1" applyFont="1" applyFill="1" applyBorder="1" applyAlignment="1">
      <alignment horizontal="center"/>
    </xf>
    <xf numFmtId="0" fontId="13" fillId="4" borderId="27" xfId="0" applyFont="1" applyFill="1" applyBorder="1" applyProtection="1">
      <protection locked="0"/>
    </xf>
    <xf numFmtId="0" fontId="13" fillId="7" borderId="27" xfId="0" applyFont="1" applyFill="1" applyBorder="1" applyProtection="1">
      <protection locked="0"/>
    </xf>
    <xf numFmtId="0" fontId="13" fillId="0" borderId="26" xfId="0" applyFont="1" applyFill="1" applyBorder="1"/>
    <xf numFmtId="0" fontId="13" fillId="4" borderId="1" xfId="0" applyFont="1" applyFill="1" applyBorder="1"/>
    <xf numFmtId="9" fontId="13" fillId="3" borderId="4" xfId="0" applyNumberFormat="1" applyFont="1" applyFill="1" applyBorder="1" applyProtection="1">
      <protection locked="0"/>
    </xf>
    <xf numFmtId="9" fontId="13" fillId="0" borderId="4" xfId="0" applyNumberFormat="1" applyFont="1" applyFill="1" applyBorder="1"/>
    <xf numFmtId="164" fontId="13" fillId="5" borderId="80" xfId="0" applyNumberFormat="1" applyFont="1" applyFill="1" applyBorder="1"/>
    <xf numFmtId="3" fontId="13" fillId="5" borderId="81" xfId="0" applyNumberFormat="1" applyFont="1" applyFill="1" applyBorder="1"/>
    <xf numFmtId="0" fontId="13" fillId="5" borderId="82" xfId="0" applyFont="1" applyFill="1" applyBorder="1"/>
    <xf numFmtId="3" fontId="13" fillId="5" borderId="82" xfId="0" applyNumberFormat="1" applyFont="1" applyFill="1" applyBorder="1"/>
    <xf numFmtId="3" fontId="13" fillId="5" borderId="79" xfId="0" applyNumberFormat="1" applyFont="1" applyFill="1" applyBorder="1" applyAlignment="1">
      <alignment horizontal="center" shrinkToFit="1"/>
    </xf>
    <xf numFmtId="0" fontId="0" fillId="0" borderId="5" xfId="0" applyBorder="1" applyAlignment="1" applyProtection="1">
      <alignment horizontal="center"/>
      <protection locked="0"/>
    </xf>
    <xf numFmtId="9" fontId="0" fillId="0" borderId="0" xfId="0" applyNumberFormat="1"/>
    <xf numFmtId="165" fontId="0" fillId="0" borderId="38" xfId="0" applyNumberFormat="1" applyBorder="1"/>
    <xf numFmtId="165" fontId="0" fillId="0" borderId="37" xfId="0" applyNumberFormat="1" applyBorder="1"/>
    <xf numFmtId="0" fontId="0" fillId="0" borderId="37" xfId="0" applyNumberFormat="1" applyBorder="1"/>
    <xf numFmtId="0" fontId="10" fillId="6" borderId="2" xfId="0" applyFont="1" applyFill="1" applyBorder="1" applyAlignment="1">
      <alignment horizontal="center"/>
    </xf>
    <xf numFmtId="164" fontId="10" fillId="6" borderId="4" xfId="0" applyNumberFormat="1" applyFont="1" applyFill="1" applyBorder="1" applyAlignment="1">
      <alignment horizontal="center" shrinkToFit="1"/>
    </xf>
    <xf numFmtId="0" fontId="10" fillId="6" borderId="4" xfId="0" applyFont="1" applyFill="1" applyBorder="1" applyAlignment="1">
      <alignment horizontal="center"/>
    </xf>
    <xf numFmtId="0" fontId="10" fillId="6" borderId="59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 shrinkToFit="1"/>
    </xf>
    <xf numFmtId="3" fontId="0" fillId="0" borderId="61" xfId="0" applyNumberFormat="1" applyFill="1" applyBorder="1" applyAlignment="1">
      <alignment horizontal="center" shrinkToFit="1"/>
    </xf>
    <xf numFmtId="3" fontId="0" fillId="0" borderId="25" xfId="0" applyNumberFormat="1" applyFill="1" applyBorder="1" applyAlignment="1">
      <alignment horizontal="center" shrinkToFit="1"/>
    </xf>
    <xf numFmtId="1" fontId="0" fillId="0" borderId="0" xfId="0" applyNumberFormat="1"/>
    <xf numFmtId="1" fontId="0" fillId="2" borderId="34" xfId="0" applyNumberForma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4" fillId="0" borderId="28" xfId="0" applyFont="1" applyBorder="1" applyAlignment="1">
      <alignment horizontal="center"/>
    </xf>
    <xf numFmtId="0" fontId="0" fillId="0" borderId="18" xfId="0" applyBorder="1" applyAlignment="1"/>
    <xf numFmtId="0" fontId="4" fillId="0" borderId="18" xfId="0" applyFont="1" applyBorder="1" applyAlignment="1"/>
    <xf numFmtId="1" fontId="19" fillId="2" borderId="46" xfId="0" applyNumberFormat="1" applyFont="1" applyFill="1" applyBorder="1" applyAlignment="1">
      <alignment horizontal="center"/>
    </xf>
    <xf numFmtId="0" fontId="19" fillId="0" borderId="47" xfId="0" applyFont="1" applyBorder="1" applyAlignment="1"/>
    <xf numFmtId="0" fontId="19" fillId="0" borderId="48" xfId="0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1" fontId="19" fillId="2" borderId="57" xfId="0" applyNumberFormat="1" applyFont="1" applyFill="1" applyBorder="1" applyAlignment="1">
      <alignment horizontal="center"/>
    </xf>
    <xf numFmtId="0" fontId="0" fillId="0" borderId="53" xfId="0" applyBorder="1" applyAlignment="1"/>
    <xf numFmtId="0" fontId="0" fillId="0" borderId="54" xfId="0" applyBorder="1" applyAlignment="1"/>
    <xf numFmtId="0" fontId="7" fillId="0" borderId="55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14" fillId="0" borderId="62" xfId="0" applyFont="1" applyBorder="1" applyAlignment="1" applyProtection="1">
      <alignment horizontal="center" vertical="top"/>
    </xf>
    <xf numFmtId="0" fontId="0" fillId="0" borderId="42" xfId="0" applyBorder="1" applyAlignment="1"/>
    <xf numFmtId="0" fontId="0" fillId="0" borderId="39" xfId="0" applyBorder="1" applyAlignment="1"/>
    <xf numFmtId="0" fontId="26" fillId="0" borderId="0" xfId="0" applyFont="1" applyBorder="1" applyAlignment="1">
      <alignment horizontal="center"/>
    </xf>
    <xf numFmtId="0" fontId="0" fillId="0" borderId="0" xfId="0" applyBorder="1" applyAlignment="1"/>
    <xf numFmtId="0" fontId="20" fillId="0" borderId="0" xfId="0" applyFont="1" applyBorder="1" applyAlignment="1"/>
    <xf numFmtId="0" fontId="20" fillId="0" borderId="0" xfId="0" applyFont="1" applyAlignment="1"/>
    <xf numFmtId="0" fontId="3" fillId="6" borderId="44" xfId="0" applyFont="1" applyFill="1" applyBorder="1" applyAlignment="1"/>
    <xf numFmtId="0" fontId="0" fillId="6" borderId="45" xfId="0" applyFill="1" applyBorder="1" applyAlignment="1"/>
    <xf numFmtId="0" fontId="0" fillId="6" borderId="63" xfId="0" applyFill="1" applyBorder="1" applyAlignment="1"/>
    <xf numFmtId="0" fontId="0" fillId="6" borderId="21" xfId="0" applyFill="1" applyBorder="1" applyAlignment="1"/>
    <xf numFmtId="49" fontId="0" fillId="2" borderId="50" xfId="0" applyNumberFormat="1" applyFont="1" applyFill="1" applyBorder="1" applyAlignment="1">
      <alignment horizontal="left"/>
    </xf>
    <xf numFmtId="0" fontId="0" fillId="0" borderId="2" xfId="0" applyFont="1" applyBorder="1" applyAlignment="1"/>
    <xf numFmtId="49" fontId="0" fillId="2" borderId="50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" fontId="0" fillId="5" borderId="50" xfId="0" applyNumberFormat="1" applyFont="1" applyFill="1" applyBorder="1" applyAlignment="1">
      <alignment horizontal="center"/>
    </xf>
    <xf numFmtId="0" fontId="21" fillId="6" borderId="43" xfId="0" applyFont="1" applyFill="1" applyBorder="1" applyAlignment="1">
      <alignment horizontal="center" wrapText="1"/>
    </xf>
    <xf numFmtId="0" fontId="0" fillId="6" borderId="58" xfId="0" applyFill="1" applyBorder="1" applyAlignment="1">
      <alignment horizontal="center" wrapText="1"/>
    </xf>
    <xf numFmtId="0" fontId="0" fillId="6" borderId="57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" xfId="0" applyFont="1" applyBorder="1"/>
    <xf numFmtId="0" fontId="8" fillId="0" borderId="1" xfId="0" applyFont="1" applyBorder="1"/>
    <xf numFmtId="0" fontId="8" fillId="0" borderId="2" xfId="0" applyFont="1" applyBorder="1"/>
    <xf numFmtId="0" fontId="0" fillId="0" borderId="4" xfId="0" applyBorder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2" borderId="46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43" xfId="0" applyFill="1" applyBorder="1" applyAlignment="1">
      <alignment horizontal="center" wrapText="1"/>
    </xf>
    <xf numFmtId="0" fontId="0" fillId="0" borderId="76" xfId="0" applyBorder="1" applyAlignment="1">
      <alignment horizontal="center" wrapText="1"/>
    </xf>
    <xf numFmtId="0" fontId="2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66" xfId="0" applyFont="1" applyFill="1" applyBorder="1" applyAlignment="1">
      <alignment horizontal="center" wrapText="1"/>
    </xf>
    <xf numFmtId="0" fontId="1" fillId="0" borderId="64" xfId="0" applyFont="1" applyBorder="1" applyAlignment="1">
      <alignment horizontal="center" wrapText="1"/>
    </xf>
    <xf numFmtId="0" fontId="1" fillId="0" borderId="65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3" fillId="0" borderId="19" xfId="0" applyFont="1" applyBorder="1"/>
    <xf numFmtId="165" fontId="13" fillId="0" borderId="19" xfId="0" applyNumberFormat="1" applyFont="1" applyBorder="1"/>
    <xf numFmtId="165" fontId="13" fillId="0" borderId="84" xfId="0" applyNumberFormat="1" applyFont="1" applyBorder="1"/>
  </cellXfs>
  <cellStyles count="1">
    <cellStyle name="Normal" xfId="0" builtinId="0"/>
  </cellStyles>
  <dxfs count="20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FF97"/>
        </patternFill>
      </fill>
    </dxf>
    <dxf>
      <fill>
        <patternFill>
          <bgColor rgb="FFFFDD71"/>
        </patternFill>
      </fill>
    </dxf>
    <dxf>
      <fill>
        <patternFill>
          <bgColor rgb="FFFFA3A3"/>
        </patternFill>
      </fill>
    </dxf>
    <dxf>
      <fill>
        <patternFill>
          <bgColor rgb="FFFFFF97"/>
        </patternFill>
      </fill>
    </dxf>
    <dxf>
      <fill>
        <patternFill>
          <bgColor rgb="FFFFDD71"/>
        </patternFill>
      </fill>
    </dxf>
    <dxf>
      <fill>
        <patternFill>
          <bgColor rgb="FFFFA3A3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 patternType="solid">
          <fgColor indexed="64"/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FF97"/>
        </patternFill>
      </fill>
    </dxf>
    <dxf>
      <fill>
        <patternFill>
          <bgColor rgb="FFFFDD71"/>
        </patternFill>
      </fill>
    </dxf>
    <dxf>
      <fill>
        <patternFill>
          <bgColor rgb="FFFFA3A3"/>
        </patternFill>
      </fill>
    </dxf>
    <dxf>
      <fill>
        <patternFill>
          <bgColor rgb="FFFFFF97"/>
        </patternFill>
      </fill>
    </dxf>
    <dxf>
      <fill>
        <patternFill>
          <bgColor rgb="FFFFDD71"/>
        </patternFill>
      </fill>
    </dxf>
    <dxf>
      <fill>
        <patternFill>
          <bgColor rgb="FFFFA3A3"/>
        </patternFill>
      </fill>
    </dxf>
  </dxfs>
  <tableStyles count="0" defaultTableStyle="TableStyleMedium2" defaultPivotStyle="PivotStyleLight16"/>
  <colors>
    <mruColors>
      <color rgb="FF0000FF"/>
      <color rgb="FFCCCCFF"/>
      <color rgb="FFEEECE1"/>
      <color rgb="FFCC99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7937</xdr:colOff>
      <xdr:row>1</xdr:row>
      <xdr:rowOff>7936</xdr:rowOff>
    </xdr:from>
    <xdr:ext cx="2381250" cy="17383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B4D385-CE17-47F2-882B-A98E6171F8F8}"/>
            </a:ext>
          </a:extLst>
        </xdr:cNvPr>
        <xdr:cNvSpPr txBox="1"/>
      </xdr:nvSpPr>
      <xdr:spPr>
        <a:xfrm>
          <a:off x="18954750" y="341311"/>
          <a:ext cx="2381250" cy="1738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400" b="1"/>
            <a:t>DAMAGE 3.0 </a:t>
          </a:r>
        </a:p>
        <a:p>
          <a:pPr algn="ctr"/>
          <a:endParaRPr lang="en-US" sz="1100"/>
        </a:p>
        <a:p>
          <a:pPr algn="ctr"/>
          <a:r>
            <a:rPr lang="en-US" sz="2800" b="1"/>
            <a:t>DPS Estimator </a:t>
          </a:r>
        </a:p>
        <a:p>
          <a:pPr algn="ctr"/>
          <a:r>
            <a:rPr lang="en-US" sz="1600"/>
            <a:t>7/2021</a:t>
          </a:r>
        </a:p>
        <a:p>
          <a:pPr algn="ctr"/>
          <a:r>
            <a:rPr lang="en-US" sz="1600"/>
            <a:t>Warframe Update 30.5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52EF-7B7E-BF45-822A-85A5CBE59344}">
  <dimension ref="A1:W87"/>
  <sheetViews>
    <sheetView tabSelected="1" zoomScale="80" zoomScaleNormal="80" workbookViewId="0">
      <selection activeCell="D3" sqref="D3"/>
    </sheetView>
  </sheetViews>
  <sheetFormatPr defaultColWidth="10.6640625" defaultRowHeight="15.5"/>
  <cols>
    <col min="1" max="1" width="12.33203125" customWidth="1"/>
    <col min="3" max="3" width="12" customWidth="1"/>
    <col min="4" max="4" width="10" customWidth="1"/>
    <col min="22" max="22" width="11.33203125" customWidth="1"/>
  </cols>
  <sheetData>
    <row r="1" spans="1:22" ht="26.5" thickBot="1">
      <c r="D1" s="26"/>
      <c r="E1" s="174" t="s">
        <v>76</v>
      </c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2" t="s">
        <v>75</v>
      </c>
      <c r="R1" s="173"/>
      <c r="S1" s="173"/>
      <c r="T1" s="173"/>
      <c r="U1" s="173"/>
      <c r="V1" s="173"/>
    </row>
    <row r="2" spans="1:22" ht="78" thickTop="1">
      <c r="A2" s="11" t="s">
        <v>38</v>
      </c>
      <c r="B2" s="12"/>
      <c r="C2" s="12"/>
      <c r="D2" s="12" t="s">
        <v>129</v>
      </c>
      <c r="E2" s="12" t="s">
        <v>67</v>
      </c>
      <c r="F2" s="12" t="s">
        <v>68</v>
      </c>
      <c r="G2" s="12" t="s">
        <v>69</v>
      </c>
      <c r="H2" s="12" t="s">
        <v>40</v>
      </c>
      <c r="I2" s="12" t="s">
        <v>78</v>
      </c>
      <c r="J2" s="12" t="s">
        <v>39</v>
      </c>
      <c r="K2" s="12" t="s">
        <v>41</v>
      </c>
      <c r="L2" s="12" t="s">
        <v>70</v>
      </c>
      <c r="M2" s="12" t="s">
        <v>71</v>
      </c>
      <c r="N2" s="12" t="s">
        <v>72</v>
      </c>
      <c r="O2" s="12" t="s">
        <v>73</v>
      </c>
      <c r="P2" s="13" t="s">
        <v>74</v>
      </c>
      <c r="Q2" s="40" t="s">
        <v>58</v>
      </c>
      <c r="R2" s="21" t="s">
        <v>44</v>
      </c>
      <c r="S2" s="12" t="s">
        <v>77</v>
      </c>
      <c r="T2" s="12" t="s">
        <v>43</v>
      </c>
      <c r="U2" s="13" t="s">
        <v>45</v>
      </c>
      <c r="V2" s="14" t="s">
        <v>46</v>
      </c>
    </row>
    <row r="3" spans="1:22" ht="20.5" thickBot="1">
      <c r="A3" s="15" t="s">
        <v>47</v>
      </c>
      <c r="B3" s="51" t="s">
        <v>62</v>
      </c>
      <c r="C3" s="23" t="s">
        <v>63</v>
      </c>
      <c r="D3" s="43"/>
      <c r="E3" s="43"/>
      <c r="F3" s="43"/>
      <c r="G3" s="43"/>
      <c r="H3" s="43"/>
      <c r="I3" s="43">
        <v>1</v>
      </c>
      <c r="J3" s="43"/>
      <c r="K3" s="134"/>
      <c r="L3" s="43"/>
      <c r="M3" s="43"/>
      <c r="N3" s="43"/>
      <c r="O3" s="43"/>
      <c r="P3" s="38"/>
      <c r="Q3" s="39" t="str">
        <f>IF(SUM(L3:O3)=0,"",SUM(L3:O3))</f>
        <v/>
      </c>
      <c r="R3" s="30"/>
      <c r="S3" s="16"/>
      <c r="T3" s="16"/>
      <c r="U3" s="16"/>
      <c r="V3" s="31"/>
    </row>
    <row r="4" spans="1:22" ht="16.5" thickTop="1" thickBot="1">
      <c r="A4" s="139" t="s">
        <v>119</v>
      </c>
      <c r="B4" s="58"/>
      <c r="C4" s="24" t="s">
        <v>64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56"/>
      <c r="P4" s="44"/>
      <c r="Q4" s="44"/>
      <c r="R4" s="41"/>
      <c r="S4" s="32"/>
      <c r="T4" s="32"/>
      <c r="U4" s="32"/>
      <c r="V4" s="33"/>
    </row>
    <row r="5" spans="1:22" ht="21" thickTop="1" thickBot="1">
      <c r="A5" s="15" t="s">
        <v>48</v>
      </c>
      <c r="B5" s="37"/>
      <c r="C5" s="37" t="s">
        <v>65</v>
      </c>
      <c r="D5" s="160" t="str">
        <f>IF(ISBLANK(D3),"",ROUND((D3/(1+D4)),2))</f>
        <v/>
      </c>
      <c r="E5" s="37" t="str">
        <f>IF(ISBLANK(E3),"",E3*(1+E4))</f>
        <v/>
      </c>
      <c r="F5" s="37" t="str">
        <f>IF(ISBLANK(F3),"",F3*(1+F4))</f>
        <v/>
      </c>
      <c r="G5" s="37" t="str">
        <f t="shared" ref="G5:K5" si="0">IF(ISBLANK(G3),"",G3*(1+G4))</f>
        <v/>
      </c>
      <c r="H5" s="37" t="str">
        <f t="shared" si="0"/>
        <v/>
      </c>
      <c r="I5" s="37">
        <f t="shared" si="0"/>
        <v>1</v>
      </c>
      <c r="J5" s="37" t="str">
        <f>IF(ISBLANK(J3),"",J3/(1+J4))</f>
        <v/>
      </c>
      <c r="K5" s="37" t="str">
        <f t="shared" si="0"/>
        <v/>
      </c>
      <c r="L5" s="37" t="str">
        <f>IF(ISBLANK(L3),"",L3*(1+L4)*(1+Q4))</f>
        <v/>
      </c>
      <c r="M5" s="37" t="str">
        <f>IF(ISBLANK(M3),"",M3*(1+M4)*(1+Q4))</f>
        <v/>
      </c>
      <c r="N5" s="37" t="str">
        <f>IF(ISBLANK(N3),"",N3*(1+N4)*(1+Q4))</f>
        <v/>
      </c>
      <c r="O5" s="159" t="str">
        <f>IF(ISBLANK(O3),"",O3*(1+O4)*(1+Q4))</f>
        <v/>
      </c>
      <c r="P5" s="158" t="str">
        <f>IF(ISBLANK(P4),"",IF(COUNTA(L3:O3)&lt;1,"",Q3*P4*(1+Q4)))</f>
        <v/>
      </c>
      <c r="Q5" s="46" t="str">
        <f>IF(COUNTA(L3:O3)&lt;1,"",IF(A4="melee",SUM(L5:P5),IF(A4="ranged",IF(COUNTA(D3:J3,Q7)&lt;7,"",SUM(L5:P5)*MultShotA))))</f>
        <v/>
      </c>
      <c r="R5" s="55" t="str">
        <f>IF(COUNTA(F3:G3)&lt;2,"",IF(Q5="","",IF(F5&lt;=100,(YCritDamA),IF(F5&lt;=200,(OCritDamA),IF(F5&lt;=300,(RCritDamA),IF(F5&lt;=400,(RCritBA),IF(F5&lt;=500,(RCritCA),IF(F5&lt;=600,(RCritDA),IF(F5&lt;=700,(RCritEA),IF(F5&lt;=800,(RCritFA),IF(F5&lt;=900,(RCritGA),"Unavailable")))))))))))</f>
        <v/>
      </c>
      <c r="S5" s="36" t="str">
        <f>IF(ISBLANK(F3),"",IF(F5&lt;=100,(ROUNDUP(100/F5,0)),IF(F5&lt;=200,(ROUNDUP(100/(F5-100),0)),IF(F5&lt;=300,(ROUNDUP(100/(F5-200),0)),IF(F5&lt;=400,(ROUNDUP(100/(F5-300),0)),IF(F5&lt;=500,(ROUNDUP(100/(F5-400),0)),"Unavailable"))))))</f>
        <v/>
      </c>
      <c r="T5" s="45" t="str">
        <f>IF(COUNTA(F3:G3)&lt;2,"",IF(Q5="","",IF(F5&lt;=100,(AvgYCritDamA),IF(F5&lt;=200,(AvgOCritDamA),IF(F5&lt;=300,(AvgRCritDamA),IF(F5&lt;=400,(((RCritBA*(F5-300))+(RCritDamA*(100-(F5-300))))/100),IF(F5&lt;=500,(((RCritCA*(F5-400))+(RCritBA*(100-(F5-400))))/100),IF(F5&lt;=600,(((RCritDA*(F5-500))+(RCritCA*(100-(F5-500))))/100),IF(F5&lt;=700,(((RCritEA*(F5-600))+(RCritDA*(100-(F5-600))))/100),IF(F5&lt;=800,(((RCritFA*(F5-700))+(RCritEA*(100-(F5-700))))/100),IF(F5&lt;=900,(((RCritGA*(F5-800))+(RCritFA*(100-(F5-800))))/100),"Unavailable")))))))))))</f>
        <v/>
      </c>
      <c r="U5" s="45" t="str">
        <f>IF(T5="","",IF(A4="melee",IF(F5&lt;=100,(AvgYCritDamA*SpeedA),IF(F5&lt;=200,(AvgOCritDamA*SpeedA),IF(F5&lt;=300,(AvgRCritDamA*SpeedA),IF(F5&lt;=400,(((RCritBA*(F5-300))+(RCritDamA*(100-(F5-300))))/100)*SpeedA,IF(F5&lt;=500,(((RCritCA*(F5-400))+(RCritBA*(100-(F5-400))))/100)*SpeedA,IF(F5&lt;=600,(((RCritDA*(F5-500))+(RCritCA*(100-(F5-500))))/100)*SpeedA,IF(F5&lt;=700,(((RCritEA*(F5-600))+(RCritDA*(100-(F5-600))))/100)*SpeedA,IF(F5&lt;=800,(((RCritFA*(F5-700))+(RCritEA*(100-(F5-700))))/100)*SpeedA,IF(F5&lt;=900,(((RCritGA*(F5-800))+(RCritFA*(100-(F5-800))))/100)*SpeedA,"UnavailaAle"))))))))),IF(A4="ranged",IF(F5&lt;=100,(AvgYCritDamA*TimeA),IF(F5&lt;=200,(AvgOCritDamA*TimeA),IF(F5&lt;=300,(AvgRCritDamA*TimeA),IF(F5&lt;=400,(((RCritBA*(F5-300))+(RCritDamA*(100-(F5-300))))/100)*TimeA,IF(F5&lt;=500,(((RCritCA*(F5-400))+(RCritBA*(100-(F5-400))))/100)*TimeA,IF(F5&lt;=600,(((RCritDA*(F5-500))+(RCritCA*(100-(F5-500))))/100)*TimeA,IF(F5&lt;=700,(((RCritEA*(F5-600))+(RCritDA*(100-(F5-600))))/100)*TimeA,IF(F5&lt;=800,(((RCritFA*(F5-700))+(RCritEA*(100-(F5-700))))/100)*TimeA,IF(F5&lt;=900,(((RCritGA*(F5-800))+(RCritFA*(100-(F5-800))))/100)*TimeA,"Unavailable"))))))))))))</f>
        <v/>
      </c>
      <c r="V5" s="133" t="str">
        <f>IF(ISBLANK(F3),"",IF(F5&lt;=100,"Yellow Crit - Level 1",IF(F5&lt;=200,"Orange Crit - Level 2",IF(F5&lt;=300,"Red Crit - Level 3",IF(F5&lt;=400,"Red Crit - Level 4",IF(F5&lt;=500,"Red Crit - Level 5",IF(F5&lt;=600,"Red Crit - Level 6",IF(F5&lt;=700,"Red Crit - Level 7",IF(F5&lt;=800,"Red Crit - Level 8",IF(F5&lt;=900,"Red Crit - Level 9","Unavailable"))))))))))</f>
        <v/>
      </c>
    </row>
    <row r="6" spans="1:22" ht="16" thickBot="1">
      <c r="A6" s="20" t="s">
        <v>49</v>
      </c>
      <c r="R6" s="22"/>
    </row>
    <row r="7" spans="1:22">
      <c r="A7" s="28"/>
      <c r="B7" s="52" t="s">
        <v>66</v>
      </c>
      <c r="C7" s="25" t="s">
        <v>63</v>
      </c>
      <c r="D7" s="145"/>
      <c r="E7" s="145"/>
      <c r="F7" s="145"/>
      <c r="G7" s="145"/>
      <c r="H7" s="145"/>
      <c r="I7" s="145">
        <v>1</v>
      </c>
      <c r="J7" s="145"/>
      <c r="K7" s="146"/>
      <c r="L7" s="145"/>
      <c r="M7" s="145"/>
      <c r="N7" s="145"/>
      <c r="O7" s="145"/>
      <c r="P7" s="147"/>
      <c r="Q7" s="148" t="str">
        <f>IF(SUM(L7:O7)=0,"",SUM(L7:O7))</f>
        <v/>
      </c>
      <c r="R7" s="42"/>
      <c r="S7" s="34"/>
      <c r="T7" s="34"/>
      <c r="U7" s="34"/>
      <c r="V7" s="35"/>
    </row>
    <row r="8" spans="1:22">
      <c r="A8" s="28"/>
      <c r="B8" s="6"/>
      <c r="C8" s="24" t="s">
        <v>64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50"/>
      <c r="P8" s="149"/>
      <c r="Q8" s="149"/>
      <c r="R8" s="41"/>
      <c r="S8" s="32"/>
      <c r="T8" s="32"/>
      <c r="U8" s="32"/>
      <c r="V8" s="33"/>
    </row>
    <row r="9" spans="1:22" ht="16" thickBot="1">
      <c r="A9" s="29"/>
      <c r="B9" s="27"/>
      <c r="C9" s="27" t="s">
        <v>65</v>
      </c>
      <c r="D9" s="229" t="str">
        <f>IF(ISBLANK(D7),"",ROUND((D7/(1+D8)),2))</f>
        <v/>
      </c>
      <c r="E9" s="229" t="str">
        <f t="shared" ref="E9:K9" si="1">IF(ISBLANK(E7),"",E7*(1+E8))</f>
        <v/>
      </c>
      <c r="F9" s="229" t="str">
        <f>IF(ISBLANK(F7),"",F7*(1+F8))</f>
        <v/>
      </c>
      <c r="G9" s="229" t="str">
        <f t="shared" si="1"/>
        <v/>
      </c>
      <c r="H9" s="229" t="str">
        <f t="shared" si="1"/>
        <v/>
      </c>
      <c r="I9" s="229">
        <f t="shared" si="1"/>
        <v>1</v>
      </c>
      <c r="J9" s="229" t="str">
        <f>IF(ISBLANK(J7),"",J7/(1+J8))</f>
        <v/>
      </c>
      <c r="K9" s="229" t="str">
        <f t="shared" si="1"/>
        <v/>
      </c>
      <c r="L9" s="229" t="str">
        <f>IF(ISBLANK(L7),"",L7*(1+L8)*(1+Q8))</f>
        <v/>
      </c>
      <c r="M9" s="229" t="str">
        <f>IF(ISBLANK(M7),"",M7*(1+M8)*(1+Q8))</f>
        <v/>
      </c>
      <c r="N9" s="229" t="str">
        <f>IF(ISBLANK(N7),"",N7*(1+N8)*(1+Q8))</f>
        <v/>
      </c>
      <c r="O9" s="230" t="str">
        <f>IF(ISBLANK(O7),"",O7*(1+O8)*(1+Q8))</f>
        <v/>
      </c>
      <c r="P9" s="231" t="str">
        <f>IF(ISBLANK(P8),"",IF(COUNTA(L7:O7)&lt;1,"",Q7*P8*(1+Q8)))</f>
        <v/>
      </c>
      <c r="Q9" s="151" t="str">
        <f>IF(COUNTA(L7:O7)&lt;1,"",IF(A4="melee",SUM(L9:P9),IF(A4="ranged",IF(COUNTA(D7:J7,Q7)&lt;7,"",SUM(L9:P9)*MultShotB))))</f>
        <v/>
      </c>
      <c r="R9" s="152" t="str">
        <f>IF(COUNTA(F7:G7)&lt;2,"",IF(Q9="","",IF(F9&lt;=100,(YCritDamB),IF(F9&lt;=200,(OCritDamB),IF(F9&lt;=300,(RCritDamB),IF(F9&lt;=400,(RCritBB),IF(F9&lt;=500,(RCritCB),IF(F9&lt;=600,(RCritDB),IF(F9&lt;=700,(RCritEB),IF(F9&lt;=800,(RCritFB),IF(F9&lt;=900,(RCritGB),"Unavailable")))))))))))</f>
        <v/>
      </c>
      <c r="S9" s="153" t="str">
        <f>IF(ISBLANK(F7),"",IF(F9&lt;=100,(ROUNDUP(100/F9,0)),IF(F9&lt;=200,(ROUNDUP(100/(F9-100),0)),IF(F9&lt;=300,(ROUNDUP(100/(F9-200),0)),IF(F9&lt;=400,(ROUNDUP(100/(F9-300),0)),IF(F9&lt;=500,(ROUNDUP(100/(F9-400),0)),"Unavailable"))))))</f>
        <v/>
      </c>
      <c r="T9" s="154" t="str">
        <f>IF(COUNTA(F7:G7)&lt;2,"",IF(Q9="","",IF(F9&lt;=100,(AvgYCritDamB),IF(F9&lt;=200,(AvgOCritDamB),IF(F9&lt;=300,(AvgRCritDamB),IF(F9&lt;=400,(((RCritBB*(F9-300))+(RCritDamB*(100-(F9-300))))/100),IF(F9&lt;=500,(((RCritCB*(F9-400))+(RCritBB*(100-(F9-400))))/100),IF(F9&lt;=600,(((RCritDB*(F9-500))+(RCritCB*(100-(F9-500))))/100),IF(F9&lt;=700,(((RCritEB*(F9-600))+(RCritDB*(100-(F9-600))))/100),IF(F9&lt;=800,(((RCritFB*(F9-700))+(RCritEB*(100-(F9-700))))/100),IF(F9&lt;=900,(((RCritGB*(F9-800))+(RCritFB*(100-(F9-800))))/100),"Unavailable")))))))))))</f>
        <v/>
      </c>
      <c r="U9" s="154" t="str" cm="1">
        <f t="array" ref="U9">IF(T9="","",IF(A4="melee",IF(F9&lt;=100,(AvgYCritDamB*SpeedB),IF(F9&lt;=200,(AvgOCritDamB*SpeedB),IF(F9&lt;=300,(AvgRCritDamB*SpeedB),IF(F9&lt;=400,(((RCritBB*(F9-300))+(RCritDamB*(100-(F9-300))))/100)*SpeedB,IF(F9&lt;=500,(((RCritCB*(F9-400))+(RCritBB*(100-(F9-400))))/100)*SpeedB,IF(F9&lt;=600,(((RCritDB*(F9-500))+(RCritCB*(100-(F9-500))))/100)*SpeedB,IF(F9&lt;=700,(((RCritEB*(F9-600))+(RCritDB*(100-(F9-600))))/100)*SpeedB,IF(F9&lt;=800,(((RCritFB*(F9-700))+(RCritEB*(100-(F9-700))))/100)*SpeedB,IF(F9&lt;=900,(((RCritGB*(F9-800))+(RCritFB*(100-(F9-800))))/100)*SpeedB,"Unavailable"))))))))),IF(A4="ranged",IF(F9&lt;=100,(AvgYCritDamB*TimeB),IF(F9&lt;=200,(AvgOCritDamB*TimeB),IF(F9&lt;=300,(AvgRCritDamB*TimeB),IF(F9&lt;=400,(((RCritBB*(F9-300))+(RCritDamB*(100-(F9-300))))/100)*TimeB,IF(F9&lt;=500,(((RCritCB*(F9-400))+(RCritBB*(100-(F9-400))))/100)*TimeB,IF(F9&lt;=600,(((RCritDB*(F9-500))+(RCritCB*(100-(F9-500))))/100)*TimeB,IF(F9&lt;=700,(((RCritEB*(F9-600))+(RCritDB*(100-(F9-600))))/100)*TimeB,IF(F9&lt;=800,(((RCritFB*(F9-700))+(RCritEB*(100-(F9-700))))/100)*TimeB,IF(F9&lt;=900,(((RCritGB*(F9-800))+(RCritFB*(100-(F9-800))))/100)*TimeB,"Unavailable"))))))))))))</f>
        <v/>
      </c>
      <c r="V9" s="155" t="str">
        <f>IF(ISBLANK(F7),"",IF(F9&lt;=100,"Yellow Crit - Level 1",IF(F9&lt;=200,"Orange Crit - Level 2",IF(F9&lt;=300,"Red Crit - Level 3",IF(F9&lt;=400,"Red Crit - Level 4",IF(F9&lt;=500,"Red Crit - Level 5",IF(F9&lt;=600,"Red Crit - Level 6",IF(F9&lt;=700,"Red Crit - Level 7",IF(F9&lt;=800,"Red Crit - Level 8",IF(F9&lt;=900,"Red Crit - Level 9","Unavailable"))))))))))</f>
        <v/>
      </c>
    </row>
    <row r="10" spans="1:22" ht="16" thickTop="1"/>
    <row r="11" spans="1:22">
      <c r="G11" s="157"/>
      <c r="I11" s="168"/>
      <c r="K11" s="168"/>
      <c r="M11" s="135"/>
      <c r="N11" s="135"/>
    </row>
    <row r="12" spans="1:22" ht="26" customHeight="1">
      <c r="H12" s="17"/>
    </row>
    <row r="13" spans="1:22" ht="21.5" thickBot="1">
      <c r="B13" s="178" t="s">
        <v>50</v>
      </c>
      <c r="C13" s="190"/>
      <c r="D13" s="190"/>
      <c r="E13" s="190"/>
      <c r="F13" s="190"/>
      <c r="G13" s="190"/>
      <c r="H13" s="191"/>
      <c r="I13" s="191"/>
      <c r="J13" s="191"/>
      <c r="K13" s="191"/>
      <c r="N13" s="178" t="s">
        <v>51</v>
      </c>
      <c r="O13" s="179"/>
      <c r="P13" s="179"/>
      <c r="Q13" s="179"/>
      <c r="R13" s="179"/>
      <c r="S13" s="179"/>
      <c r="T13" s="179"/>
      <c r="U13" s="179"/>
      <c r="V13" s="179"/>
    </row>
    <row r="14" spans="1:22" ht="48" thickBot="1">
      <c r="B14" s="192"/>
      <c r="C14" s="193"/>
      <c r="D14" s="175" t="s">
        <v>52</v>
      </c>
      <c r="E14" s="176"/>
      <c r="F14" s="176"/>
      <c r="G14" s="176"/>
      <c r="H14" s="176"/>
      <c r="I14" s="176"/>
      <c r="J14" s="176"/>
      <c r="K14" s="177"/>
      <c r="N14" s="97" t="s">
        <v>53</v>
      </c>
      <c r="O14" s="70" t="s">
        <v>80</v>
      </c>
      <c r="P14" s="70" t="s">
        <v>54</v>
      </c>
      <c r="Q14" s="77" t="s">
        <v>55</v>
      </c>
      <c r="R14" s="91" t="s">
        <v>46</v>
      </c>
      <c r="S14" s="69" t="s">
        <v>80</v>
      </c>
      <c r="T14" s="70" t="s">
        <v>54</v>
      </c>
      <c r="U14" s="77" t="s">
        <v>55</v>
      </c>
      <c r="V14" s="71" t="s">
        <v>46</v>
      </c>
    </row>
    <row r="15" spans="1:22" ht="16.5" thickTop="1" thickBot="1">
      <c r="B15" s="194"/>
      <c r="C15" s="195"/>
      <c r="D15" s="81">
        <v>1</v>
      </c>
      <c r="E15" s="82">
        <v>2</v>
      </c>
      <c r="F15" s="82">
        <v>3</v>
      </c>
      <c r="G15" s="83">
        <v>4</v>
      </c>
      <c r="H15" s="84">
        <v>5</v>
      </c>
      <c r="I15" s="85">
        <v>6</v>
      </c>
      <c r="J15" s="85">
        <v>7</v>
      </c>
      <c r="K15" s="86">
        <v>8</v>
      </c>
      <c r="N15" s="139">
        <v>40</v>
      </c>
      <c r="O15" s="161" t="s">
        <v>79</v>
      </c>
      <c r="P15" s="162" t="str">
        <f>IF(ISBLANK($N$15),"Missing Blood Rush %",IF(COUNTA($E$3:$G$3,$Q$3)&lt;4,"Missing Weapon Stat",$F$3 * (1 + $F$4+ N15/100 * (2 - 1))))</f>
        <v>Missing Weapon Stat</v>
      </c>
      <c r="Q15" s="78" t="str">
        <f>IF(P15&lt;101,(((YCritDamA*(P15))+(DamA*(100-P15)))/100)*$E$5,
IF(P15&lt;201,(((OCritDamA*(P15-100))+(YCritDamA*(100-(P15-100))))/100)*$E$5,
IF(P15&lt;301,(((RCritDamA*(P15-200))+(OCritDamA*(100-(P15-200))))/100)*$E$5,
IF(P15&lt;401,(((RCritBA*(P15-300))+(RCritDamA*(100-(P15-300))))/100)*$E$5,
IF(P15&lt;501,(((RCritCA*(P15-400))+(RCritBA*(100-(P15-400))))/100)*$E$5,
IF(P15&lt;601,(((RCritDA*(P15-500))+(RCritCA*(100-(P15-500))))/100)*$E$5,
IF(P15&lt;701,(((RCritEA*(P15-600))+(RCritDA*(100-(P15-600))))/100)*$E$5,
IF(P15&lt;801,(((RCritFA*(P15-700))+(RCritEA*(100-(P15-700))))/100)*$E$5,
IF(P15&lt;901,(((RCritGA*(P15-800))+(RCritFA*(100-(P15-800))))/100)*$E$5,
"Unavailable")))))))))</f>
        <v>Unavailable</v>
      </c>
      <c r="R15" s="92" t="str">
        <f t="shared" ref="R15:R26" si="2">IF(P15&lt;=100,"Yellow Crit - Level 1",IF(P15&lt;=200,"Orange Crit - Level 2",IF(P15&lt;=300,"Red Crit - Level 3",IF(P15&lt;=400,"Red Crit - Level 4",IF(P15&lt;=500,"Red Crit - Level 5",IF(P15&lt;=600,"Red Crit - Level 6",IF(P15&lt;=700,"Red Crit - Level 7",IF(P15&lt;=800,"Red Crit - Level 8",IF(P15&lt;=900,"Red Crit - Level 9","Unavailable")))))))))</f>
        <v>Unavailable</v>
      </c>
      <c r="S15" s="164" t="s">
        <v>86</v>
      </c>
      <c r="T15" s="162" t="str">
        <f>IF(ISBLANK($N$15),"Missing Blood Rush %",IF(COUNTA($E$3:$G$3,$Q$3)&lt;4,"Missing Weapon Stat",$F$3 * (1 + $F$4 + N15/100 * (8 - 1))))</f>
        <v>Missing Weapon Stat</v>
      </c>
      <c r="U15" s="78" t="str">
        <f>IF(T15&lt;101,(((YCritDamA*(T15))+(DamA*(100-T15)))/100)*$E$5,
IF(T15&lt;201,(((OCritDamA*(T15-100))+(YCritDamA*(100-(T15-100))))/100)*$E$5,
IF(T15&lt;301,(((RCritDamA*(T15-200))+(OCritDamA*(100-(T15-200))))/100)*$E$5,
IF(T15&lt;401,(((RCritBA*(T15-300))+(RCritDamA*(100-(T15-300))))/100)*$E$5,
IF(T15&lt;501,(((RCritCA*(T15-400))+(RCritBA*(100-(T15-400))))/100)*$E$5,
IF(T15&lt;601,(((RCritDA*(T15-500))+(RCritCA*(100-(T15-500))))/100)*$E$5,
IF(T15&lt;701,(((RCritEA*(T15-600))+(RCritDA*(100-(T15-600))))/100)*$E$5,
IF(T15&lt;801,(((RCritFA*(T15-700))+(RCritEA*(100-(T15-700))))/100)*$E$5,
IF(T15&lt;901,(((RCritGA*(T15-800))+(RCritFA*(100-(T15-800))))/100)*$E$5,
"Unavailable")))))))))</f>
        <v>Unavailable</v>
      </c>
      <c r="V15" s="72" t="str">
        <f>IF(T15&lt;=100,"Yellow Crit - Level 1",IF(T15&lt;=200,"Orange Crit - Level 2",IF(T15&lt;=300,"Red Crit - Level 3",IF(T15&lt;=400,"Red Crit - Level 4",IF(T15&lt;=500,"Red Crit - Level 5",IF(T15&lt;=600,"Red Crit - Level 6",IF(T15&lt;=700,"Red Crit - Level 7",IF(T15&lt;=800,"Red Crit - Level 8",IF(T15&lt;=900,"Red Crit - Level 9","Unavailable")))))))))</f>
        <v>Unavailable</v>
      </c>
    </row>
    <row r="16" spans="1:22" ht="16.5" thickTop="1" thickBot="1">
      <c r="B16" s="196" t="s">
        <v>56</v>
      </c>
      <c r="C16" s="197"/>
      <c r="D16" s="47">
        <f t="shared" ref="D16:K16" si="3">(ModBaseDamA*($Q$4+((80*D15)/100+1)))*(1+$P$4)</f>
        <v>0</v>
      </c>
      <c r="E16" s="47">
        <f t="shared" si="3"/>
        <v>0</v>
      </c>
      <c r="F16" s="47">
        <f t="shared" si="3"/>
        <v>0</v>
      </c>
      <c r="G16" s="47">
        <f t="shared" si="3"/>
        <v>0</v>
      </c>
      <c r="H16" s="47">
        <f t="shared" si="3"/>
        <v>0</v>
      </c>
      <c r="I16" s="47">
        <f t="shared" si="3"/>
        <v>0</v>
      </c>
      <c r="J16" s="47">
        <f t="shared" si="3"/>
        <v>0</v>
      </c>
      <c r="K16" s="47">
        <f t="shared" si="3"/>
        <v>0</v>
      </c>
      <c r="N16" s="140">
        <v>40</v>
      </c>
      <c r="O16" s="96"/>
      <c r="P16" s="53" t="str">
        <f>IF(ISBLANK($N$16),"Missing Blood Rush %",IF(COUNTA($E$7:$G$7,$Q$7)&lt;4,"Missing Weapon Stat",$F$7 * (1 + $F$8+N16/100 * (2 - 1))))</f>
        <v>Missing Weapon Stat</v>
      </c>
      <c r="Q16" s="79" t="str">
        <f>IF(P16&lt;101,(((YCritDamB*(P16))+(DamB*(100-P16)))/100)*$E$9,
IF(P16&lt;201,(((OCritDamB*(P16-100))+(YCritDamB*(100-(P16-100))))/100)*$E$9,
IF(P16&lt;301,(((RCritDamB*(P16-200))+(OCritDamB*(100-(P16-200))))/100)*$E$9,
IF(P16&lt;401,(((RCritBB*(P16-300))+(RCritDamB*(100-(P16-300))))/100)*$E$9,
IF(P16&lt;501,(((RCritCB*(P16-400))+(RCritBB*(100-(P16-400))))/100)*$E$9,
IF(P16&lt;601,(((RCritDB*(P16-500))+(RCritCB*(100-(P16-500))))/100)*$E$9,
IF(P16&lt;701,(((RCritEB*(P16-600))+(RCritDB*(100-(P16-600))))/100)*$E$9,
IF(P16&lt;801,(((RCritFB*(P16-700))+(RCritEB*(100-(P16-700))))/100)*$E$9,
IF(P16&lt;901,(((RCritGB*(P16-800))+(RCritFB*(100-(P16-800))))/100)*$E$9,
"Unavailable")))))))))</f>
        <v>Unavailable</v>
      </c>
      <c r="R16" s="165" t="str">
        <f t="shared" si="2"/>
        <v>Unavailable</v>
      </c>
      <c r="S16" s="88"/>
      <c r="T16" s="53" t="str">
        <f>IF(ISBLANK($N$16),"Missing Blood Rush %",IF(COUNTA($E$7:$G$7,$Q$7)&lt;4,"Missing Weapon Stat",$F$7 * (1 + $F$8 + N16/100 * (8 - 1))))</f>
        <v>Missing Weapon Stat</v>
      </c>
      <c r="U16" s="79" t="str">
        <f>IF(T16&lt;101,(((YCritDamB*(T16))+(DamB*(100-T16)))/100)*$E$9,
IF(T16&lt;201,(((OCritDamB*(T16-100))+(YCritDamB*(100-(T16-100))))/100)*$E$9,
IF(T16&lt;301,(((RCritDamB*(T16-200))+(OCritDamB*(100-(T16-200))))/100)*$E$9,
IF(T16&lt;401,(((RCritBB*(T16-300))+(RCritDamB*(100-(T16-300))))/100)*$E$9,
IF(T16&lt;501,(((RCritCB*(T16-400))+(RCritBB*(100-(T16-400))))/100)*$E$9,
IF(T16&lt;601,(((RCritDB*(T16-500))+(RCritCB*(100-(T16-500))))/100)*$E$9,
IF(T16&lt;701,(((RCritEB*(T16-600))+(RCritDB*(100-(T16-600))))/100)*$E$9,
IF(T16&lt;801,(((RCritFB*(T16-700))+(RCritEB*(100-(T16-700))))/100)*$E$9,
IF(T16&lt;901,(((RCritGB*(T16-800))+(RCritFB*(100-(T16-800))))/100)*$E$9,
"Unavailable")))))))))</f>
        <v>Unavailable</v>
      </c>
      <c r="V16" s="167" t="str">
        <f>IF(T16&lt;=100,"Yellow Crit - Level 1",IF(T16&lt;=200,"Orange Crit - Level 2",IF(T16&lt;=300,"Red Crit - Level 3",IF(T16&lt;=400,"Red Crit - Level 4",IF(T16&lt;=500,"Red Crit - Level 5",IF(T16&lt;=600,"Red Crit - Level 6",IF(T16&lt;=700,"Red Crit - Level 7",IF(T16&lt;=800,"Red Crit - Level 8",IF(T16&lt;=900,"Red Crit - Level 9","Unavailable")))))))))</f>
        <v>Unavailable</v>
      </c>
    </row>
    <row r="17" spans="2:23" ht="16" thickTop="1">
      <c r="B17" s="61"/>
      <c r="C17" s="59"/>
      <c r="D17" s="48">
        <f t="shared" ref="D17:K17" si="4">(ModBaseDamB*($Q$8+((80*D15)/100+1)))*(1+$P$8)</f>
        <v>0</v>
      </c>
      <c r="E17" s="48">
        <f t="shared" si="4"/>
        <v>0</v>
      </c>
      <c r="F17" s="48">
        <f t="shared" si="4"/>
        <v>0</v>
      </c>
      <c r="G17" s="48">
        <f t="shared" si="4"/>
        <v>0</v>
      </c>
      <c r="H17" s="48">
        <f t="shared" si="4"/>
        <v>0</v>
      </c>
      <c r="I17" s="48">
        <f t="shared" si="4"/>
        <v>0</v>
      </c>
      <c r="J17" s="48">
        <f t="shared" si="4"/>
        <v>0</v>
      </c>
      <c r="K17" s="48">
        <f t="shared" si="4"/>
        <v>0</v>
      </c>
      <c r="N17" s="185" t="s">
        <v>48</v>
      </c>
      <c r="O17" s="163" t="s">
        <v>81</v>
      </c>
      <c r="P17" s="162" t="str">
        <f>IF(ISBLANK($N$15),"Missing Blood Rush %",IF(COUNTA($E$3:$G$3,$Q$3)&lt;4,"Missing Weapon Stat",$F$3 * (1 + $F$4 + N15/100 * (3 - 1))))</f>
        <v>Missing Weapon Stat</v>
      </c>
      <c r="Q17" s="78" t="str">
        <f>IF(P17&lt;101,(((YCritDamA*(P17))+(DamA*(100-P17)))/100)*$E$5,
IF(P17&lt;201,(((OCritDamA*(P17-100))+(YCritDamA*(100-(P17-100))))/100)*$E$5,
IF(P17&lt;301,(((RCritDamA*(P17-200))+(OCritDamA*(100-(P17-200))))/100)*$E$5,
IF(P17&lt;401,(((RCritBA*(P17-300))+(RCritDamA*(100-(P17-300))))/100)*$E$5,
IF(P17&lt;501,(((RCritCA*(P17-400))+(RCritBA*(100-(P17-400))))/100)*$E$5,
IF(P17&lt;601,(((RCritDA*(P17-500))+(RCritCA*(100-(P17-500))))/100)*$E$5,
IF(P17&lt;701,(((RCritEA*(P17-600))+(RCritDA*(100-(P17-600))))/100)*$E$5,
IF(P17&lt;801,(((RCritFA*(P17-700))+(RCritEA*(100-(P17-700))))/100)*$E$5,
IF(P17&lt;901,(((RCritGA*(P17-800))+(RCritFA*(100-(P17-800))))/100)*$E$5,
"Unavailable")))))))))</f>
        <v>Unavailable</v>
      </c>
      <c r="R17" s="92" t="str">
        <f t="shared" si="2"/>
        <v>Unavailable</v>
      </c>
      <c r="S17" s="164" t="s">
        <v>87</v>
      </c>
      <c r="T17" s="162" t="str">
        <f>IF(ISBLANK($N$15),"Missing Blood Rush %",IF(COUNTA($E$3:$G$3,$Q$3)&lt;4,"Missing Weapon Stat",$F$3 * (1 + $F$4 + N15/100 * (9 - 1))))</f>
        <v>Missing Weapon Stat</v>
      </c>
      <c r="U17" s="78" t="str">
        <f>IF(T17&lt;101,(((YCritDamA*(T17))+(DamA*(100-T17)))/100)*$E$5,
IF(T17&lt;201,(((OCritDamA*(T17-100))+(YCritDamA*(100-(T17-100))))/100)*$E$5,
IF(T17&lt;301,(((RCritDamA*(T17-200))+(OCritDamA*(100-(T17-200))))/100)*$E$5,
IF(T17&lt;401,(((RCritBA*(T17-300))+(RCritDamA*(100-(T17-300))))/100)*$E$5,
IF(T17&lt;501,(((RCritCA*(T17-400))+(RCritBA*(100-(T17-400))))/100)*$E$5,
IF(T17&lt;601,(((RCritDA*(T17-500))+(RCritCA*(100-(T17-500))))/100)*$E$5,
IF(T17&lt;701,(((RCritEA*(T17-600))+(RCritDA*(100-(T17-600))))/100)*$E$5,
IF(T17&lt;801,(((RCritFA*(T17-700))+(RCritEA*(100-(T17-700))))/100)*$E$5,
IF(T17&lt;901,(((RCritGA*(T17-800))+(RCritFA*(100-(T17-800))))/100)*$E$5,
"Unavailable")))))))))</f>
        <v>Unavailable</v>
      </c>
      <c r="V17" s="72" t="str">
        <f t="shared" ref="V17:V19" si="5">IF(T17&lt;=100,"Yellow Crit - Level 1",IF(T17&lt;=200,"Orange Crit - Level 2",IF(T17&lt;=300,"Red Crit - Level 3",IF(T17&lt;=400,"Red Crit - Level 4",IF(T17&lt;=500,"Red Crit - Level 5",IF(T17&lt;=600,"Red Crit - Level 6",IF(T17&lt;=700,"Red Crit - Level 7",IF(T17&lt;=800,"Red Crit - Level 8",IF(T17&lt;=900,"Red Crit - Level 9","Unavailable")))))))))</f>
        <v>Unavailable</v>
      </c>
    </row>
    <row r="18" spans="2:23">
      <c r="B18" s="198" t="s">
        <v>93</v>
      </c>
      <c r="C18" s="199"/>
      <c r="D18" s="49">
        <f t="shared" ref="D18:K18" si="6">IF(StatusA&lt;100,((D16*StatusA)+(DamA*(100-StatusA)))/100,IF(StatusA&gt;=100,D16))</f>
        <v>0</v>
      </c>
      <c r="E18" s="49">
        <f t="shared" si="6"/>
        <v>0</v>
      </c>
      <c r="F18" s="49">
        <f t="shared" si="6"/>
        <v>0</v>
      </c>
      <c r="G18" s="49">
        <f t="shared" si="6"/>
        <v>0</v>
      </c>
      <c r="H18" s="49">
        <f t="shared" si="6"/>
        <v>0</v>
      </c>
      <c r="I18" s="49">
        <f t="shared" si="6"/>
        <v>0</v>
      </c>
      <c r="J18" s="49">
        <f t="shared" si="6"/>
        <v>0</v>
      </c>
      <c r="K18" s="49">
        <f t="shared" si="6"/>
        <v>0</v>
      </c>
      <c r="N18" s="186"/>
      <c r="O18" s="68"/>
      <c r="P18" s="53" t="str">
        <f>IF(ISBLANK($N$16),"Missing Blood Rush %",IF(COUNTA($E$7:$G$7,$Q$7)&lt;4,"Missing Weapon Stat",$F$7 * (1 + $F$8 + N16/100 * (3 - 1))))</f>
        <v>Missing Weapon Stat</v>
      </c>
      <c r="Q18" s="79" t="str">
        <f>IF(P18&lt;101,(((YCritDamB*(P18))+(DamB*(100-P18)))/100)*$E$9,
IF(P18&lt;201,(((OCritDamB*(P18-100))+(YCritDamB*(100-(P18-100))))/100)*$E$9,
IF(P18&lt;301,(((RCritDamB*(P18-200))+(OCritDamB*(100-(P18-200))))/100)*$E$9,
IF(P18&lt;401,(((RCritBB*(P18-300))+(RCritDamB*(100-(P18-300))))/100)*$E$9,
IF(P18&lt;501,(((RCritCB*(P18-400))+(RCritBB*(100-(P18-400))))/100)*$E$9,
IF(P18&lt;601,(((RCritDB*(P18-500))+(RCritCB*(100-(P18-500))))/100)*$E$9,
IF(P18&lt;701,(((RCritEB*(P18-600))+(RCritDB*(100-(P18-600))))/100)*$E$9,
IF(P18&lt;801,(((RCritFB*(P18-700))+(RCritEB*(100-(P18-700))))/100)*$E$9,
IF(P18&lt;901,(((RCritGB*(P18-800))+(RCritFB*(100-(P18-800))))/100)*$E$9,
"Unavailable")))))))))</f>
        <v>Unavailable</v>
      </c>
      <c r="R18" s="165" t="str">
        <f t="shared" si="2"/>
        <v>Unavailable</v>
      </c>
      <c r="S18" s="88"/>
      <c r="T18" s="53" t="str">
        <f>IF(ISBLANK($N$16),"Missing Blood Rush %",IF(COUNTA($E$7:$G$7,$Q$7)&lt;4,"Missing Weapon Stat",$F$7 * (1 + $F$8 + N16/100 * (9 - 1))))</f>
        <v>Missing Weapon Stat</v>
      </c>
      <c r="U18" s="79" t="str">
        <f>IF(T18&lt;101,(((YCritDamB*(T18))+(DamB*(100-T18)))/100)*$E$9,
IF(T18&lt;201,(((OCritDamB*(T18-100))+(YCritDamB*(100-(T18-100))))/100)*$E$9,
IF(T18&lt;301,(((RCritDamB*(T18-200))+(OCritDamB*(100-(T18-200))))/100)*$E$9,
IF(T18&lt;401,(((RCritBB*(T18-300))+(RCritDamB*(100-(T18-300))))/100)*$E$9,
IF(T18&lt;501,(((RCritCB*(T18-400))+(RCritBB*(100-(T18-400))))/100)*$E$9,
IF(T18&lt;601,(((RCritDB*(T18-500))+(RCritCB*(100-(T18-500))))/100)*$E$9,
IF(T18&lt;701,(((RCritEB*(T18-600))+(RCritDB*(100-(T18-600))))/100)*$E$9,
IF(T18&lt;801,(((RCritFB*(T18-700))+(RCritEB*(100-(T18-700))))/100)*$E$9,
IF(T18&lt;901,(((RCritGB*(T18-800))+(RCritFB*(100-(T18-800))))/100)*$E$9,
"Unavailable")))))))))</f>
        <v>Unavailable</v>
      </c>
      <c r="V18" s="167" t="str">
        <f t="shared" si="5"/>
        <v>Unavailable</v>
      </c>
    </row>
    <row r="19" spans="2:23">
      <c r="B19" s="61"/>
      <c r="C19" s="59"/>
      <c r="D19" s="50">
        <f t="shared" ref="D19:K19" si="7">IF(StatusB&lt;100,((D17*StatusB)+(DamB*(100-StatusA)))/100,IF(StatusB&gt;=100,D17))</f>
        <v>0</v>
      </c>
      <c r="E19" s="50">
        <f t="shared" si="7"/>
        <v>0</v>
      </c>
      <c r="F19" s="50">
        <f t="shared" si="7"/>
        <v>0</v>
      </c>
      <c r="G19" s="50">
        <f t="shared" si="7"/>
        <v>0</v>
      </c>
      <c r="H19" s="50">
        <f t="shared" si="7"/>
        <v>0</v>
      </c>
      <c r="I19" s="50">
        <f t="shared" si="7"/>
        <v>0</v>
      </c>
      <c r="J19" s="50">
        <f t="shared" si="7"/>
        <v>0</v>
      </c>
      <c r="K19" s="50">
        <f t="shared" si="7"/>
        <v>0</v>
      </c>
      <c r="N19" s="186"/>
      <c r="O19" s="163" t="s">
        <v>82</v>
      </c>
      <c r="P19" s="162" t="str">
        <f>IF(ISBLANK($N$15),"Missing Blood Rush %",IF(COUNTA($E$3:$G$3,$Q$3)&lt;4,"Missing Weapon Stat",$F$3 * (1 + $F$4 + N15/100 * (4 - 1))))</f>
        <v>Missing Weapon Stat</v>
      </c>
      <c r="Q19" s="78" t="str">
        <f>IF(P19&lt;101,(((YCritDamA*(P19))+(DamA*(100-P19)))/100)*$E$5,
IF(P19&lt;201,(((OCritDamA*(P19-100))+(YCritDamA*(100-(P19-100))))/100)*$E$5,
IF(P19&lt;301,(((RCritDamA*(P19-200))+(OCritDamA*(100-(P19-200))))/100)*$E$5,
IF(P19&lt;401,(((RCritBA*(P19-300))+(RCritDamA*(100-(P19-300))))/100)*$E$5,
IF(P19&lt;501,(((RCritCA*(P19-400))+(RCritBA*(100-(P19-400))))/100)*$E$5,
IF(P19&lt;601,(((RCritDA*(P19-500))+(RCritCA*(100-(P19-500))))/100)*$E$5,
IF(P19&lt;701,(((RCritEA*(P19-600))+(RCritDA*(100-(P19-600))))/100)*$E$5,
IF(P19&lt;801,(((RCritFA*(P19-700))+(RCritEA*(100-(P19-700))))/100)*$E$5,
IF(P19&lt;901,(((RCritGA*(P19-800))+(RCritFA*(100-(P19-800))))/100)*$E$5,
"Unavailable")))))))))</f>
        <v>Unavailable</v>
      </c>
      <c r="R19" s="92" t="str">
        <f t="shared" si="2"/>
        <v>Unavailable</v>
      </c>
      <c r="S19" s="164" t="s">
        <v>88</v>
      </c>
      <c r="T19" s="162" t="str">
        <f>IF(ISBLANK($N$15),"Missing Blood Rush %",IF(COUNTA($E$3:$G$3,$Q$3)&lt;4,"Missing Weapon Stat",$F$3 * (1 + $F$4 + N15/100 * (10 - 1))))</f>
        <v>Missing Weapon Stat</v>
      </c>
      <c r="U19" s="78" t="str">
        <f>IF(T19&lt;101,(((YCritDamA*(T19))+(DamA*(100-T19)))/100)*$E$5,
IF(T19&lt;201,(((OCritDamA*(T19-100))+(YCritDamA*(100-(T19-100))))/100)*$E$5,
IF(T19&lt;301,(((RCritDamA*(T19-200))+(OCritDamA*(100-(T19-200))))/100)*$E$5,
IF(T19&lt;401,(((RCritBA*(T19-300))+(RCritDamA*(100-(T19-300))))/100)*$E$5,
IF(T19&lt;501,(((RCritCA*(T19-400))+(RCritBA*(100-(T19-400))))/100)*$E$5,
IF(T19&lt;601,(((RCritDA*(T19-500))+(RCritCA*(100-(T19-500))))/100)*$E$5,
IF(T19&lt;701,(((RCritEA*(T19-600))+(RCritDA*(100-(T19-600))))/100)*$E$5,
IF(T19&lt;801,(((RCritFA*(T19-700))+(RCritEA*(100-(T19-700))))/100)*$E$5,
IF(T19&lt;901,(((RCritGA*(T19-800))+(RCritFA*(100-(T19-800))))/100)*$E$5,
"Unavailable")))))))))</f>
        <v>Unavailable</v>
      </c>
      <c r="V19" s="72" t="str">
        <f t="shared" si="5"/>
        <v>Unavailable</v>
      </c>
    </row>
    <row r="20" spans="2:23">
      <c r="B20" s="200" t="s">
        <v>94</v>
      </c>
      <c r="C20" s="199"/>
      <c r="D20" s="57" t="str">
        <f t="shared" ref="D20:K20" si="8">IF(CritChanceA&lt;=100,(((D18*CritMultA)*(CritChanceA/100))+(D18*(100-CritChanceA)/100))*SpeedA,
IF(CritChanceA&lt;=200,((D18*(1+(2*(CritMultA-1)))*((CritChanceA-100)/100))+((D18*CritMultA)*(100-(CritChanceA-100))/100))*SpeedA,
IF(CritChanceA&lt;=300,(((D18*(1+(3*(CritMultA-1)))))*((CritChanceA-200)/100)+((D18*(1+(2*(CritMultA-1)))))*((100-(CritChanceA-200))/100))*SpeedA,
IF(CritChanceA&lt;=400,(((D18*(1+(4*(CritMultA-1)))))*((CritChanceA-300)/100)+((D18*(1+(3*(CritMultA-1)))))*((100-(CritChanceA-300))/100))*SpeedA,
IF(CritChanceA&lt;=500,(((D18*(1+(5*(CritMultA-1)))))*((CritChanceA-400)/100)+((D18*(1+(4*(CritMultA-1)))))*((100-(CritChanceA-400))/100))*SpeedA,
IF(CritChanceA&lt;=600,(((D18*(1+(6*(CritMultA-1)))))*((CritChanceA-500)/100)+((D18*(1+(5*(CritMultA-1)))))*((100-(CritChanceA-500))/100))*SpeedA,
IF(CritChanceA&lt;=700,(((D18*(1+(7*(CritMultA-1)))))*((CritChanceA-600)/100)+((D18*(1+(6*(CritMultA-1)))))*((100-(CritChanceA-600))/100))*SpeedA,
IF(CritChanceA&lt;=800,(((D18*(1+(8*(CritMultA-1)))))*((CritChanceA-700)/100)+((D18*(1+(7*(CritMultA-1)))))*((100-(CritChanceA-700))/100))*SpeedA,
IF(CritChanceA&gt;800,"Unavailable")))))))))</f>
        <v>Unavailable</v>
      </c>
      <c r="E20" s="57" t="str">
        <f t="shared" si="8"/>
        <v>Unavailable</v>
      </c>
      <c r="F20" s="57" t="str">
        <f t="shared" si="8"/>
        <v>Unavailable</v>
      </c>
      <c r="G20" s="57" t="str">
        <f t="shared" si="8"/>
        <v>Unavailable</v>
      </c>
      <c r="H20" s="57" t="str">
        <f t="shared" si="8"/>
        <v>Unavailable</v>
      </c>
      <c r="I20" s="57" t="str">
        <f t="shared" si="8"/>
        <v>Unavailable</v>
      </c>
      <c r="J20" s="57" t="str">
        <f t="shared" si="8"/>
        <v>Unavailable</v>
      </c>
      <c r="K20" s="63" t="str">
        <f t="shared" si="8"/>
        <v>Unavailable</v>
      </c>
      <c r="N20" s="186"/>
      <c r="O20" s="68"/>
      <c r="P20" s="53" t="str">
        <f>IF(ISBLANK($N$16),"Missing Blood Rush %",IF(COUNTA($E$7:$G$7,$Q$7)&lt;4,"Missing Weapon Stat",$F$7 * (1 + $F$8 + N16/100 * (4 - 1))))</f>
        <v>Missing Weapon Stat</v>
      </c>
      <c r="Q20" s="79" t="str">
        <f>IF(P20&lt;101,(((YCritDamB*(P20))+(DamB*(100-P20)))/100)*$E$9,
IF(P20&lt;201,(((OCritDamB*(P20-100))+(YCritDamB*(100-(P20-100))))/100)*$E$9,
IF(P20&lt;301,(((RCritDamB*(P20-200))+(OCritDamB*(100-(P20-200))))/100)*$E$9,
IF(P20&lt;401,(((RCritBB*(P20-300))+(RCritDamB*(100-(P20-300))))/100)*$E$9,
IF(P20&lt;501,(((RCritCB*(P20-400))+(RCritBB*(100-(P20-400))))/100)*$E$9,
IF(P20&lt;601,(((RCritDB*(P20-500))+(RCritCB*(100-(P20-500))))/100)*$E$9,
IF(P20&lt;701,(((RCritEB*(P20-600))+(RCritDB*(100-(P20-600))))/100)*$E$9,
IF(P20&lt;801,(((RCritFB*(P20-700))+(RCritEB*(100-(P20-700))))/100)*$E$9,
IF(P20&lt;901,(((RCritGB*(P20-800))+(RCritFB*(100-(P20-800))))/100)*$E$9,
"Unavailable")))))))))</f>
        <v>Unavailable</v>
      </c>
      <c r="R20" s="165" t="str">
        <f t="shared" si="2"/>
        <v>Unavailable</v>
      </c>
      <c r="S20" s="88"/>
      <c r="T20" s="53" t="str">
        <f>IF(ISBLANK($N$16),"Missing Blood Rush %",IF(COUNTA($E$7:$G$7,$Q$7)&lt;4,"Missing Weapon Stat",$F$7 * (1 + $F$8 + N16/100 * (10 - 1))))</f>
        <v>Missing Weapon Stat</v>
      </c>
      <c r="U20" s="79" t="str">
        <f>IF(T20&lt;101,(((YCritDamB*(T20))+(DamB*(100-T20)))/100)*$E$9,
IF(T20&lt;201,(((OCritDamB*(T20-100))+(YCritDamB*(100-(T20-100))))/100)*$E$9,
IF(T20&lt;301,(((RCritDamB*(T20-200))+(OCritDamB*(100-(T20-200))))/100)*$E$9,
IF(T20&lt;401,(((RCritBB*(T20-300))+(RCritDamB*(100-(T20-300))))/100)*$E$9,
IF(T20&lt;501,(((RCritCB*(T20-400))+(RCritBB*(100-(T20-400))))/100)*$E$9,
IF(T20&lt;601,(((RCritDB*(T20-500))+(RCritCB*(100-(T20-500))))/100)*$E$9,
IF(T20&lt;701,(((RCritEB*(T20-600))+(RCritDB*(100-(T20-600))))/100)*$E$9,
IF(T20&lt;801,(((RCritFB*(T20-700))+(RCritEB*(100-(T20-700))))/100)*$E$9,
IF(T20&lt;901,(((RCritGB*(T20-800))+(RCritFB*(100-(T20-800))))/100)*$E$9,
"Unavailable")))))))))</f>
        <v>Unavailable</v>
      </c>
      <c r="V20" s="167" t="str">
        <f>IF(T20&lt;=100,"Yellow Crit - Level 1",IF(T20&lt;=200,"Orange Crit - Level 2",IF(T20&lt;=300,"Red Crit - Level 3",IF(T20&lt;=400,"Red Crit - Level 4",IF(T20&lt;=500,"Red Crit - Level 5",IF(T20&lt;=600,"Red Crit - Level 6",IF(T20&lt;=700,"Red Crit - Level 7",IF(T20&lt;=800,"Red Crit - Level 8",IF(T20&lt;=900,"Red Crit - Level 9","Unavailable")))))))))</f>
        <v>Unavailable</v>
      </c>
    </row>
    <row r="21" spans="2:23" ht="16" thickBot="1">
      <c r="B21" s="64"/>
      <c r="C21" s="65"/>
      <c r="D21" s="66" t="str">
        <f t="shared" ref="D21:K21" si="9">IF(CritChanceB&lt;=100,(((D19*CritMultB)*(CritChanceB/100))+(D19*(100-CritChanceB)/100))*SpeedB,
IF(CritChanceB&lt;=200,((D19*(1+(2*(CritMultB-1)))*((CritChanceB-100)/100))+((D19*CritMultB)*(100-(CritChanceB-100))/100))*SpeedB,
IF(CritChanceB&lt;=300,(((D19*(1+(3*(CritMultB-1)))))*((CritChanceB-200)/100)+((D19*(1+(2*(CritMultB-1)))))*((100-(CritChanceB-200))/100))*SpeedB,
IF(CritChanceB&lt;=400,(((D19*(1+(4*(CritMultB-1)))))*((CritChanceB-300)/100)+((D19*(1+(3*(CritMultB-1)))))*((100-(CritChanceB-300))/100))*SpeedB,
IF(CritChanceB&lt;=500,(((D19*(1+(5*(CritMultB-1)))))*((CritChanceB-400)/100)+((D19*(1+(4*(CritMultB-1)))))*((100-(CritChanceB-400))/100))*SpeedB,
IF(CritChanceB&lt;=600,(((D19*(1+(6*(CritMultB-1)))))*((CritChanceB-500)/100)+((D19*(1+(5*(CritMultB-1)))))*((100-(CritChanceB-500))/100))*SpeedB,
IF(CritChanceB&lt;=700,(((D19*(1+(7*(CritMultB-1)))))*((CritChanceB-600)/100)+((D19*(1+(6*(CritMultB-1)))))*((100-(CritChanceB-600))/100))*SpeedB,
IF(CritChanceB&lt;=800,(((D19*(1+(8*(CritMultB-1)))))*((CritChanceB-700)/100)+((D19*(1+(7*(CritMultB-1)))))*((100-(CritChanceB-700))/100))*SpeedB,
IF(CritChanceB&gt;800,"Unavailable")))))))))</f>
        <v>Unavailable</v>
      </c>
      <c r="E21" s="66" t="str">
        <f t="shared" si="9"/>
        <v>Unavailable</v>
      </c>
      <c r="F21" s="66" t="str">
        <f t="shared" si="9"/>
        <v>Unavailable</v>
      </c>
      <c r="G21" s="66" t="str">
        <f t="shared" si="9"/>
        <v>Unavailable</v>
      </c>
      <c r="H21" s="66" t="str">
        <f t="shared" si="9"/>
        <v>Unavailable</v>
      </c>
      <c r="I21" s="66" t="str">
        <f t="shared" si="9"/>
        <v>Unavailable</v>
      </c>
      <c r="J21" s="66" t="str">
        <f t="shared" si="9"/>
        <v>Unavailable</v>
      </c>
      <c r="K21" s="67" t="str">
        <f t="shared" si="9"/>
        <v>Unavailable</v>
      </c>
      <c r="N21" s="186"/>
      <c r="O21" s="163" t="s">
        <v>83</v>
      </c>
      <c r="P21" s="162" t="str">
        <f>IF(ISBLANK($N$15),"Missing Blood Rush %",IF(COUNTA($E$3:$G$3,$Q$3)&lt;4,"Missing Weapon Stat",$F$3 * (1 + $F$4 + N15/100 * (5 - 1))))</f>
        <v>Missing Weapon Stat</v>
      </c>
      <c r="Q21" s="78" t="str">
        <f>IF(P21&lt;101,(((YCritDamA*(P21))+(DamA*(100-P21)))/100)*$E$5,
IF(P21&lt;201,(((OCritDamA*(P21-100))+(YCritDamA*(100-(P21-100))))/100)*$E$5,
IF(P21&lt;301,(((RCritDamA*(P21-200))+(OCritDamA*(100-(P21-200))))/100)*$E$5,
IF(P21&lt;401,(((RCritBA*(P21-300))+(RCritDamA*(100-(P21-300))))/100)*$E$5,
IF(P21&lt;501,(((RCritCA*(P21-400))+(RCritBA*(100-(P21-400))))/100)*$E$5,
IF(P21&lt;601,(((RCritDA*(P21-500))+(RCritCA*(100-(P21-500))))/100)*$E$5,
IF(P21&lt;701,(((RCritEA*(P21-600))+(RCritDA*(100-(P21-600))))/100)*$E$5,
IF(P21&lt;801,(((RCritFA*(P21-700))+(RCritEA*(100-(P21-700))))/100)*$E$5,
IF(P21&lt;901,(((RCritGA*(P21-800))+(RCritFA*(100-(P21-800))))/100)*$E$5,
"Unavailable")))))))))</f>
        <v>Unavailable</v>
      </c>
      <c r="R21" s="92" t="str">
        <f t="shared" si="2"/>
        <v>Unavailable</v>
      </c>
      <c r="S21" s="164" t="s">
        <v>89</v>
      </c>
      <c r="T21" s="162" t="str">
        <f>IF(ISBLANK($N$15),"Missing Blood Rush %",IF(COUNTA($E$3:$G$3,$Q$3)&lt;4,"Missing Weapon Stat",$F$3 * (1 + $F$4 + N15/100 * (11 - 1))))</f>
        <v>Missing Weapon Stat</v>
      </c>
      <c r="U21" s="78" t="str">
        <f>IF(T21&lt;101,(((YCritDamA*(T21))+(DamA*(100-T21)))/100)*$E$5,
IF(T21&lt;201,(((OCritDamA*(T21-100))+(YCritDamA*(100-(T21-100))))/100)*$E$5,
IF(T21&lt;301,(((RCritDamA*(T21-200))+(OCritDamA*(100-(T21-200))))/100)*$E$5,
IF(T21&lt;401,(((RCritBA*(T21-300))+(RCritDamA*(100-(T21-300))))/100)*$E$5,
IF(T21&lt;501,(((RCritCA*(T21-400))+(RCritBA*(100-(T21-400))))/100)*$E$5,
IF(T21&lt;601,(((RCritDA*(T21-500))+(RCritCA*(100-(T21-500))))/100)*$E$5,
IF(T21&lt;701,(((RCritEA*(T21-600))+(RCritDA*(100-(T21-600))))/100)*$E$5,
IF(T21&lt;801,(((RCritFA*(T21-700))+(RCritEA*(100-(T21-700))))/100)*$E$5,
IF(T21&lt;901,(((RCritGA*(T21-800))+(RCritFA*(100-(T21-800))))/100)*$E$5,
"Unavailable")))))))))</f>
        <v>Unavailable</v>
      </c>
      <c r="V21" s="72" t="str">
        <f>IF(T21&lt;=100,"Yellow Crit - Level 1",IF(T21&lt;=200,"Orange Crit - Level 2",IF(T21&lt;=300,"Red Crit - Level 3",IF(T21&lt;=400,"Red Crit - Level 4",IF(T21&lt;=500,"Red Crit - Level 5",IF(T21&lt;=600,"Red Crit - Level 6",IF(T21&lt;=700,"Red Crit - Level 7",IF(T21&lt;=800,"Red Crit - Level 8",IF(T21&lt;=900,"Red Crit - Level 9","Unavailable")))))))))</f>
        <v>Unavailable</v>
      </c>
    </row>
    <row r="22" spans="2:23">
      <c r="N22" s="186"/>
      <c r="O22" s="68"/>
      <c r="P22" s="53" t="str">
        <f>IF(ISBLANK($N$16),"Missing Blood Rush %",IF(COUNTA($E$7:$G$7,$Q$7)&lt;4,"Missing Weapon Stat",$F$7 * (1 + $F$8 + N16/100 * (5 - 1))))</f>
        <v>Missing Weapon Stat</v>
      </c>
      <c r="Q22" s="79" t="str">
        <f>IF(P22&lt;101,(((YCritDamB*(P22))+(DamB*(100-P22)))/100)*$E$9,
IF(P22&lt;201,(((OCritDamB*(P22-100))+(YCritDamB*(100-(P22-100))))/100)*$E$9,
IF(P22&lt;301,(((RCritDamB*(P22-200))+(OCritDamB*(100-(P22-200))))/100)*$E$9,
IF(P22&lt;401,(((RCritBB*(P22-300))+(RCritDamB*(100-(P22-300))))/100)*$E$9,
IF(P22&lt;501,(((RCritCB*(P22-400))+(RCritBB*(100-(P22-400))))/100)*$E$9,
IF(P22&lt;601,(((RCritDB*(P22-500))+(RCritCB*(100-(P22-500))))/100)*$E$9,
IF(P22&lt;701,(((RCritEB*(P22-600))+(RCritDB*(100-(P22-600))))/100)*$E$9,
IF(P22&lt;801,(((RCritFB*(P22-700))+(RCritEB*(100-(P22-700))))/100)*$E$9,
IF(P22&lt;901,(((RCritGB*(P22-800))+(RCritFB*(100-(P22-800))))/100)*$E$9,
"Unavailable")))))))))</f>
        <v>Unavailable</v>
      </c>
      <c r="R22" s="165" t="str">
        <f t="shared" si="2"/>
        <v>Unavailable</v>
      </c>
      <c r="S22" s="88"/>
      <c r="T22" s="53" t="str">
        <f>IF(ISBLANK($N$16),"Missing Blood Rush %",IF(COUNTA($E$7:$G$7,$Q$7)&lt;4,"Missing Weapon Stat",$F$7 * (1 + $F$8 + N16/100 * (11 - 1))))</f>
        <v>Missing Weapon Stat</v>
      </c>
      <c r="U22" s="79" t="str">
        <f>IF(T22&lt;101,(((YCritDamB*(T22))+(DamB*(100-T22)))/100)*$E$9,
IF(T22&lt;201,(((OCritDamB*(T22-100))+(YCritDamB*(100-(T22-100))))/100)*$E$9,
IF(T22&lt;301,(((RCritDamB*(T22-200))+(OCritDamB*(100-(T22-200))))/100)*$E$9,
IF(T22&lt;401,(((RCritBB*(T22-300))+(RCritDamB*(100-(T22-300))))/100)*$E$9,
IF(T22&lt;501,(((RCritCB*(T22-400))+(RCritBB*(100-(T22-400))))/100)*$E$9,
IF(T22&lt;601,(((RCritDB*(T22-500))+(RCritCB*(100-(T22-500))))/100)*$E$9,
IF(T22&lt;701,(((RCritEB*(T22-600))+(RCritDB*(100-(T22-600))))/100)*$E$9,
IF(T22&lt;801,(((RCritFB*(T22-700))+(RCritEB*(100-(T22-700))))/100)*$E$9,
IF(T22&lt;901,(((RCritGB*(T22-800))+(RCritFB*(100-(T22-800))))/100)*$E$9,
"Unavailable")))))))))</f>
        <v>Unavailable</v>
      </c>
      <c r="V22" s="167" t="str">
        <f>IF(T22&lt;=100,"Yellow Crit - Level 1",IF(T22&lt;=200,"Orange Crit - Level 2",IF(T22&lt;=300,"Red Crit - Level 3",IF(T22&lt;=400,"Red Crit - Level 4",IF(T22&lt;=500,"Red Crit - Level 5",IF(T22&lt;=600,"Red Crit - Level 6",IF(T22&lt;=700,"Red Crit - Level 7",IF(T22&lt;=800,"Red Crit - Level 8",IF(T22&lt;=900,"Red Crit - Level 9","Unavailable")))))))))</f>
        <v>Unavailable</v>
      </c>
    </row>
    <row r="23" spans="2:23">
      <c r="N23" s="186"/>
      <c r="O23" s="163" t="s">
        <v>84</v>
      </c>
      <c r="P23" s="162" t="str">
        <f>IF(ISBLANK($N$15),"Missing Blood Rush %",IF(COUNTA($E$3:$G$3,$Q$3)&lt;4,"Missing Weapon Stat",$F$3 * (1 + $F$4 + N15/100 * (6 - 1))))</f>
        <v>Missing Weapon Stat</v>
      </c>
      <c r="Q23" s="78" t="str">
        <f>IF(P23&lt;101,(((YCritDamA*(P23))+(DamA*(100-P23)))/100)*$E$5,
IF(P23&lt;201,(((OCritDamA*(P23-100))+(YCritDamA*(100-(P23-100))))/100)*$E$5,
IF(P23&lt;301,(((RCritDamA*(P23-200))+(OCritDamA*(100-(P23-200))))/100)*$E$5,
IF(P23&lt;401,(((RCritBA*(P23-300))+(RCritDamA*(100-(P23-300))))/100)*$E$5,
IF(P23&lt;501,(((RCritCA*(P23-400))+(RCritBA*(100-(P23-400))))/100)*$E$5,
IF(P23&lt;601,(((RCritDA*(P23-500))+(RCritCA*(100-(P23-500))))/100)*$E$5,
IF(P23&lt;701,(((RCritEA*(P23-600))+(RCritDA*(100-(P23-600))))/100)*$E$5,
IF(P23&lt;801,(((RCritFA*(P23-700))+(RCritEA*(100-(P23-700))))/100)*$E$5,
IF(P23&lt;901,(((RCritGA*(P23-800))+(RCritFA*(100-(P23-800))))/100)*$E$5,
"Unavailable")))))))))</f>
        <v>Unavailable</v>
      </c>
      <c r="R23" s="92" t="str">
        <f t="shared" si="2"/>
        <v>Unavailable</v>
      </c>
      <c r="S23" s="164" t="s">
        <v>90</v>
      </c>
      <c r="T23" s="162" t="str">
        <f>IF(ISBLANK($N$15),"Missing Blood Rush %",IF(COUNTA($E$3:$G$3,$Q$3)&lt;4,"Missing Weapon Stat",$F$3 * (1 + $F$4 + N15/100 * (12 - 1))))</f>
        <v>Missing Weapon Stat</v>
      </c>
      <c r="U23" s="78" t="str">
        <f>IF(T23&lt;101,(((YCritDamA*(T23))+(DamA*(100-T23)))/100)*$E$5,
IF(T23&lt;201,(((OCritDamA*(T23-100))+(YCritDamA*(100-(T23-100))))/100)*$E$5,
IF(T23&lt;301,(((RCritDamA*(T23-200))+(OCritDamA*(100-(T23-200))))/100)*$E$5,
IF(T23&lt;401,(((RCritBA*(T23-300))+(RCritDamA*(100-(T23-300))))/100)*$E$5,
IF(T23&lt;501,(((RCritCA*(T23-400))+(RCritBA*(100-(T23-400))))/100)*$E$5,
IF(T23&lt;601,(((RCritDA*(T23-500))+(RCritCA*(100-(T23-500))))/100)*$E$5,
IF(T23&lt;701,(((RCritEA*(T23-600))+(RCritDA*(100-(T23-600))))/100)*$E$5,
IF(T23&lt;801,(((RCritFA*(T23-700))+(RCritEA*(100-(T23-700))))/100)*$E$5,
IF(T23&lt;901,(((RCritGA*(T23-800))+(RCritFA*(100-(T23-800))))/100)*$E$5,
"Unavailable")))))))))</f>
        <v>Unavailable</v>
      </c>
      <c r="V23" s="72" t="str">
        <f t="shared" ref="V23:V24" si="10">IF(T23&lt;=100,"Yellow Crit - Level 1",IF(T23&lt;=200,"Orange Crit - Level 2",IF(T23&lt;=300,"Red Crit - Level 3",IF(T23&lt;=400,"Red Crit - Level 4",IF(T23&lt;=500,"Red Crit - Level 5",IF(T23&lt;=600,"Red Crit - Level 6",IF(T23&lt;=700,"Red Crit - Level 7",IF(T23&lt;=800,"Red Crit - Level 8",IF(T23&lt;=900,"Red Crit - Level 9","Unavailable")))))))))</f>
        <v>Unavailable</v>
      </c>
    </row>
    <row r="24" spans="2:23">
      <c r="N24" s="186"/>
      <c r="O24" s="68"/>
      <c r="P24" s="53" t="str">
        <f>IF(ISBLANK($N$16),"Missing Blood Rush %",IF(COUNTA($E$7:$G$7,$Q$7)&lt;4,"Missing Weapon Stat",$F$7 * (1 + $F$8 + N16/100 * (6 - 1))))</f>
        <v>Missing Weapon Stat</v>
      </c>
      <c r="Q24" s="79" t="str">
        <f>IF(P24&lt;101,(((YCritDamB*(P24))+(DamB*(100-P24)))/100)*$E$9,
IF(P24&lt;201,(((OCritDamB*(P24-100))+(YCritDamB*(100-(P24-100))))/100)*$E$9,
IF(P24&lt;301,(((RCritDamB*(P24-200))+(OCritDamB*(100-(P24-200))))/100)*$E$9,
IF(P24&lt;401,(((RCritBB*(P24-300))+(RCritDamB*(100-(P24-300))))/100)*$E$9,
IF(P24&lt;501,(((RCritCB*(P24-400))+(RCritBB*(100-(P24-400))))/100)*$E$9,
IF(P24&lt;601,(((RCritDB*(P24-500))+(RCritCB*(100-(P24-500))))/100)*$E$9,
IF(P24&lt;701,(((RCritEB*(P24-600))+(RCritDB*(100-(P24-600))))/100)*$E$9,
IF(P24&lt;801,(((RCritFB*(P24-700))+(RCritEB*(100-(P24-700))))/100)*$E$9,
IF(P24&lt;901,(((RCritGB*(P24-800))+(RCritFB*(100-(P24-800))))/100)*$E$9,
"Unavailable")))))))))</f>
        <v>Unavailable</v>
      </c>
      <c r="R24" s="165" t="str">
        <f t="shared" si="2"/>
        <v>Unavailable</v>
      </c>
      <c r="S24" s="88"/>
      <c r="T24" s="53" t="str">
        <f>IF(ISBLANK($N$16),"Missing Blood Rush %",IF(COUNTA($E$7:$G$7,$Q$7)&lt;4,"Missing Weapon Stat",$F$7 * (1 + $F$8 + N16/100 * (12 - 1))))</f>
        <v>Missing Weapon Stat</v>
      </c>
      <c r="U24" s="79" t="str">
        <f>IF(T24&lt;101,(((YCritDamB*(T24))+(DamB*(100-T24)))/100)*$E$9,
IF(T24&lt;201,(((OCritDamB*(T24-100))+(YCritDamB*(100-(T24-100))))/100)*$E$9,
IF(T24&lt;301,(((RCritDamB*(T24-200))+(OCritDamB*(100-(T24-200))))/100)*$E$9,
IF(T24&lt;401,(((RCritBB*(T24-300))+(RCritDamB*(100-(T24-300))))/100)*$E$9,
IF(T24&lt;501,(((RCritCB*(T24-400))+(RCritBB*(100-(T24-400))))/100)*$E$9,
IF(T24&lt;601,(((RCritDB*(T24-500))+(RCritCB*(100-(T24-500))))/100)*$E$9,
IF(T24&lt;701,(((RCritEB*(T24-600))+(RCritDB*(100-(T24-600))))/100)*$E$9,
IF(T24&lt;801,(((RCritFB*(T24-700))+(RCritEB*(100-(T24-700))))/100)*$E$9,
IF(T24&lt;901,(((RCritGB*(T24-800))+(RCritFB*(100-(T24-800))))/100)*$E$9,
"Unavailable")))))))))</f>
        <v>Unavailable</v>
      </c>
      <c r="V24" s="167" t="str">
        <f t="shared" si="10"/>
        <v>Unavailable</v>
      </c>
    </row>
    <row r="25" spans="2:23" ht="21.5" thickBot="1">
      <c r="B25" s="183" t="s">
        <v>95</v>
      </c>
      <c r="C25" s="184"/>
      <c r="D25" s="184"/>
      <c r="E25" s="184"/>
      <c r="F25" s="184"/>
      <c r="G25" s="184"/>
      <c r="H25" s="184"/>
      <c r="I25" s="184"/>
      <c r="J25" s="184"/>
      <c r="N25" s="186"/>
      <c r="O25" s="163" t="s">
        <v>85</v>
      </c>
      <c r="P25" s="162" t="str">
        <f>IF(ISBLANK($N$15),"Missing Blood Rush %",IF(COUNTA($E$3:$G$3,$Q$3)&lt;4,"Missing Weapon Stat",$F$3 * (1 + $F$4 + N15/100 * (7 - 1))))</f>
        <v>Missing Weapon Stat</v>
      </c>
      <c r="Q25" s="78" t="str">
        <f>IF(P25&lt;101,(((YCritDamA*(P25))+(DamA*(100-P25)))/100)*$E$5,
IF(P25&lt;201,(((OCritDamA*(P25-100))+(YCritDamA*(100-(P25-100))))/100)*$E$5,
IF(P25&lt;301,(((RCritDamA*(P25-200))+(OCritDamA*(100-(P25-200))))/100)*$E$5,
IF(P25&lt;401,(((RCritBA*(P25-300))+(RCritDamA*(100-(P25-300))))/100)*$E$5,
IF(P25&lt;501,(((RCritCA*(P25-400))+(RCritBA*(100-(P25-400))))/100)*$E$5,
IF(P25&lt;601,(((RCritDA*(P25-500))+(RCritCA*(100-(P25-500))))/100)*$E$5,
IF(P25&lt;701,(((RCritEA*(P25-600))+(RCritDA*(100-(P25-600))))/100)*$E$5,
IF(P25&lt;801,(((RCritFA*(P25-700))+(RCritEA*(100-(P25-700))))/100)*$E$5,
IF(P25&lt;901,(((RCritGA*(P25-800))+(RCritFA*(100-(P25-800))))/100)*$E$5,
"Unavailable")))))))))</f>
        <v>Unavailable</v>
      </c>
      <c r="R25" s="92" t="str">
        <f t="shared" si="2"/>
        <v>Unavailable</v>
      </c>
      <c r="S25" s="93"/>
      <c r="T25" s="54"/>
      <c r="U25" s="78"/>
      <c r="V25" s="73"/>
    </row>
    <row r="26" spans="2:23" ht="19" thickBot="1">
      <c r="B26" s="201" t="s">
        <v>80</v>
      </c>
      <c r="C26" s="180" t="s">
        <v>52</v>
      </c>
      <c r="D26" s="181"/>
      <c r="E26" s="181"/>
      <c r="F26" s="181"/>
      <c r="G26" s="181"/>
      <c r="H26" s="181"/>
      <c r="I26" s="181"/>
      <c r="J26" s="182"/>
      <c r="N26" s="187"/>
      <c r="O26" s="74"/>
      <c r="P26" s="75" t="str">
        <f>IF(ISBLANK($N$16),"Missing Blood Rush %",IF(COUNTA($E$7:$G$7,$Q$7)&lt;4,"Missing Weapon Stat",$F$7 * (1 + $F$8 + N16/100 * (7 - 1))))</f>
        <v>Missing Weapon Stat</v>
      </c>
      <c r="Q26" s="80" t="str">
        <f>IF(P26&lt;101,(((YCritDamB*(P26))+(DamB*(100-P26)))/100)*$E$9,
IF(P26&lt;201,(((OCritDamB*(P26-100))+(YCritDamB*(100-(P26-100))))/100)*$E$9,
IF(P26&lt;301,(((RCritDamB*(P26-200))+(OCritDamB*(100-(P26-200))))/100)*$E$9,
IF(P26&lt;401,(((RCritBB*(P26-300))+(RCritDamB*(100-(P26-300))))/100)*$E$9,
IF(P26&lt;501,(((RCritCB*(P26-400))+(RCritBB*(100-(P26-400))))/100)*$E$9,
IF(P26&lt;601,(((RCritDB*(P26-500))+(RCritCB*(100-(P26-500))))/100)*$E$9,
IF(P26&lt;701,(((RCritEB*(P26-600))+(RCritDB*(100-(P26-600))))/100)*$E$9,
IF(P26&lt;801,(((RCritFB*(P26-700))+(RCritEB*(100-(P26-700))))/100)*$E$9,
IF(P26&lt;901,(((RCritGB*(P26-800))+(RCritFB*(100-(P26-800))))/100)*$E$9,
"Unavailable")))))))))</f>
        <v>Unavailable</v>
      </c>
      <c r="R26" s="166" t="str">
        <f t="shared" si="2"/>
        <v>Unavailable</v>
      </c>
      <c r="S26" s="94"/>
      <c r="T26" s="75"/>
      <c r="U26" s="80"/>
      <c r="V26" s="76"/>
    </row>
    <row r="27" spans="2:23">
      <c r="B27" s="202"/>
      <c r="C27" s="81">
        <v>1</v>
      </c>
      <c r="D27" s="82">
        <v>2</v>
      </c>
      <c r="E27" s="82">
        <v>3</v>
      </c>
      <c r="F27" s="83">
        <v>4</v>
      </c>
      <c r="G27" s="84">
        <v>5</v>
      </c>
      <c r="H27" s="85">
        <v>6</v>
      </c>
      <c r="I27" s="85">
        <v>7</v>
      </c>
      <c r="J27" s="86">
        <v>8</v>
      </c>
    </row>
    <row r="28" spans="2:23">
      <c r="B28" s="87" t="s">
        <v>79</v>
      </c>
      <c r="C28" s="47" t="str">
        <f>IF($P15&lt;=100,(((D$18*CritMultA)*($P15/100))+(D$18*(100-$P15)/100))*SpeedA,
IF($P15&lt;=200,((D$18*(1+(2*(CritMultA-1)))*(($P15-100)/100))+((D$18*CritMultA)*(100-($P15-100))/100))*SpeedA,
IF($P15&lt;=300,(((D$18*(1+(3*(CritMultA-1)))))*(($P15-200)/100)+((D$18*(1+(2*(CritMultA-1)))))*((100-($P15-200))/100))*SpeedA,
IF($P15&lt;=400,(((D$18*(1+(4*(CritMultA-1)))))*(($P15-300)/100)+((D$18*(1+(3*(CritMultA-1)))))*((100-($P15-300))/100))*SpeedA,
IF($P15&lt;=500,(((D$18*(1+(5*(CritMultA-1)))))*(($P15-400)/100)+((D$18*(1+(4*(CritMultA-1)))))*((100-($P15-400))/100))*SpeedA,
IF($P15&lt;=600,(((D$18*(1+(6*(CritMultA-1)))))*(($P15-500)/100)+((D$18*(1+(5*(CritMultA-1)))))*((100-($P15-500))/100))*SpeedA,
IF($P15&lt;=700,(((D$18*(1+(7*(CritMultA-1)))))*(($P15-600)/100)+((D$18*(1+(6*(CritMultA-1)))))*((100-($P15-600))/100))*SpeedA,
IF($P15&lt;=800,(((D$18*(1+(8*(CritMultA-1)))))*(($P15-700)/100)+((D$18*(1+(7*(CritMultA-1)))))*((100-($P15-700))/100))*SpeedA,
IF($P15&gt;800,"Unavailable")))))))))</f>
        <v>Unavailable</v>
      </c>
      <c r="D28" s="47" t="str">
        <f>IF($P15&lt;=100,((($E$18*CritMultA)*($P15/100))+($E$18*(100-$P15)/100))*SpeedA,
IF($P15&lt;=200,(($E$18*(1+(2*(CritMultA-1)))*(($P15-100)/100))+(($E$18*CritMultA)*(100-($P15-100))/100))*SpeedA,
IF($P15&lt;=300,((($E$18*(1+(3*(CritMultA-1)))))*(($P15-200)/100)+(($E$18*(1+(2*(CritMultA-1)))))*((100-($P15-200))/100))*SpeedA,
IF($P15&lt;=400,((($E$18*(1+(4*(CritMultA-1)))))*(($P15-300)/100)+(($E$18*(1+(3*(CritMultA-1)))))*((100-($P15-300))/100))*SpeedA,
IF($P15&lt;=500,((($E$18*(1+(5*(CritMultA-1)))))*(($P15-400)/100)+(($E$18*(1+(4*(CritMultA-1)))))*((100-($P15-400))/100))*SpeedA,
IF($P15&lt;=600,((($E$18*(1+(6*(CritMultA-1)))))*(($P15-500)/100)+(($E$18*(1+(5*(CritMultA-1)))))*((100-($P15-500))/100))*SpeedA,
IF($P15&lt;=700,((($E$18*(1+(7*(CritMultA-1)))))*(($P15-600)/100)+(($E$18*(1+(6*(CritMultA-1)))))*((100-($P15-600))/100))*SpeedA,
IF($P15&lt;=800,((($E$18*(1+(8*(CritMultA-1)))))*(($P15-700)/100)+(($E$18*(1+(7*(CritMultA-1)))))*((100-($P15-700))/100))*SpeedA,
IF($P15&gt;800,"Unavailable")))))))))</f>
        <v>Unavailable</v>
      </c>
      <c r="E28" s="47" t="str">
        <f t="shared" ref="E28:J28" si="11">IF($P15&lt;=100,(((F$18*CritMultA)*($P15/100))+(F$18*(100-$P15)/100))*SpeedA,
IF($P15&lt;=200,((F$18*(1+(2*(CritMultA-1)))*(($P15-100)/100))+((F$18*CritMultA)*(100-($P15-100))/100))*SpeedA,
IF($P15&lt;=300,(((F$18*(1+(3*(CritMultA-1)))))*(($P15-200)/100)+((F$18*(1+(2*(CritMultA-1)))))*((100-($P15-200))/100))*SpeedA,
IF($P15&lt;=400,(((F$18*(1+(4*(CritMultA-1)))))*(($P15-300)/100)+((F$18*(1+(3*(CritMultA-1)))))*((100-($P15-300))/100))*SpeedA,
IF($P15&lt;=500,(((F$18*(1+(5*(CritMultA-1)))))*(($P15-400)/100)+((F$18*(1+(4*(CritMultA-1)))))*((100-($P15-400))/100))*SpeedA,
IF($P15&lt;=600,(((F$18*(1+(6*(CritMultA-1)))))*(($P15-500)/100)+((F$18*(1+(5*(CritMultA-1)))))*((100-($P15-500))/100))*SpeedA,
IF($P15&lt;=700,(((F$18*(1+(7*(CritMultA-1)))))*(($P15-600)/100)+((F$18*(1+(6*(CritMultA-1)))))*((100-($P15-600))/100))*SpeedA,
IF($P15&lt;=800,(((F$18*(1+(8*(CritMultA-1)))))*(($P15-700)/100)+((F$18*(1+(7*(CritMultA-1)))))*((100-($P15-700))/100))*SpeedA,
IF($P15&gt;800,"Unavailable")))))))))</f>
        <v>Unavailable</v>
      </c>
      <c r="F28" s="47" t="str">
        <f t="shared" si="11"/>
        <v>Unavailable</v>
      </c>
      <c r="G28" s="47" t="str">
        <f t="shared" si="11"/>
        <v>Unavailable</v>
      </c>
      <c r="H28" s="47" t="str">
        <f t="shared" si="11"/>
        <v>Unavailable</v>
      </c>
      <c r="I28" s="47" t="str">
        <f t="shared" si="11"/>
        <v>Unavailable</v>
      </c>
      <c r="J28" s="60" t="str">
        <f t="shared" si="11"/>
        <v>Unavailable</v>
      </c>
    </row>
    <row r="29" spans="2:23" ht="15.5" customHeight="1">
      <c r="B29" s="88"/>
      <c r="C29" s="48" t="str">
        <f t="shared" ref="C29:J29" si="12">IF($P$16&lt;=100,(((D$19*CritMultB)*($P$16/100))+(D$19*(100-$P$16)/100))*SpeedB,
IF($P$16&lt;=200,((D$19*(1+(2*(CritMultB-1)))*(($P$16-100)/100))+((D$19*CritMultB)*(100-($P$16-100))/100))*SpeedB,
IF($P$16&lt;=300,(((D$19*(1+(3*(CritMultB-1)))))*(($P$16-200)/100)+((D$19*(1+(2*(CritMultB-1)))))*((100-($P$16-200))/100))*SpeedB,
IF($P$16&lt;=400,(((D$19*(1+(4*(CritMultB-1)))))*(($P$16-300)/100)+((D$19*(1+(3*(CritMultB-1)))))*((100-($P$16-300))/100))*SpeedB,
IF($P$16&lt;=500,(((D$19*(1+(5*(CritMultB-1)))))*(($P$16-400)/100)+((D$19*(1+(4*(CritMultB-1)))))*((100-($P$16-400))/100))*SpeedB,
IF($P$16&lt;=600,(((D$19*(1+(6*(CritMultB-1)))))*(($P$16-500)/100)+((D$19*(1+(5*(CritMultB-1)))))*((100-($P$16-500))/100))*SpeedB,
IF($P$16&lt;=700,(((D$19*(1+(7*(CritMultB-1)))))*(($P$16-600)/100)+((D$19*(1+(6*(CritMultB-1)))))*((100-($P$16-600))/100))*SpeedB,
IF($P$16&lt;=800,(((D$19*(1+(8*(CritMultB-1)))))*(($P$16-700)/100)+((D$19*(1+(7*(CritMultB-1)))))*((100-($P$16-700))/100))*SpeedB,
IF($P$16&gt;800,"Unavailable")))))))))</f>
        <v>Unavailable</v>
      </c>
      <c r="D29" s="48" t="str">
        <f t="shared" si="12"/>
        <v>Unavailable</v>
      </c>
      <c r="E29" s="48" t="str">
        <f t="shared" si="12"/>
        <v>Unavailable</v>
      </c>
      <c r="F29" s="48" t="str">
        <f t="shared" si="12"/>
        <v>Unavailable</v>
      </c>
      <c r="G29" s="48" t="str">
        <f t="shared" si="12"/>
        <v>Unavailable</v>
      </c>
      <c r="H29" s="48" t="str">
        <f t="shared" si="12"/>
        <v>Unavailable</v>
      </c>
      <c r="I29" s="48" t="str">
        <f t="shared" si="12"/>
        <v>Unavailable</v>
      </c>
      <c r="J29" s="62" t="str">
        <f t="shared" si="12"/>
        <v>Unavailable</v>
      </c>
    </row>
    <row r="30" spans="2:23" ht="15.5" customHeight="1" thickBot="1">
      <c r="B30" s="89" t="s">
        <v>81</v>
      </c>
      <c r="C30" s="47" t="str">
        <f t="shared" ref="C30:J30" si="13">IF($P$17&lt;=100,(((D$18*CritMultA)*($P$17/100))+(D$18*(100-$P$17)/100))*SpeedA,
IF($P$17&lt;=200,((D$18*(1+(2*(CritMultA-1)))*(($P$17-100)/100))+((D$18*CritMultA)*(100-($P$17-100))/100))*SpeedA,
IF($P$17&lt;=300,(((D$18*(1+(3*(CritMultA-1)))))*(($P$17-200)/100)+((D$18*(1+(2*(CritMultA-1)))))*((100-($P$17-200))/100))*SpeedA,
IF($P$17&lt;=400,(((D$18*(1+(4*(CritMultA-1)))))*(($P$17-300)/100)+((D$18*(1+(3*(CritMultA-1)))))*((100-($P$17-300))/100))*SpeedA,
IF($P$17&lt;=500,(((D$18*(1+(5*(CritMultA-1)))))*(($P$17-400)/100)+((D$18*(1+(4*(CritMultA-1)))))*((100-($P$17-400))/100))*SpeedA,
IF($P$17&lt;=600,(((D$18*(1+(6*(CritMultA-1)))))*(($P$17-500)/100)+((D$18*(1+(5*(CritMultA-1)))))*((100-($P$17-500))/100))*SpeedA,
IF($P$17&lt;=700,(((D$18*(1+(7*(CritMultA-1)))))*(($P$17-600)/100)+((D$18*(1+(6*(CritMultA-1)))))*((100-($P$17-600))/100))*SpeedA,
IF($P$17&lt;=800,(((D$18*(1+(8*(CritMultA-1)))))*(($P$17-700)/100)+((D$18*(1+(7*(CritMultA-1)))))*((100-($P$17-700))/100))*SpeedA,
IF($P$17&gt;800,"Unavailable")))))))))</f>
        <v>Unavailable</v>
      </c>
      <c r="D30" s="47" t="str">
        <f t="shared" si="13"/>
        <v>Unavailable</v>
      </c>
      <c r="E30" s="47" t="str">
        <f t="shared" si="13"/>
        <v>Unavailable</v>
      </c>
      <c r="F30" s="47" t="str">
        <f t="shared" si="13"/>
        <v>Unavailable</v>
      </c>
      <c r="G30" s="47" t="str">
        <f t="shared" si="13"/>
        <v>Unavailable</v>
      </c>
      <c r="H30" s="47" t="str">
        <f t="shared" si="13"/>
        <v>Unavailable</v>
      </c>
      <c r="I30" s="47" t="str">
        <f t="shared" si="13"/>
        <v>Unavailable</v>
      </c>
      <c r="J30" s="60" t="str">
        <f t="shared" si="13"/>
        <v>Unavailable</v>
      </c>
      <c r="L30" s="188" t="s">
        <v>124</v>
      </c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</row>
    <row r="31" spans="2:23">
      <c r="B31" s="88"/>
      <c r="C31" s="48" t="str">
        <f t="shared" ref="C31:J31" si="14">IF($P$18&lt;=100,(((D$19*CritMultB)*($P$18/100))+(D$19*(100-$P$18)/100))*SpeedB,
IF($P$18&lt;=200,((D$19*(1+(2*(CritMultB-1)))*(($P$18-100)/100))+((D$19*CritMultB)*(100-($P$18-100))/100))*SpeedB,
IF($P$18&lt;=300,(((D$19*(1+(3*(CritMultB-1)))))*(($P$18-200)/100)+((D$19*(1+(2*(CritMultB-1)))))*((100-($P$18-200))/100))*SpeedB,
IF($P$18&lt;=400,(((D$19*(1+(4*(CritMultB-1)))))*(($P$18-300)/100)+((D$19*(1+(3*(CritMultB-1)))))*((100-($P$18-300))/100))*SpeedB,
IF($P$18&lt;=500,(((D$19*(1+(5*(CritMultB-1)))))*(($P$18-400)/100)+((D$19*(1+(4*(CritMultB-1)))))*((100-($P$18-400))/100))*SpeedB,
IF($P$18&lt;=600,(((D$19*(1+(6*(CritMultB-1)))))*(($P$18-500)/100)+((D$19*(1+(5*(CritMultB-1)))))*((100-($P$18-500))/100))*SpeedB,
IF($P$18&lt;=700,(((D$19*(1+(7*(CritMultB-1)))))*(($P$18-600)/100)+((D$19*(1+(6*(CritMultB-1)))))*((100-($P$18-600))/100))*SpeedB,
IF($P$18&lt;=800,(((D$19*(1+(8*(CritMultB-1)))))*(($P$18-700)/100)+((D$19*(1+(7*(CritMultB-1)))))*((100-($P$18-700))/100))*SpeedB,
IF($P$18&gt;800,"Unavailable")))))))))</f>
        <v>Unavailable</v>
      </c>
      <c r="D31" s="48" t="str">
        <f t="shared" si="14"/>
        <v>Unavailable</v>
      </c>
      <c r="E31" s="48" t="str">
        <f t="shared" si="14"/>
        <v>Unavailable</v>
      </c>
      <c r="F31" s="48" t="str">
        <f t="shared" si="14"/>
        <v>Unavailable</v>
      </c>
      <c r="G31" s="48" t="str">
        <f t="shared" si="14"/>
        <v>Unavailable</v>
      </c>
      <c r="H31" s="48" t="str">
        <f t="shared" si="14"/>
        <v>Unavailable</v>
      </c>
      <c r="I31" s="48" t="str">
        <f t="shared" si="14"/>
        <v>Unavailable</v>
      </c>
      <c r="J31" s="62" t="str">
        <f t="shared" si="14"/>
        <v>Unavailable</v>
      </c>
      <c r="L31" s="220" t="s">
        <v>59</v>
      </c>
      <c r="M31" s="171" t="s">
        <v>101</v>
      </c>
      <c r="N31" s="171" t="s">
        <v>123</v>
      </c>
      <c r="O31" s="169" t="s">
        <v>125</v>
      </c>
      <c r="P31" s="171" t="s">
        <v>102</v>
      </c>
      <c r="Q31" s="203" t="s">
        <v>117</v>
      </c>
      <c r="R31" s="204"/>
      <c r="S31" s="204"/>
      <c r="T31" s="204"/>
      <c r="U31" s="204"/>
      <c r="V31" s="204"/>
      <c r="W31" s="205"/>
    </row>
    <row r="32" spans="2:23" ht="16" thickBot="1">
      <c r="B32" s="89" t="s">
        <v>82</v>
      </c>
      <c r="C32" s="47" t="str">
        <f t="shared" ref="C32:J32" si="15">IF($P$19&lt;=100,(((D$18*CritMultA)*($P$19/100))+(D$18*(100-$P$19)/100))*SpeedA,
IF($P$19&lt;=200,((D$18*(1+(2*(CritMultA-1)))*(($P$19-100)/100))+((D$18*CritMultA)*(100-($P$19-100))/100))*SpeedA,
IF($P$19&lt;=300,(((D$18*(1+(3*(CritMultA-1)))))*(($P$19-200)/100)+((D$18*(1+(2*(CritMultA-1)))))*((100-($P$19-200))/100))*SpeedA,
IF($P$19&lt;=400,(((D$18*(1+(4*(CritMultA-1)))))*(($P$19-300)/100)+((D$18*(1+(3*(CritMultA-1)))))*((100-($P$19-300))/100))*SpeedA,
IF($P$19&lt;=500,(((D$18*(1+(5*(CritMultA-1)))))*(($P$19-400)/100)+((D$18*(1+(4*(CritMultA-1)))))*((100-($P$19-400))/100))*SpeedA,
IF($P$19&lt;=600,(((D$18*(1+(6*(CritMultA-1)))))*(($P$19-500)/100)+((D$18*(1+(5*(CritMultA-1)))))*((100-($P$19-500))/100))*SpeedA,
IF($P$19&lt;=700,(((D$18*(1+(7*(CritMultA-1)))))*(($P$19-600)/100)+((D$18*(1+(6*(CritMultA-1)))))*((100-($P$19-600))/100))*SpeedA,
IF($P$19&lt;=800,(((D$18*(1+(8*(CritMultA-1)))))*(($P$19-700)/100)+((D$18*(1+(7*(CritMultA-1)))))*((100-($P$19-700))/100))*SpeedA,
IF($P$19&gt;800,"Unavailable")))))))))</f>
        <v>Unavailable</v>
      </c>
      <c r="D32" s="47" t="str">
        <f t="shared" si="15"/>
        <v>Unavailable</v>
      </c>
      <c r="E32" s="47" t="str">
        <f t="shared" si="15"/>
        <v>Unavailable</v>
      </c>
      <c r="F32" s="47" t="str">
        <f t="shared" si="15"/>
        <v>Unavailable</v>
      </c>
      <c r="G32" s="47" t="str">
        <f t="shared" si="15"/>
        <v>Unavailable</v>
      </c>
      <c r="H32" s="47" t="str">
        <f t="shared" si="15"/>
        <v>Unavailable</v>
      </c>
      <c r="I32" s="47" t="str">
        <f t="shared" si="15"/>
        <v>Unavailable</v>
      </c>
      <c r="J32" s="60" t="str">
        <f t="shared" si="15"/>
        <v>Unavailable</v>
      </c>
      <c r="L32" s="221"/>
      <c r="M32" s="170"/>
      <c r="N32" s="170"/>
      <c r="O32" s="170"/>
      <c r="P32" s="170"/>
      <c r="Q32" s="110" t="s">
        <v>110</v>
      </c>
      <c r="R32" s="110" t="s">
        <v>111</v>
      </c>
      <c r="S32" s="110" t="s">
        <v>112</v>
      </c>
      <c r="T32" s="110" t="s">
        <v>113</v>
      </c>
      <c r="U32" s="110" t="s">
        <v>114</v>
      </c>
      <c r="V32" s="110" t="s">
        <v>115</v>
      </c>
      <c r="W32" s="120" t="s">
        <v>116</v>
      </c>
    </row>
    <row r="33" spans="2:23" ht="16.5" thickTop="1" thickBot="1">
      <c r="B33" s="88"/>
      <c r="C33" s="48" t="str">
        <f t="shared" ref="C33:J33" si="16">IF($P$20&lt;=100,(((D$19*CritMultB)*($P$20/100))+(D$19*(100-$P$20)/100))*SpeedB,
IF($P$20&lt;=200,((D$19*(1+(2*(CritMultB-1)))*(($P$20-100)/100))+((D$19*CritMultB)*(100-($P$20-100))/100))*SpeedB,
IF($P$20&lt;=300,(((D$19*(1+(3*(CritMultB-1)))))*(($P$20-200)/100)+((D$19*(1+(2*(CritMultB-1)))))*((100-($P$20-200))/100))*SpeedB,
IF($P$20&lt;=400,(((D$19*(1+(4*(CritMultB-1)))))*(($P$20-300)/100)+((D$19*(1+(3*(CritMultB-1)))))*((100-($P$20-300))/100))*SpeedB,
IF($P$20&lt;=500,(((D$19*(1+(5*(CritMultB-1)))))*(($P$20-400)/100)+((D$19*(1+(4*(CritMultB-1)))))*((100-($P$20-400))/100))*SpeedB,
IF($P$20&lt;=600,(((D$19*(1+(6*(CritMultB-1)))))*(($P$20-500)/100)+((D$19*(1+(5*(CritMultB-1)))))*((100-($P$20-500))/100))*SpeedB,
IF($P$20&lt;=700,(((D$19*(1+(7*(CritMultB-1)))))*(($P$20-600)/100)+((D$19*(1+(6*(CritMultB-1)))))*((100-($P$20-600))/100))*SpeedB,
IF($P$20&lt;=800,(((D$19*(1+(8*(CritMultB-1)))))*(($P$20-700)/100)+((D$19*(1+(7*(CritMultB-1)))))*((100-($P$20-700))/100))*SpeedB,
IF($P$20&gt;800,"Unavailable")))))))))</f>
        <v>Unavailable</v>
      </c>
      <c r="D33" s="48" t="str">
        <f t="shared" si="16"/>
        <v>Unavailable</v>
      </c>
      <c r="E33" s="48" t="str">
        <f t="shared" si="16"/>
        <v>Unavailable</v>
      </c>
      <c r="F33" s="48" t="str">
        <f t="shared" si="16"/>
        <v>Unavailable</v>
      </c>
      <c r="G33" s="48" t="str">
        <f t="shared" si="16"/>
        <v>Unavailable</v>
      </c>
      <c r="H33" s="48" t="str">
        <f t="shared" si="16"/>
        <v>Unavailable</v>
      </c>
      <c r="I33" s="48" t="str">
        <f t="shared" si="16"/>
        <v>Unavailable</v>
      </c>
      <c r="J33" s="62" t="str">
        <f t="shared" si="16"/>
        <v>Unavailable</v>
      </c>
      <c r="L33" s="139">
        <v>50</v>
      </c>
      <c r="M33" s="121" t="s">
        <v>120</v>
      </c>
      <c r="N33" s="99">
        <v>20</v>
      </c>
      <c r="O33" s="100">
        <f>IF(ISBLANK(N33),"",(N33/$N$40))</f>
        <v>0.18181818181818182</v>
      </c>
      <c r="P33" s="101">
        <f>IF(ISBLANK($L$33),"",IF(ISBLANK(N33),"",((O33/100)*$L$33)))</f>
        <v>9.0909090909090912E-2</v>
      </c>
      <c r="Q33" s="1">
        <f>IF(ISBLANK(L33),"",IF(COUNTA(N33:N39)&gt;=1,(1/(L33/100)),""))</f>
        <v>2</v>
      </c>
      <c r="R33" s="1">
        <f>IF(ISBLANK(L33),"",IF(COUNTA(N33:N39)&gt;=2,(1/(SUM(P33:P39)-LARGE(P33:P39,1))+Q33),""))</f>
        <v>5.666666666666667</v>
      </c>
      <c r="S33" s="1">
        <f>IF(ISBLANK(L33),"",IF(COUNTA(N33:N39)&gt;=3,(1/((SUM(P33:P39)-LARGE(P33:P39,1)-LARGE(P33:P39,2)))+R33),""))</f>
        <v>11.952380952380953</v>
      </c>
      <c r="T33" s="1">
        <f>IF(ISBLANK(L33),"",IF(COUNTA(N33:N39)&gt;=4,(1/(((SUM(P33:P39)-LARGE(P33:P39,1)-LARGE(P33:P39,2)))-LARGE(P33:P39,3))+S33),""))</f>
        <v>26.619047619047628</v>
      </c>
      <c r="U33" s="1">
        <f>IF(ISBLANK(L33),"",IF(COUNTA(N33:N39)&gt;=5,(1/(((SUM(P33:P39)-LARGE(P33:P39,1)-LARGE(P33:P39,2)))-LARGE(P33:P39,3))-LARGE(P33:P39,4)+T33),""))</f>
        <v>41.240259740259759</v>
      </c>
      <c r="V33" s="1" t="str">
        <f>IF(ISBLANK(L33),"",IF(COUNTA(N33:N39)&gt;=6,(1/((((SUM(P33:P39)-LARGE(P33:P39,1)-LARGE(P33:P39,2)))-LARGE(P33:P39,3))-LARGE(P33:P39,4))-LARGE(P33:P39,5)+U33),""))</f>
        <v/>
      </c>
      <c r="W33" s="122" t="str">
        <f>IF(ISBLANK(L33),"",IF(COUNTA(N33:N39)&gt;=7,(1/(((((SUM(P33:P39)-LARGE(P33:P39,1)-LARGE(P33:P39,2)))-LARGE(P33:P39,3))-LARGE(P33:P39,4))-LARGE(P33:P39,5))-LARGE(P33:P39,6)+V33),""))</f>
        <v/>
      </c>
    </row>
    <row r="34" spans="2:23" ht="20.5" thickTop="1">
      <c r="B34" s="89" t="s">
        <v>83</v>
      </c>
      <c r="C34" s="47" t="str">
        <f t="shared" ref="C34:J34" si="17">IF($P$21&lt;=100,(((D$18*CritMultA)*($P$21/100))+(D$18*(100-$P$21)/100))*SpeedA,
IF($P$21&lt;=200,((D$18*(1+(2*(CritMultA-1)))*(($P$21-100)/100))+((D$18*CritMultA)*(100-($P$21-100))/100))*SpeedA,
IF($P$21&lt;=300,(((D$18*(1+(3*(CritMultA-1)))))*(($P$21-200)/100)+((D$18*(1+(2*(CritMultA-1)))))*((100-($P$21-200))/100))*SpeedA,
IF($P$21&lt;=400,(((D$18*(1+(4*(CritMultA-1)))))*(($P$21-300)/100)+((D$18*(1+(3*(CritMultA-1)))))*((100-($P$21-300))/100))*SpeedA,
IF($P$21&lt;=500,(((D$18*(1+(5*(CritMultA-1)))))*(($P$21-400)/100)+((D$18*(1+(4*(CritMultA-1)))))*((100-($P$21-400))/100))*SpeedA,
IF($P$21&lt;=600,(((D$18*(1+(6*(CritMultA-1)))))*(($P$21-500)/100)+((D$18*(1+(5*(CritMultA-1)))))*((100-($P$21-500))/100))*SpeedA,
IF($P$21&lt;=700,(((D$18*(1+(7*(CritMultA-1)))))*(($P$21-600)/100)+((D$18*(1+(6*(CritMultA-1)))))*((100-($P$21-600))/100))*SpeedA,
IF($P$21&lt;=800,(((D$18*(1+(8*(CritMultA-1)))))*(($P$21-700)/100)+((D$18*(1+(7*(CritMultA-1)))))*((100-($P$21-700))/100))*SpeedA,
IF($P$21&gt;800,"Unavailable")))))))))</f>
        <v>Unavailable</v>
      </c>
      <c r="D34" s="47" t="str">
        <f t="shared" si="17"/>
        <v>Unavailable</v>
      </c>
      <c r="E34" s="47" t="str">
        <f t="shared" si="17"/>
        <v>Unavailable</v>
      </c>
      <c r="F34" s="47" t="str">
        <f t="shared" si="17"/>
        <v>Unavailable</v>
      </c>
      <c r="G34" s="47" t="str">
        <f t="shared" si="17"/>
        <v>Unavailable</v>
      </c>
      <c r="H34" s="47" t="str">
        <f t="shared" si="17"/>
        <v>Unavailable</v>
      </c>
      <c r="I34" s="47" t="str">
        <f t="shared" si="17"/>
        <v>Unavailable</v>
      </c>
      <c r="J34" s="60" t="str">
        <f t="shared" si="17"/>
        <v>Unavailable</v>
      </c>
      <c r="L34" s="123" t="s">
        <v>48</v>
      </c>
      <c r="M34" s="98" t="s">
        <v>121</v>
      </c>
      <c r="N34" s="99">
        <v>5</v>
      </c>
      <c r="O34" s="100">
        <f t="shared" ref="O34:O39" si="18">IF(ISBLANK(N34),"",(N34/$N$40))</f>
        <v>4.5454545454545456E-2</v>
      </c>
      <c r="P34" s="101">
        <f t="shared" ref="P34:P39" si="19">IF(ISBLANK($L$33),"",IF(ISBLANK(N34),"",((O34/100)*$L$33)))</f>
        <v>2.2727272727272728E-2</v>
      </c>
      <c r="Q34" s="7"/>
      <c r="R34" s="8"/>
      <c r="S34" s="8"/>
      <c r="T34" s="8"/>
      <c r="U34" s="8"/>
      <c r="V34" s="8"/>
      <c r="W34" s="114"/>
    </row>
    <row r="35" spans="2:23">
      <c r="B35" s="88"/>
      <c r="C35" s="48" t="str">
        <f t="shared" ref="C35:J35" si="20">IF($P$22&lt;=100,(((D$19*CritMultB)*($P$22/100))+(D$19*(100-$P$22)/100))*SpeedB,
IF($P$22&lt;=200,((D$19*(1+(2*(CritMultB-1)))*(($P$22-100)/100))+((D$19*CritMultB)*(100-($P$22-100))/100))*SpeedB,
IF($P$22&lt;=300,(((D$19*(1+(3*(CritMultB-1)))))*(($P$22-200)/100)+((D$19*(1+(2*(CritMultB-1)))))*((100-($P$22-200))/100))*SpeedB,
IF($P$22&lt;=400,(((D$19*(1+(4*(CritMultB-1)))))*(($P$22-300)/100)+((D$19*(1+(3*(CritMultB-1)))))*((100-($P$22-300))/100))*SpeedB,
IF($P$22&lt;=500,(((D$19*(1+(5*(CritMultB-1)))))*(($P$22-400)/100)+((D$19*(1+(4*(CritMultB-1)))))*((100-($P$22-400))/100))*SpeedB,
IF($P$22&lt;=600,(((D$19*(1+(6*(CritMultB-1)))))*(($P$22-500)/100)+((D$19*(1+(5*(CritMultB-1)))))*((100-($P$22-500))/100))*SpeedB,
IF($P$22&lt;=700,(((D$19*(1+(7*(CritMultB-1)))))*(($P$22-600)/100)+((D$19*(1+(6*(CritMultB-1)))))*((100-($P$22-600))/100))*SpeedB,
IF($P$22&lt;=800,(((D$19*(1+(8*(CritMultB-1)))))*(($P$22-700)/100)+((D$19*(1+(7*(CritMultB-1)))))*((100-($P$22-700))/100))*SpeedB,
IF($P$22&gt;800,"Unavailable")))))))))</f>
        <v>Unavailable</v>
      </c>
      <c r="D35" s="48" t="str">
        <f t="shared" si="20"/>
        <v>Unavailable</v>
      </c>
      <c r="E35" s="48" t="str">
        <f t="shared" si="20"/>
        <v>Unavailable</v>
      </c>
      <c r="F35" s="48" t="str">
        <f t="shared" si="20"/>
        <v>Unavailable</v>
      </c>
      <c r="G35" s="48" t="str">
        <f t="shared" si="20"/>
        <v>Unavailable</v>
      </c>
      <c r="H35" s="48" t="str">
        <f t="shared" si="20"/>
        <v>Unavailable</v>
      </c>
      <c r="I35" s="48" t="str">
        <f t="shared" si="20"/>
        <v>Unavailable</v>
      </c>
      <c r="J35" s="62" t="str">
        <f t="shared" si="20"/>
        <v>Unavailable</v>
      </c>
      <c r="L35" s="124"/>
      <c r="M35" s="98" t="s">
        <v>122</v>
      </c>
      <c r="N35" s="99">
        <v>10</v>
      </c>
      <c r="O35" s="100">
        <f t="shared" si="18"/>
        <v>9.0909090909090912E-2</v>
      </c>
      <c r="P35" s="101">
        <f t="shared" si="19"/>
        <v>4.5454545454545456E-2</v>
      </c>
      <c r="Q35" s="4"/>
      <c r="R35" s="108"/>
      <c r="S35" s="108"/>
      <c r="T35" s="108"/>
      <c r="U35" s="108"/>
      <c r="V35" s="108"/>
      <c r="W35" s="115"/>
    </row>
    <row r="36" spans="2:23">
      <c r="B36" s="89" t="s">
        <v>84</v>
      </c>
      <c r="C36" s="47" t="str">
        <f t="shared" ref="C36:J36" si="21">IF($P$23&lt;=100,(((D$18*CritMultA)*($P$23/100))+(D$18*(100-$P$23)/100))*SpeedA,
IF($P$23&lt;=200,((D$18*(1+(2*(CritMultA-1)))*(($P$23-100)/100))+((D$18*CritMultA)*(100-($P$23-100))/100))*SpeedA,
IF($P$23&lt;=300,(((D$18*(1+(3*(CritMultA-1)))))*(($P$23-200)/100)+((D$18*(1+(2*(CritMultA-1)))))*((100-($P$23-200))/100))*SpeedA,
IF($P$23&lt;=400,(((D$18*(1+(4*(CritMultA-1)))))*(($P$23-300)/100)+((D$18*(1+(3*(CritMultA-1)))))*((100-($P$23-300))/100))*SpeedA,
IF($P$23&lt;=500,(((D$18*(1+(5*(CritMultA-1)))))*(($P$23-400)/100)+((D$18*(1+(4*(CritMultA-1)))))*((100-($P$23-400))/100))*SpeedA,
IF($P$23&lt;=600,(((D$18*(1+(6*(CritMultA-1)))))*(($P$23-500)/100)+((D$18*(1+(5*(CritMultA-1)))))*((100-($P$23-500))/100))*SpeedA,
IF($P$23&lt;=700,(((D$18*(1+(7*(CritMultA-1)))))*(($P$23-600)/100)+((D$18*(1+(6*(CritMultA-1)))))*((100-($P$23-600))/100))*SpeedA,
IF($P$23&lt;=800,(((D$18*(1+(8*(CritMultA-1)))))*(($P$23-700)/100)+((D$18*(1+(7*(CritMultA-1)))))*((100-($P$23-700))/100))*SpeedA,
IF($P$23&gt;800,"Unavailable")))))))))</f>
        <v>Unavailable</v>
      </c>
      <c r="D36" s="47" t="str">
        <f t="shared" si="21"/>
        <v>Unavailable</v>
      </c>
      <c r="E36" s="47" t="str">
        <f t="shared" si="21"/>
        <v>Unavailable</v>
      </c>
      <c r="F36" s="47" t="str">
        <f t="shared" si="21"/>
        <v>Unavailable</v>
      </c>
      <c r="G36" s="47" t="str">
        <f t="shared" si="21"/>
        <v>Unavailable</v>
      </c>
      <c r="H36" s="47" t="str">
        <f t="shared" si="21"/>
        <v>Unavailable</v>
      </c>
      <c r="I36" s="47" t="str">
        <f t="shared" si="21"/>
        <v>Unavailable</v>
      </c>
      <c r="J36" s="60" t="str">
        <f t="shared" si="21"/>
        <v>Unavailable</v>
      </c>
      <c r="L36" s="41"/>
      <c r="M36" s="156" t="s">
        <v>103</v>
      </c>
      <c r="N36" s="103">
        <v>25</v>
      </c>
      <c r="O36" s="100">
        <f t="shared" si="18"/>
        <v>0.22727272727272727</v>
      </c>
      <c r="P36" s="101">
        <f t="shared" si="19"/>
        <v>0.11363636363636363</v>
      </c>
      <c r="Q36" s="4"/>
      <c r="R36" s="108"/>
      <c r="S36" s="108"/>
      <c r="T36" s="108"/>
      <c r="U36" s="108"/>
      <c r="V36" s="108"/>
      <c r="W36" s="115"/>
    </row>
    <row r="37" spans="2:23">
      <c r="B37" s="88"/>
      <c r="C37" s="48" t="str">
        <f t="shared" ref="C37:J37" si="22">IF($P$24&lt;=100,(((D$19*CritMultB)*($P$24/100))+(D$19*(100-$P$24)/100))*SpeedB,
IF($P$24&lt;=200,((D$19*(1+(2*(CritMultB-1)))*(($P$24-100)/100))+((D$19*CritMultB)*(100-($P$24-100))/100))*SpeedB,
IF($P$24&lt;=300,(((D$19*(1+(3*(CritMultB-1)))))*(($P$24-200)/100)+((D$19*(1+(2*(CritMultB-1)))))*((100-($P$24-200))/100))*SpeedB,
IF($P$24&lt;=400,(((D$19*(1+(4*(CritMultB-1)))))*(($P$24-300)/100)+((D$19*(1+(3*(CritMultB-1)))))*((100-($P$24-300))/100))*SpeedB,
IF($P$24&lt;=500,(((D$19*(1+(5*(CritMultB-1)))))*(($P$24-400)/100)+((D$19*(1+(4*(CritMultB-1)))))*((100-($P$24-400))/100))*SpeedB,
IF($P$24&lt;=600,(((D$19*(1+(6*(CritMultB-1)))))*(($P$24-500)/100)+((D$19*(1+(5*(CritMultB-1)))))*((100-($P$24-500))/100))*SpeedB,
IF($P$24&lt;=700,(((D$19*(1+(7*(CritMultB-1)))))*(($P$24-600)/100)+((D$19*(1+(6*(CritMultB-1)))))*((100-($P$24-600))/100))*SpeedB,
IF($P$24&lt;=800,(((D$19*(1+(8*(CritMultB-1)))))*(($P$24-700)/100)+((D$19*(1+(7*(CritMultB-1)))))*((100-($P$24-700))/100))*SpeedB,
IF($P$24&gt;800,"Unavailable")))))))))</f>
        <v>Unavailable</v>
      </c>
      <c r="D37" s="48" t="str">
        <f t="shared" si="22"/>
        <v>Unavailable</v>
      </c>
      <c r="E37" s="48" t="str">
        <f t="shared" si="22"/>
        <v>Unavailable</v>
      </c>
      <c r="F37" s="48" t="str">
        <f t="shared" si="22"/>
        <v>Unavailable</v>
      </c>
      <c r="G37" s="48" t="str">
        <f t="shared" si="22"/>
        <v>Unavailable</v>
      </c>
      <c r="H37" s="48" t="str">
        <f t="shared" si="22"/>
        <v>Unavailable</v>
      </c>
      <c r="I37" s="48" t="str">
        <f t="shared" si="22"/>
        <v>Unavailable</v>
      </c>
      <c r="J37" s="62" t="str">
        <f t="shared" si="22"/>
        <v>Unavailable</v>
      </c>
      <c r="L37" s="41"/>
      <c r="M37" s="156" t="s">
        <v>104</v>
      </c>
      <c r="N37" s="103">
        <v>50</v>
      </c>
      <c r="O37" s="100">
        <f t="shared" si="18"/>
        <v>0.45454545454545453</v>
      </c>
      <c r="P37" s="101">
        <f t="shared" si="19"/>
        <v>0.22727272727272727</v>
      </c>
      <c r="Q37" s="4"/>
      <c r="R37" s="108"/>
      <c r="S37" s="108"/>
      <c r="T37" s="108"/>
      <c r="U37" s="108"/>
      <c r="V37" s="108"/>
      <c r="W37" s="115"/>
    </row>
    <row r="38" spans="2:23" ht="15.5" customHeight="1">
      <c r="B38" s="89" t="s">
        <v>85</v>
      </c>
      <c r="C38" s="47" t="str">
        <f t="shared" ref="C38:J38" si="23">IF($P$25&lt;=100,(((D$18*CritMultA)*($P$25/100))+(D$18*(100-$P$25)/100))*SpeedA,
IF($P$25&lt;=200,((D$18*(1+(2*(CritMultA-1)))*(($P$25-100)/100))+((D$18*CritMultA)*(100-($P$25-100))/100))*SpeedA,
IF($P$25&lt;=300,(((D$18*(1+(3*(CritMultA-1)))))*(($P$25-200)/100)+((D$18*(1+(2*(CritMultA-1)))))*((100-($P$25-200))/100))*SpeedA,
IF($P$25&lt;=400,(((D$18*(1+(4*(CritMultA-1)))))*(($P$25-300)/100)+((D$18*(1+(3*(CritMultA-1)))))*((100-($P$25-300))/100))*SpeedA,
IF($P$25&lt;=500,(((D$18*(1+(5*(CritMultA-1)))))*(($P$25-400)/100)+((D$18*(1+(4*(CritMultA-1)))))*((100-($P$25-400))/100))*SpeedA,
IF($P$25&lt;=600,(((D$18*(1+(6*(CritMultA-1)))))*(($P$25-500)/100)+((D$18*(1+(5*(CritMultA-1)))))*((100-($P$25-500))/100))*SpeedA,
IF($P$25&lt;=700,(((D$18*(1+(7*(CritMultA-1)))))*(($P$25-600)/100)+((D$18*(1+(6*(CritMultA-1)))))*((100-($P$25-600))/100))*SpeedA,
IF($P$25&lt;=800,(((D$18*(1+(8*(CritMultA-1)))))*(($P$25-700)/100)+((D$18*(1+(7*(CritMultA-1)))))*((100-($P$25-700))/100))*SpeedA,
IF($P$25&gt;800,"Unavailable")))))))))</f>
        <v>Unavailable</v>
      </c>
      <c r="D38" s="47" t="str">
        <f t="shared" si="23"/>
        <v>Unavailable</v>
      </c>
      <c r="E38" s="47" t="str">
        <f t="shared" si="23"/>
        <v>Unavailable</v>
      </c>
      <c r="F38" s="47" t="str">
        <f t="shared" si="23"/>
        <v>Unavailable</v>
      </c>
      <c r="G38" s="47" t="str">
        <f t="shared" si="23"/>
        <v>Unavailable</v>
      </c>
      <c r="H38" s="47" t="str">
        <f t="shared" si="23"/>
        <v>Unavailable</v>
      </c>
      <c r="I38" s="47" t="str">
        <f t="shared" si="23"/>
        <v>Unavailable</v>
      </c>
      <c r="J38" s="60" t="str">
        <f t="shared" si="23"/>
        <v>Unavailable</v>
      </c>
      <c r="L38" s="41"/>
      <c r="M38" s="156" t="s">
        <v>105</v>
      </c>
      <c r="N38" s="103"/>
      <c r="O38" s="100" t="str">
        <f t="shared" si="18"/>
        <v/>
      </c>
      <c r="P38" s="101" t="str">
        <f t="shared" si="19"/>
        <v/>
      </c>
      <c r="Q38" s="4"/>
      <c r="R38" s="108"/>
      <c r="S38" s="108"/>
      <c r="T38" s="108"/>
      <c r="U38" s="108"/>
      <c r="V38" s="108"/>
      <c r="W38" s="115"/>
    </row>
    <row r="39" spans="2:23" ht="16" customHeight="1">
      <c r="B39" s="88"/>
      <c r="C39" s="48" t="str">
        <f t="shared" ref="C39:J39" si="24">IF($P$26&lt;=100,(((D$19*CritMultB)*($P$26/100))+(D$19*(100-$P$26)/100))*SpeedB,
IF($P$26&lt;=200,((D$19*(1+(2*(CritMultB-1)))*(($P$26-100)/100))+((D$19*CritMultB)*(100-($P$26-100))/100))*SpeedB,
IF($P$26&lt;=300,(((D$19*(1+(3*(CritMultB-1)))))*(($P$26-200)/100)+((D$19*(1+(2*(CritMultB-1)))))*((100-($P$26-200))/100))*SpeedB,
IF($P$26&lt;=400,(((D$19*(1+(4*(CritMultB-1)))))*(($P$26-300)/100)+((D$19*(1+(3*(CritMultB-1)))))*((100-($P$26-300))/100))*SpeedB,
IF($P$26&lt;=500,(((D$19*(1+(5*(CritMultB-1)))))*(($P$26-400)/100)+((D$19*(1+(4*(CritMultB-1)))))*((100-($P$26-400))/100))*SpeedB,
IF($P$26&lt;=600,(((D$19*(1+(6*(CritMultB-1)))))*(($P$26-500)/100)+((D$19*(1+(5*(CritMultB-1)))))*((100-($P$26-500))/100))*SpeedB,
IF($P$26&lt;=700,(((D$19*(1+(7*(CritMultB-1)))))*(($P$26-600)/100)+((D$19*(1+(6*(CritMultB-1)))))*((100-($P$26-600))/100))*SpeedB,
IF($P$26&lt;=800,(((D$19*(1+(8*(CritMultB-1)))))*(($P$26-700)/100)+((D$19*(1+(7*(CritMultB-1)))))*((100-($P$26-700))/100))*SpeedB,
IF($P$26&gt;800,"Unavailable")))))))))</f>
        <v>Unavailable</v>
      </c>
      <c r="D39" s="48" t="str">
        <f t="shared" si="24"/>
        <v>Unavailable</v>
      </c>
      <c r="E39" s="48" t="str">
        <f t="shared" si="24"/>
        <v>Unavailable</v>
      </c>
      <c r="F39" s="48" t="str">
        <f t="shared" si="24"/>
        <v>Unavailable</v>
      </c>
      <c r="G39" s="48" t="str">
        <f t="shared" si="24"/>
        <v>Unavailable</v>
      </c>
      <c r="H39" s="48" t="str">
        <f t="shared" si="24"/>
        <v>Unavailable</v>
      </c>
      <c r="I39" s="48" t="str">
        <f t="shared" si="24"/>
        <v>Unavailable</v>
      </c>
      <c r="J39" s="62" t="str">
        <f t="shared" si="24"/>
        <v>Unavailable</v>
      </c>
      <c r="L39" s="41"/>
      <c r="M39" s="156" t="s">
        <v>106</v>
      </c>
      <c r="N39" s="103"/>
      <c r="O39" s="100" t="str">
        <f t="shared" si="18"/>
        <v/>
      </c>
      <c r="P39" s="101" t="str">
        <f t="shared" si="19"/>
        <v/>
      </c>
      <c r="Q39" s="4"/>
      <c r="R39" s="108"/>
      <c r="S39" s="108"/>
      <c r="T39" s="116"/>
      <c r="U39" s="108"/>
      <c r="V39" s="108"/>
      <c r="W39" s="115"/>
    </row>
    <row r="40" spans="2:23">
      <c r="B40" s="89" t="s">
        <v>86</v>
      </c>
      <c r="C40" s="47" t="str">
        <f t="shared" ref="C40:J40" si="25">IF($T15&lt;=100,(((D$18*CritMultA)*($T15/100))+(D$18*(100-$T15)/100))*SpeedA,
IF($T15&lt;=200,((D$18*(1+(2*(CritMultA-1)))*(($T15-100)/100))+((D$18*CritMultA)*(100-($T15-100))/100))*SpeedA,
IF($T15&lt;=300,(((D$18*(1+(3*(CritMultA-1)))))*(($T15-200)/100)+((D$18*(1+(2*(CritMultA-1)))))*((100-($T15-200))/100))*SpeedA,
IF($T15&lt;=400,(((D$18*(1+(4*(CritMultA-1)))))*(($T15-300)/100)+((D$18*(1+(3*(CritMultA-1)))))*((100-($T15-300))/100))*SpeedA,
IF($T15&lt;=500,(((D$18*(1+(5*(CritMultA-1)))))*(($T15-400)/100)+((D$18*(1+(4*(CritMultA-1)))))*((100-($T15-400))/100))*SpeedA,
IF($T15&lt;=600,(((D$18*(1+(6*(CritMultA-1)))))*(($T15-500)/100)+((D$18*(1+(5*(CritMultA-1)))))*((100-($T15-500))/100))*SpeedA,
IF($T15&lt;=700,(((D$18*(1+(7*(CritMultA-1)))))*(($T15-600)/100)+((D$18*(1+(6*(CritMultA-1)))))*((100-($T15-600))/100))*SpeedA,
IF($T15&lt;=800,(((D$18*(1+(8*(CritMultA-1)))))*(($T15-700)/100)+((D$18*(1+(7*(CritMultA-1)))))*((100-($T15-700))/100))*SpeedA,
IF($T15&gt;800,"Unavailable")))))))))</f>
        <v>Unavailable</v>
      </c>
      <c r="D40" s="47" t="str">
        <f t="shared" si="25"/>
        <v>Unavailable</v>
      </c>
      <c r="E40" s="47" t="str">
        <f t="shared" si="25"/>
        <v>Unavailable</v>
      </c>
      <c r="F40" s="47" t="str">
        <f t="shared" si="25"/>
        <v>Unavailable</v>
      </c>
      <c r="G40" s="47" t="str">
        <f t="shared" si="25"/>
        <v>Unavailable</v>
      </c>
      <c r="H40" s="47" t="str">
        <f t="shared" si="25"/>
        <v>Unavailable</v>
      </c>
      <c r="I40" s="47" t="str">
        <f t="shared" si="25"/>
        <v>Unavailable</v>
      </c>
      <c r="J40" s="60" t="str">
        <f t="shared" si="25"/>
        <v>Unavailable</v>
      </c>
      <c r="L40" s="125"/>
      <c r="M40" s="5"/>
      <c r="N40" s="105">
        <f>SUM(N33:N39)</f>
        <v>110</v>
      </c>
      <c r="O40" s="104" t="s">
        <v>107</v>
      </c>
      <c r="P40" s="109"/>
      <c r="Q40" s="4"/>
      <c r="R40" s="108"/>
      <c r="S40" s="108"/>
      <c r="T40" s="108"/>
      <c r="U40" s="108"/>
      <c r="V40" s="108"/>
      <c r="W40" s="115"/>
    </row>
    <row r="41" spans="2:23" ht="16" customHeight="1">
      <c r="B41" s="88"/>
      <c r="C41" s="48" t="str">
        <f t="shared" ref="C41:J41" si="26">IF($T16&lt;=100,(((D$19*CritMultB)*($T16/100))+(D$19*(100-$T16)/100))*SpeedB,
IF($T16&lt;=200,((D$19*(1+(2*(CritMultB-1)))*(($T16-100)/100))+((D$19*CritMultB)*(100-($T16-100))/100))*SpeedB,
IF($T16&lt;=300,(((D$19*(1+(3*(CritMultB-1)))))*(($T16-200)/100)+((D$19*(1+(2*(CritMultB-1)))))*((100-($T16-200))/100))*SpeedB,
IF($T16&lt;=400,(((D$19*(1+(4*(CritMultB-1)))))*(($T16-300)/100)+((D$19*(1+(3*(CritMultB-1)))))*((100-($T16-300))/100))*SpeedB,
IF($T16&lt;=500,(((D$19*(1+(5*(CritMultB-1)))))*(($T16-400)/100)+((D$19*(1+(4*(CritMultB-1)))))*((100-($T16-400))/100))*SpeedB,
IF($T16&lt;=600,(((D$19*(1+(6*(CritMultB-1)))))*(($T16-500)/100)+((D$19*(1+(5*(CritMultB-1)))))*((100-($T16-500))/100))*SpeedB,
IF($T16&lt;=700,(((D$19*(1+(7*(CritMultB-1)))))*(($T16-600)/100)+((D$19*(1+(6*(CritMultB-1)))))*((100-($T16-600))/100))*SpeedB,
IF($T16&lt;=800,(((D$19*(1+(8*(CritMultB-1)))))*(($T16-700)/100)+((D$19*(1+(7*(CritMultB-1)))))*((100-($T16-700))/100))*SpeedB,
IF($T16&gt;800,"Unavailable")))))))))</f>
        <v>Unavailable</v>
      </c>
      <c r="D41" s="48" t="str">
        <f t="shared" si="26"/>
        <v>Unavailable</v>
      </c>
      <c r="E41" s="48" t="str">
        <f t="shared" si="26"/>
        <v>Unavailable</v>
      </c>
      <c r="F41" s="48" t="str">
        <f t="shared" si="26"/>
        <v>Unavailable</v>
      </c>
      <c r="G41" s="48" t="str">
        <f t="shared" si="26"/>
        <v>Unavailable</v>
      </c>
      <c r="H41" s="48" t="str">
        <f t="shared" si="26"/>
        <v>Unavailable</v>
      </c>
      <c r="I41" s="48" t="str">
        <f t="shared" si="26"/>
        <v>Unavailable</v>
      </c>
      <c r="J41" s="62" t="str">
        <f t="shared" si="26"/>
        <v>Unavailable</v>
      </c>
      <c r="L41" s="126"/>
      <c r="M41" s="8"/>
      <c r="N41" s="8"/>
      <c r="O41" s="8"/>
      <c r="P41" s="9"/>
      <c r="Q41" s="4"/>
      <c r="R41" s="108"/>
      <c r="S41" s="108"/>
      <c r="T41" s="108"/>
      <c r="U41" s="108"/>
      <c r="V41" s="108"/>
      <c r="W41" s="115"/>
    </row>
    <row r="42" spans="2:23">
      <c r="B42" s="89" t="s">
        <v>87</v>
      </c>
      <c r="C42" s="47" t="str">
        <f t="shared" ref="C42:J42" si="27">IF($T17&lt;=100,(((D$18*CritMultA)*($T17/100))+(D$18*(100-$T17)/100))*SpeedA,
IF($T17&lt;=200,((D$18*(1+(2*(CritMultA-1)))*(($T17-100)/100))+((D$18*CritMultA)*(100-($T17-100))/100))*SpeedA,
IF($T17&lt;=300,(((D$18*(1+(3*(CritMultA-1)))))*(($T17-200)/100)+((D$18*(1+(2*(CritMultA-1)))))*((100-($T17-200))/100))*SpeedA,
IF($T17&lt;=400,(((D$18*(1+(4*(CritMultA-1)))))*(($T17-300)/100)+((D$18*(1+(3*(CritMultA-1)))))*((100-($T17-300))/100))*SpeedA,
IF($T17&lt;=500,(((D$18*(1+(5*(CritMultA-1)))))*(($T17-400)/100)+((D$18*(1+(4*(CritMultA-1)))))*((100-($T17-400))/100))*SpeedA,
IF($T17&lt;=600,(((D$18*(1+(6*(CritMultA-1)))))*(($T17-500)/100)+((D$18*(1+(5*(CritMultA-1)))))*((100-($T17-500))/100))*SpeedA,
IF($T17&lt;=700,(((D$18*(1+(7*(CritMultA-1)))))*(($T17-600)/100)+((D$18*(1+(6*(CritMultA-1)))))*((100-($T17-600))/100))*SpeedA,
IF($T17&lt;=800,(((D$18*(1+(8*(CritMultA-1)))))*(($T17-700)/100)+((D$18*(1+(7*(CritMultA-1)))))*((100-($T17-700))/100))*SpeedA,
IF($T17&gt;800,"Unavailable")))))))))</f>
        <v>Unavailable</v>
      </c>
      <c r="D42" s="47" t="str">
        <f t="shared" si="27"/>
        <v>Unavailable</v>
      </c>
      <c r="E42" s="47" t="str">
        <f t="shared" si="27"/>
        <v>Unavailable</v>
      </c>
      <c r="F42" s="47" t="str">
        <f t="shared" si="27"/>
        <v>Unavailable</v>
      </c>
      <c r="G42" s="47" t="str">
        <f t="shared" si="27"/>
        <v>Unavailable</v>
      </c>
      <c r="H42" s="47" t="str">
        <f t="shared" si="27"/>
        <v>Unavailable</v>
      </c>
      <c r="I42" s="47" t="str">
        <f t="shared" si="27"/>
        <v>Unavailable</v>
      </c>
      <c r="J42" s="60" t="str">
        <f t="shared" si="27"/>
        <v>Unavailable</v>
      </c>
      <c r="L42" s="22"/>
      <c r="M42" s="106"/>
      <c r="N42" s="107" t="s">
        <v>108</v>
      </c>
      <c r="O42" s="108"/>
      <c r="P42" s="102"/>
      <c r="Q42" s="4"/>
      <c r="R42" s="108"/>
      <c r="S42" s="108"/>
      <c r="T42" s="108"/>
      <c r="U42" s="108"/>
      <c r="V42" s="108"/>
      <c r="W42" s="115"/>
    </row>
    <row r="43" spans="2:23" ht="16" thickBot="1">
      <c r="B43" s="88"/>
      <c r="C43" s="48" t="str">
        <f t="shared" ref="C43:J43" si="28">IF($T18&lt;=100,(((D$19*CritMultB)*($T18/100))+(D$19*(100-$T18)/100))*SpeedB,
IF($T18&lt;=200,((D$19*(1+(2*(CritMultB-1)))*(($T18-100)/100))+((D$19*CritMultB)*(100-($T18-100))/100))*SpeedB,
IF($T18&lt;=300,(((D$19*(1+(3*(CritMultB-1)))))*(($T18-200)/100)+((D$19*(1+(2*(CritMultB-1)))))*((100-($T18-200))/100))*SpeedB,
IF($T18&lt;=400,(((D$19*(1+(4*(CritMultB-1)))))*(($T18-300)/100)+((D$19*(1+(3*(CritMultB-1)))))*((100-($T18-300))/100))*SpeedB,
IF($T18&lt;=500,(((D$19*(1+(5*(CritMultB-1)))))*(($T18-400)/100)+((D$19*(1+(4*(CritMultB-1)))))*((100-($T18-400))/100))*SpeedB,
IF($T18&lt;=600,(((D$19*(1+(6*(CritMultB-1)))))*(($T18-500)/100)+((D$19*(1+(5*(CritMultB-1)))))*((100-($T18-500))/100))*SpeedB,
IF($T18&lt;=700,(((D$19*(1+(7*(CritMultB-1)))))*(($T18-600)/100)+((D$19*(1+(6*(CritMultB-1)))))*((100-($T18-600))/100))*SpeedB,
IF($T18&lt;=800,(((D$19*(1+(8*(CritMultB-1)))))*(($T18-700)/100)+((D$19*(1+(7*(CritMultB-1)))))*((100-($T18-700))/100))*SpeedB,
IF($T18&gt;800,"Unavailable")))))))))</f>
        <v>Unavailable</v>
      </c>
      <c r="D43" s="48" t="str">
        <f t="shared" si="28"/>
        <v>Unavailable</v>
      </c>
      <c r="E43" s="48" t="str">
        <f t="shared" si="28"/>
        <v>Unavailable</v>
      </c>
      <c r="F43" s="48" t="str">
        <f t="shared" si="28"/>
        <v>Unavailable</v>
      </c>
      <c r="G43" s="48" t="str">
        <f t="shared" si="28"/>
        <v>Unavailable</v>
      </c>
      <c r="H43" s="48" t="str">
        <f t="shared" si="28"/>
        <v>Unavailable</v>
      </c>
      <c r="I43" s="48" t="str">
        <f t="shared" si="28"/>
        <v>Unavailable</v>
      </c>
      <c r="J43" s="62" t="str">
        <f t="shared" si="28"/>
        <v>Unavailable</v>
      </c>
      <c r="L43" s="127"/>
      <c r="M43" s="128"/>
      <c r="N43" s="129" t="s">
        <v>109</v>
      </c>
      <c r="O43" s="118"/>
      <c r="P43" s="130"/>
      <c r="Q43" s="117"/>
      <c r="R43" s="118"/>
      <c r="S43" s="118"/>
      <c r="T43" s="118"/>
      <c r="U43" s="118"/>
      <c r="V43" s="118"/>
      <c r="W43" s="119"/>
    </row>
    <row r="44" spans="2:23">
      <c r="B44" s="89" t="s">
        <v>88</v>
      </c>
      <c r="C44" s="47" t="str">
        <f t="shared" ref="C44:J44" si="29">IF($T19&lt;=100,(((D$18*CritMultA)*($T19/100))+(D$18*(100-$T19)/100))*SpeedA,
IF($T19&lt;=200,((D$18*(1+(2*(CritMultA-1)))*(($T19-100)/100))+((D$18*CritMultA)*(100-($T19-100))/100))*SpeedA,
IF($T19&lt;=300,(((D$18*(1+(3*(CritMultA-1)))))*(($T19-200)/100)+((D$18*(1+(2*(CritMultA-1)))))*((100-($T19-200))/100))*SpeedA,
IF($T19&lt;=400,(((D$18*(1+(4*(CritMultA-1)))))*(($T19-300)/100)+((D$18*(1+(3*(CritMultA-1)))))*((100-($T19-300))/100))*SpeedA,
IF($T19&lt;=500,(((D$18*(1+(5*(CritMultA-1)))))*(($T19-400)/100)+((D$18*(1+(4*(CritMultA-1)))))*((100-($T19-400))/100))*SpeedA,
IF($T19&lt;=600,(((D$18*(1+(6*(CritMultA-1)))))*(($T19-500)/100)+((D$18*(1+(5*(CritMultA-1)))))*((100-($T19-500))/100))*SpeedA,
IF($T19&lt;=700,(((D$18*(1+(7*(CritMultA-1)))))*(($T19-600)/100)+((D$18*(1+(6*(CritMultA-1)))))*((100-($T19-600))/100))*SpeedA,
IF($T19&lt;=800,(((D$18*(1+(8*(CritMultA-1)))))*(($T19-700)/100)+((D$18*(1+(7*(CritMultA-1)))))*((100-($T19-700))/100))*SpeedA,
IF($T19&gt;800,"Unavailable")))))))))</f>
        <v>Unavailable</v>
      </c>
      <c r="D44" s="47" t="str">
        <f t="shared" si="29"/>
        <v>Unavailable</v>
      </c>
      <c r="E44" s="47" t="str">
        <f t="shared" si="29"/>
        <v>Unavailable</v>
      </c>
      <c r="F44" s="47" t="str">
        <f t="shared" si="29"/>
        <v>Unavailable</v>
      </c>
      <c r="G44" s="47" t="str">
        <f t="shared" si="29"/>
        <v>Unavailable</v>
      </c>
      <c r="H44" s="47" t="str">
        <f t="shared" si="29"/>
        <v>Unavailable</v>
      </c>
      <c r="I44" s="47" t="str">
        <f t="shared" si="29"/>
        <v>Unavailable</v>
      </c>
      <c r="J44" s="60" t="str">
        <f t="shared" si="29"/>
        <v>Unavailable</v>
      </c>
    </row>
    <row r="45" spans="2:23">
      <c r="B45" s="88"/>
      <c r="C45" s="48" t="str">
        <f t="shared" ref="C45:J45" si="30">IF($T20&lt;=100,(((D$19*CritMultB)*($T20/100))+(D$19*(100-$T20)/100))*SpeedB,
IF($T20&lt;=200,((D$19*(1+(2*(CritMultB-1)))*(($T20-100)/100))+((D$19*CritMultB)*(100-($T20-100))/100))*SpeedB,
IF($T20&lt;=300,(((D$19*(1+(3*(CritMultB-1)))))*(($T20-200)/100)+((D$19*(1+(2*(CritMultB-1)))))*((100-($T20-200))/100))*SpeedB,
IF($T20&lt;=400,(((D$19*(1+(4*(CritMultB-1)))))*(($T20-300)/100)+((D$19*(1+(3*(CritMultB-1)))))*((100-($T20-300))/100))*SpeedB,
IF($T20&lt;=500,(((D$19*(1+(5*(CritMultB-1)))))*(($T20-400)/100)+((D$19*(1+(4*(CritMultB-1)))))*((100-($T20-400))/100))*SpeedB,
IF($T20&lt;=600,(((D$19*(1+(6*(CritMultB-1)))))*(($T20-500)/100)+((D$19*(1+(5*(CritMultB-1)))))*((100-($T20-500))/100))*SpeedB,
IF($T20&lt;=700,(((D$19*(1+(7*(CritMultB-1)))))*(($T20-600)/100)+((D$19*(1+(6*(CritMultB-1)))))*((100-($T20-600))/100))*SpeedB,
IF($T20&lt;=800,(((D$19*(1+(8*(CritMultB-1)))))*(($T20-700)/100)+((D$19*(1+(7*(CritMultB-1)))))*((100-($T20-700))/100))*SpeedB,
IF($T20&gt;800,"Unavailable")))))))))</f>
        <v>Unavailable</v>
      </c>
      <c r="D45" s="48" t="str">
        <f t="shared" si="30"/>
        <v>Unavailable</v>
      </c>
      <c r="E45" s="48" t="str">
        <f t="shared" si="30"/>
        <v>Unavailable</v>
      </c>
      <c r="F45" s="48" t="str">
        <f t="shared" si="30"/>
        <v>Unavailable</v>
      </c>
      <c r="G45" s="48" t="str">
        <f t="shared" si="30"/>
        <v>Unavailable</v>
      </c>
      <c r="H45" s="48" t="str">
        <f t="shared" si="30"/>
        <v>Unavailable</v>
      </c>
      <c r="I45" s="48" t="str">
        <f t="shared" si="30"/>
        <v>Unavailable</v>
      </c>
      <c r="J45" s="62" t="str">
        <f t="shared" si="30"/>
        <v>Unavailable</v>
      </c>
    </row>
    <row r="46" spans="2:23">
      <c r="B46" s="89" t="s">
        <v>89</v>
      </c>
      <c r="C46" s="47" t="str">
        <f t="shared" ref="C46:J46" si="31">IF($T21&lt;=100,(((D$18*CritMultA)*($T21/100))+(D$18*(100-$T21)/100))*SpeedA,
IF($T21&lt;=200,((D$18*(1+(2*(CritMultA-1)))*(($T21-100)/100))+((D$18*CritMultA)*(100-($T21-100))/100))*SpeedA,
IF($T21&lt;=300,(((D$18*(1+(3*(CritMultA-1)))))*(($T21-200)/100)+((D$18*(1+(2*(CritMultA-1)))))*((100-($T21-200))/100))*SpeedA,
IF($T21&lt;=400,(((D$18*(1+(4*(CritMultA-1)))))*(($T21-300)/100)+((D$18*(1+(3*(CritMultA-1)))))*((100-($T21-300))/100))*SpeedA,
IF($T21&lt;=500,(((D$18*(1+(5*(CritMultA-1)))))*(($T21-400)/100)+((D$18*(1+(4*(CritMultA-1)))))*((100-($T21-400))/100))*SpeedA,
IF($T21&lt;=600,(((D$18*(1+(6*(CritMultA-1)))))*(($T21-500)/100)+((D$18*(1+(5*(CritMultA-1)))))*((100-($T21-500))/100))*SpeedA,
IF($T21&lt;=700,(((D$18*(1+(7*(CritMultA-1)))))*(($T21-600)/100)+((D$18*(1+(6*(CritMultA-1)))))*((100-($T21-600))/100))*SpeedA,
IF($T21&lt;=800,(((D$18*(1+(8*(CritMultA-1)))))*(($T21-700)/100)+((D$18*(1+(7*(CritMultA-1)))))*((100-($T21-700))/100))*SpeedA,
IF($T21&gt;800,"Unavailable")))))))))</f>
        <v>Unavailable</v>
      </c>
      <c r="D46" s="47" t="str">
        <f t="shared" si="31"/>
        <v>Unavailable</v>
      </c>
      <c r="E46" s="47" t="str">
        <f t="shared" si="31"/>
        <v>Unavailable</v>
      </c>
      <c r="F46" s="47" t="str">
        <f t="shared" si="31"/>
        <v>Unavailable</v>
      </c>
      <c r="G46" s="47" t="str">
        <f t="shared" si="31"/>
        <v>Unavailable</v>
      </c>
      <c r="H46" s="47" t="str">
        <f t="shared" si="31"/>
        <v>Unavailable</v>
      </c>
      <c r="I46" s="47" t="str">
        <f t="shared" si="31"/>
        <v>Unavailable</v>
      </c>
      <c r="J46" s="60" t="str">
        <f t="shared" si="31"/>
        <v>Unavailable</v>
      </c>
    </row>
    <row r="47" spans="2:23">
      <c r="B47" s="88"/>
      <c r="C47" s="48" t="str">
        <f t="shared" ref="C47:J47" si="32">IF($T22&lt;=100,(((D$19*CritMultB)*($T22/100))+(D$19*(100-$T22)/100))*SpeedB,
IF($T22&lt;=200,((D$19*(1+(2*(CritMultB-1)))*(($T22-100)/100))+((D$19*CritMultB)*(100-($T22-100))/100))*SpeedB,
IF($T22&lt;=300,(((D$19*(1+(3*(CritMultB-1)))))*(($T22-200)/100)+((D$19*(1+(2*(CritMultB-1)))))*((100-($T22-200))/100))*SpeedB,
IF($T22&lt;=400,(((D$19*(1+(4*(CritMultB-1)))))*(($T22-300)/100)+((D$19*(1+(3*(CritMultB-1)))))*((100-($T22-300))/100))*SpeedB,
IF($T22&lt;=500,(((D$19*(1+(5*(CritMultB-1)))))*(($T22-400)/100)+((D$19*(1+(4*(CritMultB-1)))))*((100-($T22-400))/100))*SpeedB,
IF($T22&lt;=600,(((D$19*(1+(6*(CritMultB-1)))))*(($T22-500)/100)+((D$19*(1+(5*(CritMultB-1)))))*((100-($T22-500))/100))*SpeedB,
IF($T22&lt;=700,(((D$19*(1+(7*(CritMultB-1)))))*(($T22-600)/100)+((D$19*(1+(6*(CritMultB-1)))))*((100-($T22-600))/100))*SpeedB,
IF($T22&lt;=800,(((D$19*(1+(8*(CritMultB-1)))))*(($T22-700)/100)+((D$19*(1+(7*(CritMultB-1)))))*((100-($T22-700))/100))*SpeedB,
IF($T22&gt;800,"Unavailable")))))))))</f>
        <v>Unavailable</v>
      </c>
      <c r="D47" s="48" t="str">
        <f t="shared" si="32"/>
        <v>Unavailable</v>
      </c>
      <c r="E47" s="48" t="str">
        <f t="shared" si="32"/>
        <v>Unavailable</v>
      </c>
      <c r="F47" s="48" t="str">
        <f t="shared" si="32"/>
        <v>Unavailable</v>
      </c>
      <c r="G47" s="48" t="str">
        <f t="shared" si="32"/>
        <v>Unavailable</v>
      </c>
      <c r="H47" s="48" t="str">
        <f t="shared" si="32"/>
        <v>Unavailable</v>
      </c>
      <c r="I47" s="48" t="str">
        <f t="shared" si="32"/>
        <v>Unavailable</v>
      </c>
      <c r="J47" s="62" t="str">
        <f t="shared" si="32"/>
        <v>Unavailable</v>
      </c>
      <c r="P47" s="135"/>
    </row>
    <row r="48" spans="2:23">
      <c r="B48" s="89" t="s">
        <v>90</v>
      </c>
      <c r="C48" s="47" t="str">
        <f t="shared" ref="C48:J48" si="33">IF($T23&lt;=100,(((D$18*CritMultA)*($T23/100))+(D$18*(100-$T23)/100))*SpeedA,
IF($T23&lt;=200,((D$18*(1+(2*(CritMultA-1)))*(($T23-100)/100))+((D$18*CritMultA)*(100-($T23-100))/100))*SpeedA,
IF($T23&lt;=300,(((D$18*(1+(3*(CritMultA-1)))))*(($T23-200)/100)+((D$18*(1+(2*(CritMultA-1)))))*((100-($T23-200))/100))*SpeedA,
IF($T23&lt;=400,(((D$18*(1+(4*(CritMultA-1)))))*(($T23-300)/100)+((D$18*(1+(3*(CritMultA-1)))))*((100-($T23-300))/100))*SpeedA,
IF($T23&lt;=500,(((D$18*(1+(5*(CritMultA-1)))))*(($T23-400)/100)+((D$18*(1+(4*(CritMultA-1)))))*((100-($T23-400))/100))*SpeedA,
IF($T23&lt;=600,(((D$18*(1+(6*(CritMultA-1)))))*(($T23-500)/100)+((D$18*(1+(5*(CritMultA-1)))))*((100-($T23-500))/100))*SpeedA,
IF($T23&lt;=700,(((D$18*(1+(7*(CritMultA-1)))))*(($T23-600)/100)+((D$18*(1+(6*(CritMultA-1)))))*((100-($T23-600))/100))*SpeedA,
IF($T23&lt;=800,(((D$18*(1+(8*(CritMultA-1)))))*(($T23-700)/100)+((D$18*(1+(7*(CritMultA-1)))))*((100-($T23-700))/100))*SpeedA,
IF($T23&gt;800,"Unavailable")))))))))</f>
        <v>Unavailable</v>
      </c>
      <c r="D48" s="47" t="str">
        <f t="shared" si="33"/>
        <v>Unavailable</v>
      </c>
      <c r="E48" s="47" t="str">
        <f t="shared" si="33"/>
        <v>Unavailable</v>
      </c>
      <c r="F48" s="47" t="str">
        <f t="shared" si="33"/>
        <v>Unavailable</v>
      </c>
      <c r="G48" s="47" t="str">
        <f t="shared" si="33"/>
        <v>Unavailable</v>
      </c>
      <c r="H48" s="47" t="str">
        <f t="shared" si="33"/>
        <v>Unavailable</v>
      </c>
      <c r="I48" s="47" t="str">
        <f t="shared" si="33"/>
        <v>Unavailable</v>
      </c>
      <c r="J48" s="60" t="str">
        <f t="shared" si="33"/>
        <v>Unavailable</v>
      </c>
    </row>
    <row r="49" spans="1:22" ht="16" thickBot="1">
      <c r="B49" s="90"/>
      <c r="C49" s="131" t="str">
        <f t="shared" ref="C49:J49" si="34">IF($T24&lt;=100,(((D$19*CritMultB)*($T24/100))+(D$19*(100-$T24)/100))*SpeedB,
IF($T24&lt;=200,((D$19*(1+(2*(CritMultB-1)))*(($T24-100)/100))+((D$19*CritMultB)*(100-($T24-100))/100))*SpeedB,
IF($T24&lt;=300,(((D$19*(1+(3*(CritMultB-1)))))*(($T24-200)/100)+((D$19*(1+(2*(CritMultB-1)))))*((100-($T24-200))/100))*SpeedB,
IF($T24&lt;=400,(((D$19*(1+(4*(CritMultB-1)))))*(($T24-300)/100)+((D$19*(1+(3*(CritMultB-1)))))*((100-($T24-300))/100))*SpeedB,
IF($T24&lt;=500,(((D$19*(1+(5*(CritMultB-1)))))*(($T24-400)/100)+((D$19*(1+(4*(CritMultB-1)))))*((100-($T24-400))/100))*SpeedB,
IF($T24&lt;=600,(((D$19*(1+(6*(CritMultB-1)))))*(($T24-500)/100)+((D$19*(1+(5*(CritMultB-1)))))*((100-($T24-500))/100))*SpeedB,
IF($T24&lt;=700,(((D$19*(1+(7*(CritMultB-1)))))*(($T24-600)/100)+((D$19*(1+(6*(CritMultB-1)))))*((100-($T24-600))/100))*SpeedB,
IF($T24&lt;=800,(((D$19*(1+(8*(CritMultB-1)))))*(($T24-700)/100)+((D$19*(1+(7*(CritMultB-1)))))*((100-($T24-700))/100))*SpeedB,
IF($T24&gt;800,"Unavailable")))))))))</f>
        <v>Unavailable</v>
      </c>
      <c r="D49" s="131" t="str">
        <f t="shared" si="34"/>
        <v>Unavailable</v>
      </c>
      <c r="E49" s="131" t="str">
        <f t="shared" si="34"/>
        <v>Unavailable</v>
      </c>
      <c r="F49" s="131" t="str">
        <f t="shared" si="34"/>
        <v>Unavailable</v>
      </c>
      <c r="G49" s="131" t="str">
        <f t="shared" si="34"/>
        <v>Unavailable</v>
      </c>
      <c r="H49" s="131" t="str">
        <f t="shared" si="34"/>
        <v>Unavailable</v>
      </c>
      <c r="I49" s="131" t="str">
        <f t="shared" si="34"/>
        <v>Unavailable</v>
      </c>
      <c r="J49" s="132" t="str">
        <f t="shared" si="34"/>
        <v>Unavailable</v>
      </c>
    </row>
    <row r="50" spans="1:22" ht="15.5" customHeight="1"/>
    <row r="51" spans="1:22" ht="15.5" customHeight="1">
      <c r="B51" s="222" t="s">
        <v>57</v>
      </c>
      <c r="C51" s="223"/>
      <c r="D51" s="223"/>
      <c r="E51" s="223"/>
      <c r="F51" s="223"/>
      <c r="G51" s="223"/>
      <c r="H51" s="223"/>
    </row>
    <row r="52" spans="1:22" ht="15.5" customHeight="1" thickBot="1">
      <c r="B52" s="184"/>
      <c r="C52" s="184"/>
      <c r="D52" s="184"/>
      <c r="E52" s="184"/>
      <c r="F52" s="184"/>
      <c r="G52" s="184"/>
      <c r="H52" s="184"/>
    </row>
    <row r="53" spans="1:22" ht="16" customHeight="1">
      <c r="B53" s="220" t="s">
        <v>98</v>
      </c>
      <c r="C53" s="171" t="s">
        <v>97</v>
      </c>
      <c r="D53" s="171" t="s">
        <v>99</v>
      </c>
      <c r="E53" s="171" t="s">
        <v>60</v>
      </c>
      <c r="F53" s="95" t="s">
        <v>42</v>
      </c>
      <c r="G53" s="217" t="s">
        <v>61</v>
      </c>
      <c r="H53" s="224" t="s">
        <v>100</v>
      </c>
    </row>
    <row r="54" spans="1:22" ht="20">
      <c r="B54" s="227"/>
      <c r="C54" s="228"/>
      <c r="D54" s="228"/>
      <c r="E54" s="228"/>
      <c r="F54" s="18"/>
      <c r="G54" s="218"/>
      <c r="H54" s="225"/>
    </row>
    <row r="55" spans="1:22" ht="18.5" customHeight="1" thickBot="1">
      <c r="B55" s="227"/>
      <c r="C55" s="228"/>
      <c r="D55" s="228"/>
      <c r="E55" s="170"/>
      <c r="F55" s="19"/>
      <c r="G55" s="219"/>
      <c r="H55" s="226"/>
    </row>
    <row r="56" spans="1:22" ht="22" thickTop="1" thickBot="1">
      <c r="B56" s="139"/>
      <c r="C56" s="139"/>
      <c r="D56" s="142">
        <v>1</v>
      </c>
      <c r="E56" s="141">
        <f>IF(ISBLANK(D56),"",20*(D56-1))</f>
        <v>0</v>
      </c>
      <c r="F56" s="112" t="s">
        <v>42</v>
      </c>
      <c r="G56" s="144" t="str">
        <f>IF(COUNTA(B56:D56)&lt;3,"",((B56*100)*(1+C56+(0.4*(D56-1))))/100)</f>
        <v/>
      </c>
      <c r="H56" s="113" t="str">
        <f>(IF(COUNTA(B56:D56)&lt;2,"",IF((100/B56/100-(0.4*(D56-1))-1)&lt;=0,0,100/B56/100-(0.4*(D56-1))-1)))</f>
        <v/>
      </c>
    </row>
    <row r="57" spans="1:22" ht="16" thickTop="1">
      <c r="N57" s="111"/>
      <c r="O57" s="10"/>
      <c r="P57" s="10"/>
      <c r="Q57" s="10"/>
      <c r="R57" s="10"/>
      <c r="S57" s="10"/>
      <c r="T57" s="10"/>
      <c r="U57" s="10"/>
      <c r="V57" s="111"/>
    </row>
    <row r="58" spans="1:22" ht="31">
      <c r="A58" s="136" t="s">
        <v>0</v>
      </c>
      <c r="B58" s="213" t="s">
        <v>1</v>
      </c>
      <c r="C58" s="214"/>
      <c r="D58" s="210" t="s">
        <v>96</v>
      </c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2"/>
    </row>
    <row r="59" spans="1:22">
      <c r="A59" s="1"/>
      <c r="B59" s="215"/>
      <c r="C59" s="216"/>
      <c r="D59" s="137"/>
      <c r="E59" s="2"/>
      <c r="F59" s="2"/>
      <c r="G59" s="2"/>
      <c r="H59" s="2"/>
      <c r="I59" s="2"/>
      <c r="J59" s="2"/>
      <c r="K59" s="2"/>
      <c r="L59" s="2"/>
      <c r="M59" s="2"/>
      <c r="N59" s="108"/>
      <c r="O59" s="108"/>
      <c r="P59" s="108"/>
      <c r="Q59" s="108"/>
      <c r="R59" s="108"/>
      <c r="S59" s="108"/>
      <c r="T59" s="108"/>
      <c r="U59" s="108"/>
      <c r="V59" s="102"/>
    </row>
    <row r="60" spans="1:22">
      <c r="A60" s="3" t="e">
        <f>(DamA*CritMultA)</f>
        <v>#VALUE!</v>
      </c>
      <c r="B60" s="209" t="s">
        <v>2</v>
      </c>
      <c r="C60" s="209"/>
      <c r="D60" s="137" t="s">
        <v>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138"/>
    </row>
    <row r="61" spans="1:22">
      <c r="A61" s="3" t="e">
        <f>(DamB*CritMultB)</f>
        <v>#VALUE!</v>
      </c>
      <c r="B61" s="209" t="s">
        <v>4</v>
      </c>
      <c r="C61" s="209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38"/>
    </row>
    <row r="62" spans="1:22">
      <c r="A62" s="3" t="e">
        <f>(DamA*(2*(CritMultA-1)+1))</f>
        <v>#VALUE!</v>
      </c>
      <c r="B62" s="209" t="s">
        <v>5</v>
      </c>
      <c r="C62" s="209"/>
      <c r="D62" s="137" t="s">
        <v>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38"/>
    </row>
    <row r="63" spans="1:22">
      <c r="A63" s="3" t="e">
        <f>(DamB*(2*(CritMultB-1)+1))</f>
        <v>#VALUE!</v>
      </c>
      <c r="B63" s="209" t="s">
        <v>7</v>
      </c>
      <c r="C63" s="209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138"/>
    </row>
    <row r="64" spans="1:22">
      <c r="A64" s="3" t="e">
        <f>(DamA*(3*(CritMultA-1)+1))</f>
        <v>#VALUE!</v>
      </c>
      <c r="B64" s="209" t="s">
        <v>8</v>
      </c>
      <c r="C64" s="209"/>
      <c r="D64" s="2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38"/>
    </row>
    <row r="65" spans="1:22">
      <c r="A65" s="3" t="e">
        <f>(DamB*(3*(CritMultB-1)+1))</f>
        <v>#VALUE!</v>
      </c>
      <c r="B65" s="209" t="s">
        <v>10</v>
      </c>
      <c r="C65" s="209"/>
      <c r="D65" s="10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138"/>
    </row>
    <row r="66" spans="1:22">
      <c r="A66" s="3" t="e">
        <f>(DamA*(4*(CritMultA-1)+1))</f>
        <v>#VALUE!</v>
      </c>
      <c r="B66" s="2" t="s">
        <v>20</v>
      </c>
      <c r="C66" s="138"/>
      <c r="D66" s="137" t="s">
        <v>21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38"/>
    </row>
    <row r="67" spans="1:22">
      <c r="A67" s="3" t="e">
        <f>(DamB*(4*(CritMultB-1)+1))</f>
        <v>#VALUE!</v>
      </c>
      <c r="B67" s="137" t="s">
        <v>22</v>
      </c>
      <c r="C67" s="138"/>
      <c r="D67" s="10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38"/>
    </row>
    <row r="68" spans="1:22">
      <c r="A68" s="3" t="e">
        <f>(DamA*(5*(CritMultA-1)+1))</f>
        <v>#VALUE!</v>
      </c>
      <c r="B68" s="137" t="s">
        <v>23</v>
      </c>
      <c r="C68" s="138"/>
      <c r="D68" s="2" t="s">
        <v>24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38"/>
    </row>
    <row r="69" spans="1:22">
      <c r="A69" s="3" t="e">
        <f>(DamB*(5*(CritMultB-1)+1))</f>
        <v>#VALUE!</v>
      </c>
      <c r="B69" s="137" t="s">
        <v>25</v>
      </c>
      <c r="C69" s="138"/>
      <c r="D69" s="10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138"/>
    </row>
    <row r="70" spans="1:22">
      <c r="A70" s="3" t="e">
        <f>(DamA*(6*(CritMultA-1)+1))</f>
        <v>#VALUE!</v>
      </c>
      <c r="B70" s="137" t="s">
        <v>26</v>
      </c>
      <c r="C70" s="138"/>
      <c r="D70" s="2" t="s">
        <v>27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38"/>
    </row>
    <row r="71" spans="1:22">
      <c r="A71" s="3" t="e">
        <f>(DamB*(6*(CritMultB-1)+1))</f>
        <v>#VALUE!</v>
      </c>
      <c r="B71" s="137" t="s">
        <v>28</v>
      </c>
      <c r="C71" s="13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138"/>
    </row>
    <row r="72" spans="1:22">
      <c r="A72" s="3" t="e">
        <f>(DamA*(7*(CritMultA-1)+1))</f>
        <v>#VALUE!</v>
      </c>
      <c r="B72" s="137" t="s">
        <v>29</v>
      </c>
      <c r="C72" s="138"/>
      <c r="D72" s="2" t="s">
        <v>30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38"/>
    </row>
    <row r="73" spans="1:22">
      <c r="A73" s="3" t="e">
        <f>(DamB*(7*(CritMultB-1)+1))</f>
        <v>#VALUE!</v>
      </c>
      <c r="B73" s="137" t="s">
        <v>31</v>
      </c>
      <c r="C73" s="13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38"/>
    </row>
    <row r="74" spans="1:22">
      <c r="A74" s="3" t="e">
        <f>(DamA*(8*(CritMultA-1)+1))</f>
        <v>#VALUE!</v>
      </c>
      <c r="B74" s="137" t="s">
        <v>32</v>
      </c>
      <c r="C74" s="138"/>
      <c r="D74" s="2" t="s">
        <v>33</v>
      </c>
      <c r="E74" s="2"/>
      <c r="F74" s="2"/>
      <c r="G74" s="2"/>
      <c r="H74" s="2"/>
      <c r="I74" s="2"/>
      <c r="J74" s="2"/>
      <c r="K74" s="2"/>
      <c r="L74" s="2"/>
      <c r="M74" s="2"/>
      <c r="N74" s="8"/>
      <c r="O74" s="8"/>
      <c r="P74" s="8"/>
      <c r="Q74" s="8"/>
      <c r="R74" s="8"/>
      <c r="S74" s="8"/>
      <c r="T74" s="8"/>
      <c r="U74" s="8"/>
      <c r="V74" s="9"/>
    </row>
    <row r="75" spans="1:22">
      <c r="A75" s="3" t="e">
        <f>(DamB*(8*(CritMultB-1)+1))</f>
        <v>#VALUE!</v>
      </c>
      <c r="B75" s="137" t="s">
        <v>34</v>
      </c>
      <c r="C75" s="138"/>
      <c r="D75" s="7"/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2"/>
      <c r="T75" s="2"/>
      <c r="U75" s="2"/>
      <c r="V75" s="138"/>
    </row>
    <row r="76" spans="1:22">
      <c r="A76" s="3" t="e">
        <f>(DamA*(9*(CritMultA-1)+1))</f>
        <v>#VALUE!</v>
      </c>
      <c r="B76" s="137" t="s">
        <v>35</v>
      </c>
      <c r="C76" s="138"/>
      <c r="D76" s="137" t="s">
        <v>36</v>
      </c>
      <c r="E76" s="2"/>
      <c r="F76" s="2"/>
      <c r="G76" s="2"/>
      <c r="H76" s="2"/>
      <c r="I76" s="2"/>
      <c r="J76" s="2"/>
      <c r="K76" s="2"/>
      <c r="L76" s="2"/>
      <c r="M76" s="2"/>
      <c r="N76" s="10"/>
      <c r="O76" s="10"/>
      <c r="P76" s="10"/>
      <c r="Q76" s="10"/>
      <c r="R76" s="10"/>
      <c r="S76" s="10"/>
      <c r="T76" s="10"/>
      <c r="U76" s="10"/>
      <c r="V76" s="138"/>
    </row>
    <row r="77" spans="1:22">
      <c r="A77" s="3" t="e">
        <f>(DamB*(9*(CritMultB-1)+1))</f>
        <v>#VALUE!</v>
      </c>
      <c r="B77" s="137" t="s">
        <v>37</v>
      </c>
      <c r="C77" s="138"/>
      <c r="D77" s="5"/>
      <c r="E77" s="10"/>
      <c r="F77" s="10"/>
      <c r="G77" s="10"/>
      <c r="H77" s="10"/>
      <c r="I77" s="10"/>
      <c r="J77" s="10"/>
      <c r="K77" s="10"/>
      <c r="L77" s="10"/>
      <c r="M77" s="10"/>
      <c r="N77" s="2"/>
      <c r="O77" s="2"/>
      <c r="P77" s="2"/>
      <c r="Q77" s="2"/>
      <c r="R77" s="2"/>
      <c r="S77" s="2"/>
      <c r="T77" s="2"/>
      <c r="U77" s="2"/>
      <c r="V77" s="138"/>
    </row>
    <row r="78" spans="1:22">
      <c r="A78" s="3" t="e">
        <f>((YCritDamA*CritChanceA)+(DamA*(100-CritChanceA)))/100</f>
        <v>#VALUE!</v>
      </c>
      <c r="B78" s="209" t="s">
        <v>11</v>
      </c>
      <c r="C78" s="209"/>
      <c r="D78" s="2" t="s">
        <v>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138"/>
    </row>
    <row r="79" spans="1:22">
      <c r="A79" s="3" t="e">
        <f>((YCritDamB*CritChanceB)+(DamB*(100-CritChanceB)))/100</f>
        <v>#VALUE!</v>
      </c>
      <c r="B79" s="207" t="s">
        <v>13</v>
      </c>
      <c r="C79" s="20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138"/>
    </row>
    <row r="80" spans="1:22">
      <c r="A80" s="3" t="e">
        <f>((OCritDamA*(CritChanceA-100))+(YCritDamA*(100-(CritChanceA-100))))/100</f>
        <v>#VALUE!</v>
      </c>
      <c r="B80" s="206" t="s">
        <v>14</v>
      </c>
      <c r="C80" s="206"/>
      <c r="D80" s="2" t="s">
        <v>15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138"/>
    </row>
    <row r="81" spans="1:22">
      <c r="A81" s="3" t="e">
        <f>((OCritDamB*(CritChanceB-100)+(YCritDamB*(100-(CritChanceB-100))))/100)</f>
        <v>#VALUE!</v>
      </c>
      <c r="B81" s="206" t="s">
        <v>16</v>
      </c>
      <c r="C81" s="20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138"/>
    </row>
    <row r="82" spans="1:22">
      <c r="A82" s="3" t="e">
        <f>((RCritDamA*(CritChanceA-200))+(OCritDamA*(100-(CritChanceA-200))))/100</f>
        <v>#VALUE!</v>
      </c>
      <c r="B82" s="206" t="s">
        <v>17</v>
      </c>
      <c r="C82" s="206"/>
      <c r="D82" s="2" t="s">
        <v>18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138"/>
    </row>
    <row r="83" spans="1:22">
      <c r="A83" s="3" t="e">
        <f>((RCritDamB*(CritChanceB-200))+(OCritDamB*(100-(CritChanceB-200))))/100</f>
        <v>#VALUE!</v>
      </c>
      <c r="B83" s="207" t="s">
        <v>19</v>
      </c>
      <c r="C83" s="208"/>
      <c r="D83" s="2"/>
      <c r="E83" s="2"/>
      <c r="F83" s="2"/>
      <c r="G83" s="2"/>
      <c r="H83" s="2"/>
      <c r="I83" s="2"/>
      <c r="J83" s="2"/>
      <c r="K83" s="2"/>
      <c r="L83" s="2"/>
      <c r="M83" s="2"/>
      <c r="N83" s="108"/>
      <c r="O83" s="108"/>
      <c r="P83" s="108"/>
      <c r="Q83" s="108"/>
      <c r="R83" s="108"/>
      <c r="S83" s="108"/>
      <c r="T83" s="108"/>
      <c r="U83" s="108"/>
      <c r="V83" s="102"/>
    </row>
    <row r="84" spans="1:22">
      <c r="A84" s="4">
        <f>($L$3*(1+$L$4))+($M$3*(1+$M$4))+($N$3*(1+$N$4))+$O$3</f>
        <v>0</v>
      </c>
      <c r="B84" s="108" t="s">
        <v>92</v>
      </c>
      <c r="C84" s="108"/>
      <c r="D84" s="7" t="s">
        <v>118</v>
      </c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2"/>
    </row>
    <row r="85" spans="1:22">
      <c r="A85" s="5">
        <f>($L$7*(1+$L$8))+($M$7*(1+$M$8))+($N$7*(1+$N$8))+$O$7</f>
        <v>0</v>
      </c>
      <c r="B85" s="10" t="s">
        <v>91</v>
      </c>
      <c r="C85" s="10"/>
      <c r="D85" s="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43"/>
    </row>
    <row r="86" spans="1:22">
      <c r="A86">
        <f>IF(AND(D3&gt;0,E3&gt;0),(MagA/((MagA/SpeedA)+(MagA*ChargeA)+ReloadA)),IF(D3&gt;0,(MagA/((MagA*ChargeA)+ReloadA)),IF(E3&gt;0,(MagA/((MagA/SpeedA)+ReloadA)),1)))</f>
        <v>1</v>
      </c>
      <c r="B86" t="s">
        <v>126</v>
      </c>
      <c r="D86" s="4" t="s">
        <v>127</v>
      </c>
      <c r="V86" s="9"/>
    </row>
    <row r="87" spans="1:22">
      <c r="A87" s="10">
        <f>IF(AND(D7&gt;0,E7&gt;0),(MagB/((MagB/SpeedB)+(MagB*ChargeB)+ReloadB)),IF(D7&gt;0,(MagB/((MagB*ChargeB)+ReloadB)),IF(E7&gt;0,(MagB/((MagB/SpeedB)+ReloadB)),1)))</f>
        <v>1</v>
      </c>
      <c r="B87" s="10" t="s">
        <v>128</v>
      </c>
      <c r="C87" s="10"/>
      <c r="D87" s="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43"/>
    </row>
  </sheetData>
  <sheetProtection sheet="1" objects="1" scenarios="1"/>
  <mergeCells count="42">
    <mergeCell ref="B60:C60"/>
    <mergeCell ref="L31:L32"/>
    <mergeCell ref="M31:M32"/>
    <mergeCell ref="N31:N32"/>
    <mergeCell ref="B51:H52"/>
    <mergeCell ref="H53:H55"/>
    <mergeCell ref="B53:B55"/>
    <mergeCell ref="D53:D55"/>
    <mergeCell ref="E53:E55"/>
    <mergeCell ref="C53:C55"/>
    <mergeCell ref="Q31:W31"/>
    <mergeCell ref="B82:C82"/>
    <mergeCell ref="B83:C83"/>
    <mergeCell ref="B63:C63"/>
    <mergeCell ref="B64:C64"/>
    <mergeCell ref="B65:C65"/>
    <mergeCell ref="B78:C78"/>
    <mergeCell ref="B79:C79"/>
    <mergeCell ref="B80:C80"/>
    <mergeCell ref="B61:C61"/>
    <mergeCell ref="B62:C62"/>
    <mergeCell ref="B81:C81"/>
    <mergeCell ref="D58:V58"/>
    <mergeCell ref="B58:C58"/>
    <mergeCell ref="B59:C59"/>
    <mergeCell ref="G53:G55"/>
    <mergeCell ref="O31:O32"/>
    <mergeCell ref="P31:P32"/>
    <mergeCell ref="Q1:V1"/>
    <mergeCell ref="E1:P1"/>
    <mergeCell ref="D14:K14"/>
    <mergeCell ref="N13:V13"/>
    <mergeCell ref="C26:J26"/>
    <mergeCell ref="B25:J25"/>
    <mergeCell ref="N17:N26"/>
    <mergeCell ref="L30:W30"/>
    <mergeCell ref="B13:K13"/>
    <mergeCell ref="B14:C15"/>
    <mergeCell ref="B16:C16"/>
    <mergeCell ref="B18:C18"/>
    <mergeCell ref="B20:C20"/>
    <mergeCell ref="B26:B27"/>
  </mergeCells>
  <conditionalFormatting sqref="V5">
    <cfRule type="containsText" dxfId="19" priority="66" operator="containsText" text="red">
      <formula>NOT(ISERROR(SEARCH("red",V5)))</formula>
    </cfRule>
    <cfRule type="containsText" dxfId="18" priority="67" operator="containsText" text="orange">
      <formula>NOT(ISERROR(SEARCH("orange",V5)))</formula>
    </cfRule>
    <cfRule type="containsText" dxfId="17" priority="68" operator="containsText" text="yellow">
      <formula>NOT(ISERROR(SEARCH("yellow",V5)))</formula>
    </cfRule>
  </conditionalFormatting>
  <conditionalFormatting sqref="V9">
    <cfRule type="containsText" dxfId="16" priority="63" operator="containsText" text="red">
      <formula>NOT(ISERROR(SEARCH("red",V9)))</formula>
    </cfRule>
    <cfRule type="containsText" dxfId="15" priority="64" operator="containsText" text="orange">
      <formula>NOT(ISERROR(SEARCH("orange",V9)))</formula>
    </cfRule>
    <cfRule type="containsText" dxfId="14" priority="65" operator="containsText" text="yellow">
      <formula>NOT(ISERROR(SEARCH("yellow",V9)))</formula>
    </cfRule>
  </conditionalFormatting>
  <conditionalFormatting sqref="H2:J5 H7:J9">
    <cfRule type="expression" dxfId="13" priority="69">
      <formula>$A$4="melee"</formula>
    </cfRule>
  </conditionalFormatting>
  <conditionalFormatting sqref="N14:V26">
    <cfRule type="expression" dxfId="12" priority="16">
      <formula>$A$4="ranged"</formula>
    </cfRule>
  </conditionalFormatting>
  <conditionalFormatting sqref="B26:J49">
    <cfRule type="expression" dxfId="11" priority="94">
      <formula>$A$4="ranged"</formula>
    </cfRule>
  </conditionalFormatting>
  <conditionalFormatting sqref="R15:R26">
    <cfRule type="containsText" dxfId="10" priority="17" operator="containsText" text="red">
      <formula>NOT(ISERROR(SEARCH("red",R15)))</formula>
    </cfRule>
    <cfRule type="containsText" dxfId="9" priority="28" operator="containsText" text="orange">
      <formula>NOT(ISERROR(SEARCH("orange",R15)))</formula>
    </cfRule>
    <cfRule type="containsText" dxfId="8" priority="72" operator="containsText" text="yellow">
      <formula>NOT(ISERROR(SEARCH("yellow",R15)))</formula>
    </cfRule>
  </conditionalFormatting>
  <conditionalFormatting sqref="V15:V24">
    <cfRule type="containsText" dxfId="7" priority="18" operator="containsText" text="red">
      <formula>NOT(ISERROR(SEARCH("red",V15)))</formula>
    </cfRule>
    <cfRule type="containsText" dxfId="6" priority="26" operator="containsText" text="orange">
      <formula>NOT(ISERROR(SEARCH("orange",V15)))</formula>
    </cfRule>
    <cfRule type="containsText" dxfId="5" priority="27" operator="containsText" text="yellow">
      <formula>NOT(ISERROR(SEARCH("yellow",V15)))</formula>
    </cfRule>
  </conditionalFormatting>
  <conditionalFormatting sqref="D2:D5">
    <cfRule type="expression" dxfId="4" priority="5">
      <formula>$A$4="melee"</formula>
    </cfRule>
  </conditionalFormatting>
  <conditionalFormatting sqref="C2:C5">
    <cfRule type="expression" dxfId="3" priority="4">
      <formula>A4="melee"</formula>
    </cfRule>
  </conditionalFormatting>
  <conditionalFormatting sqref="D7:D8">
    <cfRule type="expression" dxfId="2" priority="3">
      <formula>$A$4="melee"</formula>
    </cfRule>
  </conditionalFormatting>
  <conditionalFormatting sqref="B14:K21">
    <cfRule type="expression" dxfId="1" priority="2">
      <formula>$A$4="ranged"</formula>
    </cfRule>
  </conditionalFormatting>
  <conditionalFormatting sqref="B53:H56">
    <cfRule type="expression" dxfId="0" priority="1">
      <formula>$A$4="ranged"</formula>
    </cfRule>
  </conditionalFormatting>
  <dataValidations disablePrompts="1" count="2">
    <dataValidation type="list" allowBlank="1" showInputMessage="1" showErrorMessage="1" sqref="A4" xr:uid="{8FB762C2-A0AA-B847-A73C-F9F7125FB1B9}">
      <formula1>"Melee,Ranged"</formula1>
    </dataValidation>
    <dataValidation type="list" allowBlank="1" showInputMessage="1" showErrorMessage="1" errorTitle="Input a number from 1-10" error="Input a number from 1-10" sqref="D56" xr:uid="{ADE84C4B-47B7-5345-B72D-EEB394A285B5}">
      <formula1>"1,2,3,4,5,6,7,8,9,10,11,12"</formula1>
    </dataValidation>
  </dataValidations>
  <pageMargins left="0.7" right="0.7" top="0.75" bottom="0.75" header="0.3" footer="0.3"/>
  <pageSetup scale="89" fitToWidth="0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</vt:i4>
      </vt:variant>
    </vt:vector>
  </HeadingPairs>
  <TitlesOfParts>
    <vt:vector size="48" baseType="lpstr">
      <vt:lpstr>Sheet1</vt:lpstr>
      <vt:lpstr>AvgOCritDamA</vt:lpstr>
      <vt:lpstr>AvgOCritDamB</vt:lpstr>
      <vt:lpstr>AvgRCritDamA</vt:lpstr>
      <vt:lpstr>AvgRCritDamB</vt:lpstr>
      <vt:lpstr>AvgYCritDamA</vt:lpstr>
      <vt:lpstr>AvgYCritDamB</vt:lpstr>
      <vt:lpstr>ChargeA</vt:lpstr>
      <vt:lpstr>ChargeB</vt:lpstr>
      <vt:lpstr>CritChanceA</vt:lpstr>
      <vt:lpstr>CritChanceB</vt:lpstr>
      <vt:lpstr>CritMultA</vt:lpstr>
      <vt:lpstr>CritMultB</vt:lpstr>
      <vt:lpstr>DamA</vt:lpstr>
      <vt:lpstr>DamB</vt:lpstr>
      <vt:lpstr>MagA</vt:lpstr>
      <vt:lpstr>MagB</vt:lpstr>
      <vt:lpstr>Sheet1!ModBaseDam</vt:lpstr>
      <vt:lpstr>Sheet1!ModBaseDamA</vt:lpstr>
      <vt:lpstr>Sheet1!ModBaseDamB</vt:lpstr>
      <vt:lpstr>MultShotA</vt:lpstr>
      <vt:lpstr>MultShotB</vt:lpstr>
      <vt:lpstr>OCritDamA</vt:lpstr>
      <vt:lpstr>OCritDamB</vt:lpstr>
      <vt:lpstr>RCritBA</vt:lpstr>
      <vt:lpstr>RCritBB</vt:lpstr>
      <vt:lpstr>RCritCA</vt:lpstr>
      <vt:lpstr>RCritCB</vt:lpstr>
      <vt:lpstr>RCritDA</vt:lpstr>
      <vt:lpstr>RCritDamA</vt:lpstr>
      <vt:lpstr>RCritDamB</vt:lpstr>
      <vt:lpstr>RCritDB</vt:lpstr>
      <vt:lpstr>RCritEA</vt:lpstr>
      <vt:lpstr>RCritEB</vt:lpstr>
      <vt:lpstr>RCritFA</vt:lpstr>
      <vt:lpstr>RCritFB</vt:lpstr>
      <vt:lpstr>RCritGA</vt:lpstr>
      <vt:lpstr>RCritGB</vt:lpstr>
      <vt:lpstr>ReloadA</vt:lpstr>
      <vt:lpstr>ReloadB</vt:lpstr>
      <vt:lpstr>SpeedA</vt:lpstr>
      <vt:lpstr>SpeedB</vt:lpstr>
      <vt:lpstr>StatusA</vt:lpstr>
      <vt:lpstr>StatusB</vt:lpstr>
      <vt:lpstr>TimeA</vt:lpstr>
      <vt:lpstr>TimeB</vt:lpstr>
      <vt:lpstr>YCritDamA</vt:lpstr>
      <vt:lpstr>YCritDamB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Aguaman</cp:lastModifiedBy>
  <dcterms:created xsi:type="dcterms:W3CDTF">2021-04-11T00:12:27Z</dcterms:created>
  <dcterms:modified xsi:type="dcterms:W3CDTF">2021-07-17T12:49:51Z</dcterms:modified>
</cp:coreProperties>
</file>