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urkistan\15. Cable\Packing List\"/>
    </mc:Choice>
  </mc:AlternateContent>
  <xr:revisionPtr revIDLastSave="0" documentId="8_{BFF9E7AB-0026-49C6-838B-EE3DA38F9A55}" xr6:coauthVersionLast="47" xr6:coauthVersionMax="47" xr10:uidLastSave="{00000000-0000-0000-0000-000000000000}"/>
  <bookViews>
    <workbookView xWindow="-108" yWindow="-108" windowWidth="23256" windowHeight="12576" firstSheet="5" activeTab="5" xr2:uid="{00000000-000D-0000-FFFF-FFFF00000000}"/>
  </bookViews>
  <sheets>
    <sheet name="CI" sheetId="33" r:id="rId1"/>
    <sheet name="CI_BD" sheetId="25" r:id="rId2"/>
    <sheet name="PL" sheetId="30" r:id="rId3"/>
    <sheet name="Summary PL" sheetId="28" r:id="rId4"/>
    <sheet name="1&amp;2항차" sheetId="31" state="hidden" r:id="rId5"/>
    <sheet name="Detail PL" sheetId="32" r:id="rId6"/>
    <sheet name="Description" sheetId="29" state="hidden" r:id="rId7"/>
    <sheet name="Shipping Mark" sheetId="21" r:id="rId8"/>
  </sheets>
  <definedNames>
    <definedName name="_xlnm._FilterDatabase" localSheetId="4" hidden="1">'1&amp;2항차'!$A$13:$AD$532</definedName>
    <definedName name="_xlnm._FilterDatabase" localSheetId="1" hidden="1">CI_BD!$B$8:$J$67</definedName>
    <definedName name="_xlnm._FilterDatabase" localSheetId="5" hidden="1">'Detail PL'!$A$13:$AD$800</definedName>
    <definedName name="_xlnm._FilterDatabase" localSheetId="3" hidden="1">'Summary PL'!$A$12:$P$72</definedName>
    <definedName name="AnnullaInseriscidata">#REF!</definedName>
    <definedName name="InserisciData">#REF!</definedName>
    <definedName name="_xlnm.Print_Area" localSheetId="4">'1&amp;2항차'!$A$1:$Q$530</definedName>
    <definedName name="_xlnm.Print_Area" localSheetId="0">CI!$A$1:$AC$59</definedName>
    <definedName name="_xlnm.Print_Area" localSheetId="1">CI_BD!$A$1:$J$67</definedName>
    <definedName name="_xlnm.Print_Area" localSheetId="6">Description!$A$1:$I$116</definedName>
    <definedName name="_xlnm.Print_Area" localSheetId="5">'Detail PL'!$A$1:$Q$800</definedName>
    <definedName name="_xlnm.Print_Area" localSheetId="2">PL!$A$1:$AC$60</definedName>
    <definedName name="_xlnm.Print_Area" localSheetId="7">'Shipping Mark'!$A$1:$N$4480</definedName>
    <definedName name="_xlnm.Print_Area" localSheetId="3">'Summary PL'!$A$1:$P$72</definedName>
    <definedName name="_xlnm.Print_Titles" localSheetId="4">'1&amp;2항차'!$1:$13</definedName>
    <definedName name="_xlnm.Print_Titles" localSheetId="5">'Detail PL'!$1:$13</definedName>
    <definedName name="_xlnm.Print_Titles" localSheetId="3">'Summary PL'!$9:$12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2" i="28" l="1"/>
  <c r="G63" i="25" l="1"/>
  <c r="G62" i="25"/>
  <c r="G47" i="25"/>
  <c r="G51" i="25"/>
  <c r="G59" i="25"/>
  <c r="G58" i="25"/>
  <c r="G64" i="25"/>
  <c r="J80" i="25" l="1"/>
  <c r="J84" i="25"/>
  <c r="J83" i="25"/>
  <c r="J79" i="25"/>
  <c r="J81" i="25" l="1"/>
  <c r="J82" i="25" s="1"/>
  <c r="K82" i="25" s="1"/>
  <c r="J85" i="25"/>
  <c r="J77" i="25" l="1"/>
  <c r="J76" i="25"/>
  <c r="L73" i="25" l="1"/>
  <c r="M73" i="25" s="1"/>
  <c r="L72" i="25"/>
  <c r="M72" i="25" s="1"/>
  <c r="J73" i="25"/>
  <c r="H73" i="25" s="1"/>
  <c r="G73" i="25" s="1"/>
  <c r="J72" i="25"/>
  <c r="H72" i="25" s="1"/>
  <c r="G72" i="25" s="1"/>
  <c r="O66" i="25" l="1"/>
  <c r="O41" i="25"/>
  <c r="O64" i="25"/>
  <c r="O38" i="25"/>
  <c r="O62" i="25"/>
  <c r="O61" i="25"/>
  <c r="O60" i="25"/>
  <c r="O34" i="25"/>
  <c r="O33" i="25"/>
  <c r="O56" i="25"/>
  <c r="O48" i="25"/>
  <c r="O47" i="25"/>
  <c r="O46" i="25"/>
  <c r="O65" i="25"/>
  <c r="O40" i="25"/>
  <c r="O39" i="25"/>
  <c r="O63" i="25"/>
  <c r="O37" i="25"/>
  <c r="O36" i="25"/>
  <c r="O35" i="25"/>
  <c r="O59" i="25"/>
  <c r="O57" i="25"/>
  <c r="O32" i="25"/>
  <c r="O31" i="25"/>
  <c r="O30" i="25"/>
  <c r="O29" i="25"/>
  <c r="O45" i="25"/>
  <c r="O28" i="25"/>
  <c r="O43" i="25"/>
  <c r="O44" i="25"/>
  <c r="O54" i="25"/>
  <c r="O18" i="25"/>
  <c r="O16" i="25"/>
  <c r="O51" i="25"/>
  <c r="O50" i="25"/>
  <c r="O49" i="25"/>
  <c r="O42" i="25"/>
  <c r="O11" i="25"/>
  <c r="O26" i="25"/>
  <c r="O23" i="25"/>
  <c r="O53" i="25"/>
  <c r="O17" i="25"/>
  <c r="O52" i="25"/>
  <c r="O15" i="25"/>
  <c r="O14" i="25"/>
  <c r="O13" i="25"/>
  <c r="O12" i="25"/>
  <c r="O27" i="25"/>
  <c r="O10" i="25"/>
  <c r="O25" i="25"/>
  <c r="O9" i="25"/>
  <c r="O24" i="25"/>
  <c r="O22" i="25"/>
  <c r="O21" i="25"/>
  <c r="O20" i="25"/>
  <c r="O55" i="25"/>
  <c r="O19" i="25"/>
  <c r="O58" i="25"/>
  <c r="H66" i="25"/>
  <c r="H65" i="25"/>
  <c r="H64" i="25"/>
  <c r="H63" i="25"/>
  <c r="H62" i="25"/>
  <c r="H61" i="25"/>
  <c r="H60" i="25"/>
  <c r="H59" i="25"/>
  <c r="H58" i="25"/>
  <c r="H57" i="25"/>
  <c r="H56" i="25"/>
  <c r="H55" i="25"/>
  <c r="H54" i="25"/>
  <c r="H53" i="25"/>
  <c r="H52" i="25"/>
  <c r="H51" i="25"/>
  <c r="H50" i="25"/>
  <c r="H49" i="25"/>
  <c r="H48" i="25"/>
  <c r="H47" i="25"/>
  <c r="H46" i="25"/>
  <c r="H45" i="25"/>
  <c r="H44" i="25"/>
  <c r="H43" i="25"/>
  <c r="H42" i="25"/>
  <c r="H41" i="25"/>
  <c r="H40" i="25"/>
  <c r="H39" i="25"/>
  <c r="H38" i="25"/>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H9" i="25"/>
  <c r="S22" i="33"/>
  <c r="Y29" i="33"/>
  <c r="B43" i="30"/>
  <c r="S22" i="30"/>
  <c r="B7" i="25"/>
  <c r="E113" i="32"/>
  <c r="E110" i="32"/>
  <c r="E96" i="32"/>
  <c r="J89" i="32"/>
  <c r="E89" i="32"/>
  <c r="E82" i="32"/>
  <c r="K49" i="32"/>
  <c r="K58" i="32"/>
  <c r="K67" i="32"/>
  <c r="E67" i="32"/>
  <c r="E58" i="32"/>
  <c r="H67" i="25" l="1"/>
  <c r="K799" i="32"/>
  <c r="E799" i="32"/>
  <c r="R693" i="32" l="1"/>
  <c r="R684" i="32"/>
  <c r="R675" i="32"/>
  <c r="K666" i="32"/>
  <c r="K702" i="32"/>
  <c r="K709" i="32"/>
  <c r="K716" i="32"/>
  <c r="E716" i="32"/>
  <c r="E709" i="32"/>
  <c r="E666" i="32"/>
  <c r="E684" i="32" l="1"/>
  <c r="E693" i="32"/>
  <c r="E702" i="32"/>
  <c r="K693" i="32"/>
  <c r="K684" i="32"/>
  <c r="K675" i="32"/>
  <c r="E675" i="32"/>
  <c r="L709" i="32"/>
  <c r="J709" i="32"/>
  <c r="W684" i="32"/>
  <c r="X684" i="32" s="1"/>
  <c r="J684" i="32"/>
  <c r="J136" i="32" l="1"/>
  <c r="J134" i="32"/>
  <c r="J132" i="32"/>
  <c r="J130" i="32"/>
  <c r="J128" i="32"/>
  <c r="J126" i="32"/>
  <c r="J124" i="32"/>
  <c r="G4457" i="21" l="1"/>
  <c r="G4452" i="21"/>
  <c r="G4451" i="21"/>
  <c r="G4450" i="21"/>
  <c r="G4422" i="21"/>
  <c r="G4417" i="21"/>
  <c r="G4416" i="21"/>
  <c r="G4415" i="21"/>
  <c r="G4387" i="21"/>
  <c r="G4382" i="21"/>
  <c r="G4381" i="21"/>
  <c r="G4380" i="21"/>
  <c r="G4352" i="21"/>
  <c r="G4347" i="21"/>
  <c r="G4346" i="21"/>
  <c r="G4345" i="21"/>
  <c r="G4317" i="21"/>
  <c r="G4312" i="21"/>
  <c r="G4311" i="21"/>
  <c r="G4310" i="21"/>
  <c r="G4282" i="21"/>
  <c r="G4277" i="21"/>
  <c r="G4276" i="21"/>
  <c r="G4275" i="21"/>
  <c r="G4247" i="21"/>
  <c r="G4242" i="21"/>
  <c r="G4241" i="21"/>
  <c r="G4240" i="21"/>
  <c r="G4212" i="21"/>
  <c r="G4207" i="21"/>
  <c r="G4206" i="21"/>
  <c r="G4205" i="21"/>
  <c r="G4177" i="21"/>
  <c r="G4172" i="21"/>
  <c r="G4171" i="21"/>
  <c r="G4170" i="21"/>
  <c r="G4142" i="21"/>
  <c r="G4137" i="21"/>
  <c r="G4136" i="21"/>
  <c r="G4135" i="21"/>
  <c r="G4107" i="21"/>
  <c r="G4102" i="21"/>
  <c r="G4101" i="21"/>
  <c r="G4100" i="21"/>
  <c r="G4072" i="21"/>
  <c r="G4067" i="21"/>
  <c r="G4066" i="21"/>
  <c r="G4065" i="21"/>
  <c r="G4037" i="21"/>
  <c r="G4032" i="21"/>
  <c r="G4031" i="21"/>
  <c r="G4030" i="21"/>
  <c r="G4002" i="21"/>
  <c r="G3997" i="21"/>
  <c r="G3996" i="21"/>
  <c r="G3995" i="21"/>
  <c r="G3967" i="21"/>
  <c r="G3962" i="21"/>
  <c r="G3961" i="21"/>
  <c r="G3960" i="21"/>
  <c r="G3932" i="21"/>
  <c r="G3927" i="21"/>
  <c r="G3926" i="21"/>
  <c r="G3925" i="21"/>
  <c r="G3897" i="21"/>
  <c r="G3892" i="21"/>
  <c r="G3891" i="21"/>
  <c r="G3890" i="21"/>
  <c r="G3862" i="21"/>
  <c r="G3857" i="21"/>
  <c r="G3856" i="21"/>
  <c r="G3855" i="21"/>
  <c r="G3827" i="21"/>
  <c r="G3822" i="21"/>
  <c r="G3821" i="21"/>
  <c r="G3820" i="21"/>
  <c r="G3792" i="21"/>
  <c r="G3787" i="21"/>
  <c r="G3786" i="21"/>
  <c r="G3785" i="21"/>
  <c r="G3757" i="21"/>
  <c r="G3752" i="21"/>
  <c r="G3751" i="21"/>
  <c r="G3750" i="21"/>
  <c r="G3722" i="21"/>
  <c r="G3717" i="21"/>
  <c r="G3716" i="21"/>
  <c r="G3715" i="21"/>
  <c r="G3687" i="21"/>
  <c r="G3682" i="21"/>
  <c r="G3681" i="21"/>
  <c r="G3680" i="21"/>
  <c r="G3652" i="21"/>
  <c r="G3647" i="21"/>
  <c r="G3646" i="21"/>
  <c r="G3645" i="21"/>
  <c r="G3617" i="21"/>
  <c r="G3612" i="21"/>
  <c r="G3611" i="21"/>
  <c r="G3610" i="21"/>
  <c r="G3582" i="21"/>
  <c r="G3577" i="21"/>
  <c r="G3576" i="21"/>
  <c r="G3575" i="21"/>
  <c r="G3547" i="21"/>
  <c r="G3542" i="21"/>
  <c r="G3541" i="21"/>
  <c r="G3540" i="21"/>
  <c r="G3512" i="21"/>
  <c r="G3507" i="21"/>
  <c r="G3506" i="21"/>
  <c r="G3505" i="21"/>
  <c r="G3477" i="21"/>
  <c r="G3472" i="21"/>
  <c r="G3471" i="21"/>
  <c r="G3470" i="21"/>
  <c r="G3442" i="21"/>
  <c r="G3437" i="21"/>
  <c r="G3436" i="21"/>
  <c r="G3435" i="21"/>
  <c r="G3407" i="21"/>
  <c r="G3402" i="21"/>
  <c r="G3401" i="21"/>
  <c r="G3400" i="21"/>
  <c r="G3372" i="21"/>
  <c r="G3367" i="21"/>
  <c r="G3366" i="21"/>
  <c r="G3365" i="21"/>
  <c r="G3337" i="21"/>
  <c r="G3332" i="21"/>
  <c r="G3331" i="21"/>
  <c r="G3330" i="21"/>
  <c r="G3302" i="21"/>
  <c r="G3297" i="21"/>
  <c r="G3296" i="21"/>
  <c r="G3295" i="21"/>
  <c r="G3267" i="21"/>
  <c r="G3262" i="21"/>
  <c r="G3261" i="21"/>
  <c r="G3260" i="21"/>
  <c r="G3232" i="21"/>
  <c r="G3227" i="21"/>
  <c r="G3226" i="21"/>
  <c r="G3225" i="21"/>
  <c r="G3197" i="21"/>
  <c r="G3192" i="21"/>
  <c r="G3191" i="21"/>
  <c r="G3190" i="21"/>
  <c r="G3162" i="21"/>
  <c r="G3157" i="21"/>
  <c r="G3156" i="21"/>
  <c r="G3155" i="21"/>
  <c r="G3127" i="21"/>
  <c r="G3122" i="21"/>
  <c r="G3121" i="21"/>
  <c r="G3120" i="21"/>
  <c r="G3092" i="21"/>
  <c r="G3087" i="21"/>
  <c r="G3086" i="21"/>
  <c r="G3085" i="21"/>
  <c r="G3057" i="21"/>
  <c r="G3052" i="21"/>
  <c r="G3051" i="21"/>
  <c r="G3050" i="21"/>
  <c r="G3022" i="21"/>
  <c r="G3017" i="21"/>
  <c r="G3016" i="21"/>
  <c r="G3015" i="21"/>
  <c r="G2987" i="21"/>
  <c r="G2982" i="21"/>
  <c r="G2981" i="21"/>
  <c r="G2980" i="21"/>
  <c r="G2952" i="21"/>
  <c r="G2947" i="21"/>
  <c r="G2946" i="21"/>
  <c r="G2945" i="21"/>
  <c r="G2917" i="21"/>
  <c r="G2912" i="21"/>
  <c r="G2911" i="21"/>
  <c r="G2910" i="21"/>
  <c r="G2882" i="21"/>
  <c r="G2877" i="21"/>
  <c r="G2876" i="21"/>
  <c r="G2875" i="21"/>
  <c r="G2847" i="21"/>
  <c r="G2842" i="21"/>
  <c r="G2841" i="21"/>
  <c r="G2840" i="21"/>
  <c r="G2812" i="21"/>
  <c r="G2807" i="21"/>
  <c r="G2806" i="21"/>
  <c r="G2805" i="21"/>
  <c r="G2777" i="21"/>
  <c r="G2772" i="21"/>
  <c r="G2771" i="21"/>
  <c r="G2770" i="21"/>
  <c r="G2742" i="21"/>
  <c r="G2737" i="21"/>
  <c r="G2736" i="21"/>
  <c r="G2735" i="21"/>
  <c r="G2707" i="21"/>
  <c r="G2702" i="21"/>
  <c r="G2701" i="21"/>
  <c r="G2700" i="21"/>
  <c r="G2672" i="21"/>
  <c r="G2667" i="21"/>
  <c r="G2666" i="21"/>
  <c r="G2665" i="21"/>
  <c r="G2637" i="21"/>
  <c r="G2632" i="21"/>
  <c r="G2631" i="21"/>
  <c r="G2630" i="21"/>
  <c r="G2602" i="21"/>
  <c r="G2597" i="21"/>
  <c r="G2596" i="21"/>
  <c r="G2595" i="21"/>
  <c r="G2567" i="21"/>
  <c r="G2562" i="21"/>
  <c r="G2561" i="21"/>
  <c r="G2560" i="21"/>
  <c r="G2532" i="21"/>
  <c r="G2527" i="21"/>
  <c r="G2526" i="21"/>
  <c r="G2525" i="21"/>
  <c r="G2497" i="21"/>
  <c r="G2492" i="21"/>
  <c r="G2491" i="21"/>
  <c r="G2490" i="21"/>
  <c r="G2462" i="21"/>
  <c r="G2457" i="21"/>
  <c r="G2456" i="21"/>
  <c r="G2455" i="21"/>
  <c r="G2427" i="21"/>
  <c r="G2422" i="21"/>
  <c r="G2421" i="21"/>
  <c r="G2420" i="21"/>
  <c r="G2392" i="21"/>
  <c r="G2387" i="21"/>
  <c r="G2386" i="21"/>
  <c r="G2385" i="21"/>
  <c r="G2357" i="21"/>
  <c r="G2352" i="21"/>
  <c r="G2351" i="21"/>
  <c r="G2350" i="21"/>
  <c r="G2322" i="21"/>
  <c r="G2317" i="21"/>
  <c r="G2316" i="21"/>
  <c r="G2315" i="21"/>
  <c r="G2287" i="21"/>
  <c r="G2282" i="21"/>
  <c r="G2281" i="21"/>
  <c r="G2280" i="21"/>
  <c r="G2252" i="21"/>
  <c r="G2247" i="21"/>
  <c r="G2246" i="21"/>
  <c r="G2245" i="21"/>
  <c r="G2217" i="21"/>
  <c r="G2212" i="21"/>
  <c r="G2211" i="21"/>
  <c r="G2210" i="21"/>
  <c r="G2182" i="21"/>
  <c r="G2177" i="21"/>
  <c r="G2176" i="21"/>
  <c r="G2175" i="21"/>
  <c r="G2147" i="21"/>
  <c r="G2142" i="21"/>
  <c r="G2141" i="21"/>
  <c r="G2140" i="21"/>
  <c r="G2112" i="21"/>
  <c r="G2107" i="21"/>
  <c r="G2106" i="21"/>
  <c r="G2105" i="21"/>
  <c r="G2077" i="21"/>
  <c r="G2072" i="21"/>
  <c r="G2071" i="21"/>
  <c r="G2070" i="21"/>
  <c r="G2042" i="21"/>
  <c r="G2037" i="21"/>
  <c r="G2036" i="21"/>
  <c r="G2035" i="21"/>
  <c r="G2007" i="21"/>
  <c r="G2002" i="21"/>
  <c r="G2001" i="21"/>
  <c r="G2000" i="21"/>
  <c r="G1972" i="21"/>
  <c r="G1967" i="21"/>
  <c r="G1966" i="21"/>
  <c r="G1965" i="21"/>
  <c r="G1937" i="21"/>
  <c r="G1932" i="21"/>
  <c r="G1931" i="21"/>
  <c r="G1930" i="21"/>
  <c r="G1902" i="21"/>
  <c r="G1897" i="21"/>
  <c r="G1896" i="21"/>
  <c r="G1895" i="21"/>
  <c r="G1867" i="21"/>
  <c r="G1862" i="21"/>
  <c r="G1861" i="21"/>
  <c r="G1860" i="21"/>
  <c r="G1832" i="21"/>
  <c r="G1827" i="21"/>
  <c r="G1826" i="21"/>
  <c r="G1825" i="21"/>
  <c r="G1797" i="21"/>
  <c r="G1792" i="21"/>
  <c r="G1791" i="21"/>
  <c r="G1790" i="21"/>
  <c r="G1762" i="21"/>
  <c r="G1757" i="21"/>
  <c r="G1756" i="21"/>
  <c r="G1755" i="21"/>
  <c r="G1727" i="21"/>
  <c r="G1722" i="21"/>
  <c r="G1721" i="21"/>
  <c r="G1720" i="21"/>
  <c r="G1692" i="21"/>
  <c r="G1687" i="21"/>
  <c r="G1686" i="21"/>
  <c r="G1685" i="21"/>
  <c r="G1657" i="21"/>
  <c r="G1652" i="21"/>
  <c r="G1651" i="21"/>
  <c r="G1650" i="21"/>
  <c r="G1622" i="21"/>
  <c r="G1617" i="21"/>
  <c r="G1616" i="21"/>
  <c r="G1615" i="21"/>
  <c r="G1587" i="21"/>
  <c r="G1582" i="21"/>
  <c r="G1581" i="21"/>
  <c r="G1580" i="21"/>
  <c r="G1552" i="21"/>
  <c r="G1547" i="21"/>
  <c r="G1546" i="21"/>
  <c r="G1545" i="21"/>
  <c r="G1517" i="21"/>
  <c r="G1512" i="21"/>
  <c r="G1511" i="21"/>
  <c r="G1510" i="21"/>
  <c r="G1482" i="21"/>
  <c r="G1477" i="21"/>
  <c r="G1476" i="21"/>
  <c r="G1475" i="21"/>
  <c r="G1447" i="21"/>
  <c r="G1442" i="21"/>
  <c r="G1441" i="21"/>
  <c r="G1440" i="21"/>
  <c r="G1412" i="21"/>
  <c r="G1407" i="21"/>
  <c r="G1406" i="21"/>
  <c r="G1405" i="21"/>
  <c r="G1377" i="21"/>
  <c r="G1372" i="21"/>
  <c r="G1371" i="21"/>
  <c r="G1370" i="21"/>
  <c r="G1342" i="21"/>
  <c r="G1337" i="21"/>
  <c r="G1336" i="21"/>
  <c r="G1335" i="21"/>
  <c r="G1307" i="21"/>
  <c r="G1302" i="21"/>
  <c r="G1301" i="21"/>
  <c r="G1300" i="21"/>
  <c r="G1272" i="21"/>
  <c r="G1267" i="21"/>
  <c r="G1266" i="21"/>
  <c r="G1265" i="21"/>
  <c r="G1237" i="21"/>
  <c r="G1232" i="21"/>
  <c r="G1231" i="21"/>
  <c r="G1230" i="21"/>
  <c r="G1202" i="21"/>
  <c r="G1197" i="21"/>
  <c r="G1196" i="21"/>
  <c r="G1195" i="21"/>
  <c r="G1167" i="21"/>
  <c r="G1162" i="21"/>
  <c r="G1161" i="21"/>
  <c r="G1160" i="21"/>
  <c r="G1132" i="21"/>
  <c r="G1127" i="21"/>
  <c r="G1126" i="21"/>
  <c r="G1125" i="21"/>
  <c r="G1097" i="21"/>
  <c r="G1092" i="21"/>
  <c r="G1091" i="21"/>
  <c r="G1090" i="21"/>
  <c r="G1062" i="21"/>
  <c r="G1057" i="21"/>
  <c r="G1056" i="21"/>
  <c r="G1055" i="21"/>
  <c r="G1027" i="21"/>
  <c r="G1022" i="21"/>
  <c r="G1021" i="21"/>
  <c r="G1020" i="21"/>
  <c r="G992" i="21"/>
  <c r="G987" i="21"/>
  <c r="G986" i="21"/>
  <c r="G985" i="21"/>
  <c r="G957" i="21"/>
  <c r="G952" i="21"/>
  <c r="G951" i="21"/>
  <c r="G950" i="21"/>
  <c r="G922" i="21"/>
  <c r="G917" i="21"/>
  <c r="G916" i="21"/>
  <c r="G915" i="21"/>
  <c r="G887" i="21"/>
  <c r="G882" i="21"/>
  <c r="G881" i="21"/>
  <c r="G880" i="21"/>
  <c r="G852" i="21"/>
  <c r="G847" i="21"/>
  <c r="G846" i="21"/>
  <c r="G845" i="21"/>
  <c r="G817" i="21"/>
  <c r="G812" i="21"/>
  <c r="G811" i="21"/>
  <c r="G810" i="21"/>
  <c r="G782" i="21"/>
  <c r="G777" i="21"/>
  <c r="G776" i="21"/>
  <c r="G775" i="21"/>
  <c r="G747" i="21"/>
  <c r="G742" i="21"/>
  <c r="G741" i="21"/>
  <c r="G740" i="21"/>
  <c r="G712" i="21"/>
  <c r="G707" i="21"/>
  <c r="G706" i="21"/>
  <c r="G705" i="21"/>
  <c r="G677" i="21"/>
  <c r="G672" i="21"/>
  <c r="G671" i="21"/>
  <c r="G670" i="21"/>
  <c r="G642" i="21"/>
  <c r="G637" i="21"/>
  <c r="G636" i="21"/>
  <c r="G635" i="21"/>
  <c r="G607" i="21"/>
  <c r="G602" i="21"/>
  <c r="G601" i="21"/>
  <c r="G600" i="21"/>
  <c r="G572" i="21"/>
  <c r="G567" i="21"/>
  <c r="G566" i="21"/>
  <c r="G565" i="21"/>
  <c r="G537" i="21"/>
  <c r="G532" i="21"/>
  <c r="G531" i="21"/>
  <c r="G530" i="21"/>
  <c r="G502" i="21"/>
  <c r="G497" i="21"/>
  <c r="G496" i="21"/>
  <c r="G495" i="21"/>
  <c r="G467" i="21"/>
  <c r="G462" i="21"/>
  <c r="G461" i="21"/>
  <c r="G460" i="21"/>
  <c r="G432" i="21"/>
  <c r="G427" i="21"/>
  <c r="G426" i="21"/>
  <c r="G425" i="21"/>
  <c r="G397" i="21"/>
  <c r="G392" i="21"/>
  <c r="G391" i="21"/>
  <c r="G390" i="21"/>
  <c r="G362" i="21"/>
  <c r="G357" i="21"/>
  <c r="G356" i="21"/>
  <c r="G355" i="21"/>
  <c r="G327" i="21"/>
  <c r="G322" i="21"/>
  <c r="G321" i="21"/>
  <c r="G320" i="21"/>
  <c r="G292" i="21"/>
  <c r="G287" i="21"/>
  <c r="G286" i="21"/>
  <c r="G285" i="21"/>
  <c r="G257" i="21"/>
  <c r="G252" i="21"/>
  <c r="G251" i="21"/>
  <c r="G250" i="21"/>
  <c r="G222" i="21"/>
  <c r="G217" i="21"/>
  <c r="G216" i="21"/>
  <c r="G215" i="21"/>
  <c r="G187" i="21"/>
  <c r="G182" i="21"/>
  <c r="G181" i="21"/>
  <c r="G180" i="21"/>
  <c r="G152" i="21"/>
  <c r="G147" i="21"/>
  <c r="G146" i="21"/>
  <c r="G145" i="21"/>
  <c r="G117" i="21"/>
  <c r="G112" i="21"/>
  <c r="G111" i="21"/>
  <c r="G110" i="21"/>
  <c r="G88" i="21"/>
  <c r="G123" i="21" s="1"/>
  <c r="G82" i="21"/>
  <c r="G77" i="21"/>
  <c r="G76" i="21"/>
  <c r="G75" i="21"/>
  <c r="G53" i="21"/>
  <c r="G47" i="21"/>
  <c r="G42" i="21"/>
  <c r="G41" i="21"/>
  <c r="G40" i="21"/>
  <c r="G158" i="21" l="1"/>
  <c r="G193" i="21" l="1"/>
  <c r="G228" i="21" l="1"/>
  <c r="G263" i="21" l="1"/>
  <c r="G298" i="21" l="1"/>
  <c r="G333" i="21" l="1"/>
  <c r="G368" i="21" l="1"/>
  <c r="G403" i="21" l="1"/>
  <c r="G438" i="21" l="1"/>
  <c r="G473" i="21" l="1"/>
  <c r="G508" i="21" l="1"/>
  <c r="G543" i="21" l="1"/>
  <c r="G578" i="21" l="1"/>
  <c r="G613" i="21" l="1"/>
  <c r="G648" i="21" l="1"/>
  <c r="G683" i="21" l="1"/>
  <c r="G718" i="21" l="1"/>
  <c r="G753" i="21" l="1"/>
  <c r="G788" i="21" l="1"/>
  <c r="G823" i="21" l="1"/>
  <c r="G858" i="21" l="1"/>
  <c r="G893" i="21" l="1"/>
  <c r="G928" i="21" l="1"/>
  <c r="G963" i="21" l="1"/>
  <c r="G998" i="21" l="1"/>
  <c r="G1033" i="21" l="1"/>
  <c r="G1068" i="21" l="1"/>
  <c r="G1103" i="21" l="1"/>
  <c r="G1138" i="21" l="1"/>
  <c r="G1173" i="21" l="1"/>
  <c r="G1208" i="21" l="1"/>
  <c r="G1243" i="21" l="1"/>
  <c r="G1278" i="21" l="1"/>
  <c r="G1313" i="21" l="1"/>
  <c r="G1348" i="21" l="1"/>
  <c r="G1383" i="21" l="1"/>
  <c r="G1418" i="21" l="1"/>
  <c r="G1453" i="21" l="1"/>
  <c r="G1488" i="21" l="1"/>
  <c r="G1523" i="21" l="1"/>
  <c r="G1558" i="21" l="1"/>
  <c r="G1593" i="21" l="1"/>
  <c r="G1628" i="21" l="1"/>
  <c r="G1663" i="21" l="1"/>
  <c r="G1698" i="21" l="1"/>
  <c r="G1733" i="21" l="1"/>
  <c r="G1768" i="21" l="1"/>
  <c r="G1803" i="21" l="1"/>
  <c r="G1838" i="21" l="1"/>
  <c r="G1873" i="21" l="1"/>
  <c r="G1908" i="21" l="1"/>
  <c r="G1943" i="21" l="1"/>
  <c r="G1978" i="21" l="1"/>
  <c r="G2013" i="21" l="1"/>
  <c r="G2048" i="21" l="1"/>
  <c r="G2083" i="21" l="1"/>
  <c r="G2118" i="21" l="1"/>
  <c r="G2153" i="21" l="1"/>
  <c r="G2188" i="21" l="1"/>
  <c r="G2223" i="21" l="1"/>
  <c r="G2258" i="21" l="1"/>
  <c r="G2293" i="21" l="1"/>
  <c r="G2328" i="21" l="1"/>
  <c r="G2363" i="21" l="1"/>
  <c r="G2398" i="21" l="1"/>
  <c r="G2433" i="21" l="1"/>
  <c r="G2468" i="21" l="1"/>
  <c r="G2503" i="21" l="1"/>
  <c r="G2538" i="21" l="1"/>
  <c r="G2573" i="21" l="1"/>
  <c r="G2608" i="21" l="1"/>
  <c r="G2643" i="21" l="1"/>
  <c r="G2678" i="21" l="1"/>
  <c r="G2713" i="21" l="1"/>
  <c r="G2748" i="21" l="1"/>
  <c r="G2783" i="21" l="1"/>
  <c r="G2818" i="21" l="1"/>
  <c r="G2853" i="21" l="1"/>
  <c r="G2888" i="21" l="1"/>
  <c r="G2923" i="21" l="1"/>
  <c r="G2958" i="21" l="1"/>
  <c r="G2993" i="21" l="1"/>
  <c r="G3028" i="21" l="1"/>
  <c r="G3063" i="21" l="1"/>
  <c r="G3098" i="21" l="1"/>
  <c r="G3133" i="21" l="1"/>
  <c r="G3168" i="21" l="1"/>
  <c r="G3203" i="21" l="1"/>
  <c r="G3238" i="21" l="1"/>
  <c r="G3273" i="21" l="1"/>
  <c r="G3308" i="21" l="1"/>
  <c r="G3343" i="21" l="1"/>
  <c r="G3378" i="21" l="1"/>
  <c r="G3413" i="21" l="1"/>
  <c r="G3448" i="21" l="1"/>
  <c r="G3483" i="21" l="1"/>
  <c r="G3518" i="21" l="1"/>
  <c r="G3553" i="21" l="1"/>
  <c r="G3588" i="21" l="1"/>
  <c r="G3623" i="21" l="1"/>
  <c r="G3658" i="21" l="1"/>
  <c r="G3693" i="21" l="1"/>
  <c r="G3728" i="21" l="1"/>
  <c r="G3763" i="21" l="1"/>
  <c r="G3798" i="21" l="1"/>
  <c r="G3833" i="21" l="1"/>
  <c r="G3868" i="21" l="1"/>
  <c r="G3903" i="21" l="1"/>
  <c r="G3938" i="21" l="1"/>
  <c r="G3973" i="21" l="1"/>
  <c r="G4008" i="21" l="1"/>
  <c r="G4043" i="21" l="1"/>
  <c r="G4078" i="21" l="1"/>
  <c r="G4113" i="21" l="1"/>
  <c r="G4148" i="21" l="1"/>
  <c r="G4183" i="21" l="1"/>
  <c r="G4218" i="21" l="1"/>
  <c r="G4253" i="21" l="1"/>
  <c r="G4288" i="21" l="1"/>
  <c r="G4323" i="21" l="1"/>
  <c r="G4358" i="21" l="1"/>
  <c r="G4393" i="21" l="1"/>
  <c r="G4428" i="21" l="1"/>
  <c r="G4463" i="21" l="1"/>
  <c r="G12" i="21" l="1"/>
  <c r="E479" i="32" l="1"/>
  <c r="E473" i="32"/>
  <c r="K462" i="32"/>
  <c r="E462" i="32"/>
  <c r="K348" i="32"/>
  <c r="E307" i="32"/>
  <c r="K301" i="32"/>
  <c r="E219" i="32"/>
  <c r="K214" i="32"/>
  <c r="E214" i="32"/>
  <c r="K211" i="32"/>
  <c r="E211" i="32"/>
  <c r="K472" i="32"/>
  <c r="K466" i="32"/>
  <c r="K464" i="32"/>
  <c r="K309" i="32"/>
  <c r="K308" i="32"/>
  <c r="K305" i="32"/>
  <c r="K304" i="32"/>
  <c r="K303" i="32"/>
  <c r="K302" i="32"/>
  <c r="K295" i="32"/>
  <c r="K294" i="32"/>
  <c r="K293" i="32"/>
  <c r="E296" i="32"/>
  <c r="E290" i="32"/>
  <c r="E288" i="32"/>
  <c r="K288" i="32"/>
  <c r="K290" i="32"/>
  <c r="J258" i="32"/>
  <c r="J244" i="32"/>
  <c r="E258" i="32"/>
  <c r="E244" i="32"/>
  <c r="K249" i="32"/>
  <c r="K245" i="32"/>
  <c r="K258" i="32" s="1"/>
  <c r="K232" i="32"/>
  <c r="K228" i="32"/>
  <c r="K227" i="32"/>
  <c r="J227" i="32"/>
  <c r="K225" i="32"/>
  <c r="J225" i="32"/>
  <c r="K223" i="32"/>
  <c r="J223" i="32"/>
  <c r="K221" i="32"/>
  <c r="K118" i="32"/>
  <c r="K135" i="32"/>
  <c r="K136" i="32" s="1"/>
  <c r="L136" i="32" s="1"/>
  <c r="K133" i="32"/>
  <c r="K134" i="32" s="1"/>
  <c r="L134" i="32" s="1"/>
  <c r="K131" i="32"/>
  <c r="K132" i="32" s="1"/>
  <c r="L132" i="32" s="1"/>
  <c r="K129" i="32"/>
  <c r="K130" i="32" s="1"/>
  <c r="L130" i="32" s="1"/>
  <c r="K127" i="32"/>
  <c r="K128" i="32" s="1"/>
  <c r="L128" i="32" s="1"/>
  <c r="K125" i="32"/>
  <c r="K126" i="32" s="1"/>
  <c r="L126" i="32" s="1"/>
  <c r="K123" i="32"/>
  <c r="K124" i="32" s="1"/>
  <c r="L124" i="32" s="1"/>
  <c r="K121" i="32"/>
  <c r="K122" i="32" s="1"/>
  <c r="L122" i="32" s="1"/>
  <c r="E136" i="32"/>
  <c r="E134" i="32"/>
  <c r="E132" i="32"/>
  <c r="E130" i="32"/>
  <c r="E128" i="32"/>
  <c r="E126" i="32"/>
  <c r="E124" i="32"/>
  <c r="E122" i="32"/>
  <c r="J122" i="32"/>
  <c r="K296" i="32" l="1"/>
  <c r="K473" i="32"/>
  <c r="K244" i="32"/>
  <c r="K307" i="32"/>
  <c r="J118" i="32"/>
  <c r="E118" i="32"/>
  <c r="G400" i="21" l="1"/>
  <c r="G435" i="21"/>
  <c r="G470" i="21"/>
  <c r="G505" i="21"/>
  <c r="G540" i="21"/>
  <c r="G575" i="21"/>
  <c r="G610" i="21"/>
  <c r="G645" i="21"/>
  <c r="G680" i="21"/>
  <c r="G715" i="21"/>
  <c r="G762" i="21"/>
  <c r="G756" i="21"/>
  <c r="G750" i="21"/>
  <c r="G785" i="21"/>
  <c r="G829" i="21"/>
  <c r="G826" i="21"/>
  <c r="G820" i="21"/>
  <c r="G864" i="21"/>
  <c r="G855" i="21"/>
  <c r="G861" i="21"/>
  <c r="G867" i="21"/>
  <c r="G896" i="21"/>
  <c r="G899" i="21"/>
  <c r="G890" i="21"/>
  <c r="G902" i="21"/>
  <c r="G925" i="21"/>
  <c r="G934" i="21"/>
  <c r="G937" i="21"/>
  <c r="G931" i="21"/>
  <c r="G960" i="21"/>
  <c r="G972" i="21"/>
  <c r="G966" i="21"/>
  <c r="G969" i="21"/>
  <c r="G1007" i="21"/>
  <c r="G1001" i="21"/>
  <c r="G1004" i="21"/>
  <c r="G995" i="21"/>
  <c r="G1042" i="21"/>
  <c r="G1030" i="21"/>
  <c r="G1039" i="21"/>
  <c r="G1036" i="21"/>
  <c r="G1077" i="21"/>
  <c r="G1065" i="21"/>
  <c r="G1074" i="21"/>
  <c r="G1071" i="21"/>
  <c r="G1100" i="21"/>
  <c r="G1106" i="21"/>
  <c r="G1135" i="21"/>
  <c r="G1141" i="21"/>
  <c r="G1170" i="21"/>
  <c r="G1205" i="21"/>
  <c r="G1211" i="21"/>
  <c r="G1240" i="21"/>
  <c r="G1252" i="21"/>
  <c r="G1246" i="21"/>
  <c r="G1287" i="21"/>
  <c r="G1275" i="21"/>
  <c r="G1281" i="21"/>
  <c r="G1322" i="21"/>
  <c r="G1316" i="21"/>
  <c r="G1310" i="21"/>
  <c r="G1357" i="21"/>
  <c r="G1345" i="21"/>
  <c r="G1351" i="21"/>
  <c r="G1392" i="21"/>
  <c r="G1386" i="21"/>
  <c r="G1380" i="21"/>
  <c r="G1415" i="21"/>
  <c r="G1421" i="21"/>
  <c r="G1456" i="21"/>
  <c r="G1450" i="21"/>
  <c r="G1485" i="21"/>
  <c r="G1491" i="21"/>
  <c r="G1520" i="21"/>
  <c r="G1526" i="21"/>
  <c r="G1561" i="21"/>
  <c r="G1555" i="21"/>
  <c r="G1590" i="21"/>
  <c r="G1631" i="21"/>
  <c r="G1625" i="21"/>
  <c r="G1660" i="21"/>
  <c r="G1666" i="21"/>
  <c r="G832" i="21"/>
  <c r="J307" i="32"/>
  <c r="G1567" i="21" s="1"/>
  <c r="K474" i="32" l="1"/>
  <c r="K479" i="32" s="1"/>
  <c r="L290" i="32"/>
  <c r="G1459" i="21" s="1"/>
  <c r="J290" i="32"/>
  <c r="G1462" i="21" s="1"/>
  <c r="L227" i="32" l="1"/>
  <c r="G1319" i="21" s="1"/>
  <c r="E227" i="32"/>
  <c r="L225" i="32"/>
  <c r="G1284" i="21" s="1"/>
  <c r="E225" i="32"/>
  <c r="L223" i="32"/>
  <c r="G1249" i="21" s="1"/>
  <c r="E223" i="32"/>
  <c r="L221" i="32"/>
  <c r="G1214" i="21" s="1"/>
  <c r="J221" i="32"/>
  <c r="G1217" i="21" s="1"/>
  <c r="E221" i="32"/>
  <c r="L244" i="32"/>
  <c r="G1354" i="21" s="1"/>
  <c r="L258" i="32"/>
  <c r="G1389" i="21" s="1"/>
  <c r="E347" i="32" l="1"/>
  <c r="J311" i="32"/>
  <c r="G1602" i="21" s="1"/>
  <c r="L307" i="32"/>
  <c r="G1564" i="21" s="1"/>
  <c r="E310" i="32"/>
  <c r="E311" i="32" l="1"/>
  <c r="K310" i="32"/>
  <c r="K311" i="32" s="1"/>
  <c r="E301" i="32"/>
  <c r="G1596" i="21" l="1"/>
  <c r="L311" i="32"/>
  <c r="G1599" i="21" s="1"/>
  <c r="L296" i="32"/>
  <c r="G1494" i="21" s="1"/>
  <c r="J296" i="32"/>
  <c r="G1497" i="21" s="1"/>
  <c r="K116" i="32" l="1"/>
  <c r="K113" i="32"/>
  <c r="G686" i="21" s="1"/>
  <c r="G441" i="21"/>
  <c r="K19" i="32"/>
  <c r="K16" i="32"/>
  <c r="E103" i="32"/>
  <c r="L118" i="32" l="1"/>
  <c r="G759" i="21" s="1"/>
  <c r="G721" i="21"/>
  <c r="J103" i="32"/>
  <c r="G622" i="21" s="1"/>
  <c r="J96" i="32"/>
  <c r="G587" i="21" s="1"/>
  <c r="G552" i="21"/>
  <c r="L301" i="32" l="1"/>
  <c r="G1529" i="21" s="1"/>
  <c r="J301" i="32"/>
  <c r="G1532" i="21" s="1"/>
  <c r="E116" i="32"/>
  <c r="J113" i="32"/>
  <c r="G692" i="21" s="1"/>
  <c r="K77" i="32"/>
  <c r="G476" i="21"/>
  <c r="G406" i="21"/>
  <c r="K46" i="32"/>
  <c r="K43" i="32"/>
  <c r="K40" i="32"/>
  <c r="K37" i="32"/>
  <c r="K34" i="32"/>
  <c r="K31" i="32"/>
  <c r="K28" i="32"/>
  <c r="K25" i="32"/>
  <c r="K22" i="32"/>
  <c r="K82" i="32" l="1"/>
  <c r="G511" i="21" s="1"/>
  <c r="J67" i="32"/>
  <c r="G482" i="21" s="1"/>
  <c r="J58" i="32"/>
  <c r="G447" i="21" s="1"/>
  <c r="E49" i="32"/>
  <c r="E46" i="32"/>
  <c r="E43" i="32"/>
  <c r="E40" i="32"/>
  <c r="E37" i="32"/>
  <c r="E34" i="32"/>
  <c r="E31" i="32"/>
  <c r="E28" i="32"/>
  <c r="E25" i="32"/>
  <c r="E22" i="32"/>
  <c r="E19" i="32"/>
  <c r="E16" i="32"/>
  <c r="L46" i="32"/>
  <c r="J46" i="32"/>
  <c r="L43" i="32"/>
  <c r="J43" i="32"/>
  <c r="L40" i="32"/>
  <c r="J40" i="32"/>
  <c r="L37" i="32"/>
  <c r="J37" i="32"/>
  <c r="L34" i="32"/>
  <c r="J34" i="32"/>
  <c r="L31" i="32"/>
  <c r="J31" i="32"/>
  <c r="L28" i="32"/>
  <c r="J28" i="32"/>
  <c r="L25" i="32"/>
  <c r="J25" i="32"/>
  <c r="L22" i="32"/>
  <c r="J22" i="32"/>
  <c r="L19" i="32"/>
  <c r="J19" i="32"/>
  <c r="L16" i="32"/>
  <c r="J16" i="32"/>
  <c r="G15" i="21" l="1"/>
  <c r="G120" i="21"/>
  <c r="G167" i="21"/>
  <c r="G237" i="21"/>
  <c r="G304" i="21"/>
  <c r="G365" i="21"/>
  <c r="G27" i="21"/>
  <c r="G56" i="21"/>
  <c r="G164" i="21"/>
  <c r="G231" i="21"/>
  <c r="G301" i="21"/>
  <c r="G374" i="21"/>
  <c r="G21" i="21"/>
  <c r="G132" i="21"/>
  <c r="G155" i="21"/>
  <c r="G225" i="21"/>
  <c r="G295" i="21"/>
  <c r="G377" i="21"/>
  <c r="G24" i="21"/>
  <c r="G129" i="21"/>
  <c r="G161" i="21"/>
  <c r="G234" i="21"/>
  <c r="G307" i="21"/>
  <c r="G371" i="21"/>
  <c r="G91" i="21"/>
  <c r="G126" i="21"/>
  <c r="G202" i="21"/>
  <c r="G266" i="21"/>
  <c r="G336" i="21"/>
  <c r="G85" i="21"/>
  <c r="G94" i="21"/>
  <c r="G196" i="21"/>
  <c r="G260" i="21"/>
  <c r="G330" i="21"/>
  <c r="G97" i="21"/>
  <c r="G50" i="21"/>
  <c r="G190" i="21"/>
  <c r="G269" i="21"/>
  <c r="G342" i="21"/>
  <c r="G59" i="21"/>
  <c r="G62" i="21"/>
  <c r="G199" i="21"/>
  <c r="G272" i="21"/>
  <c r="G339" i="21"/>
  <c r="W799" i="32"/>
  <c r="X799" i="32" s="1"/>
  <c r="W181" i="32"/>
  <c r="X181" i="32" s="1"/>
  <c r="W182" i="32"/>
  <c r="X182" i="32" s="1"/>
  <c r="W183" i="32"/>
  <c r="X183" i="32" s="1"/>
  <c r="W184" i="32"/>
  <c r="X184" i="32" s="1"/>
  <c r="W666" i="32"/>
  <c r="X666" i="32" s="1"/>
  <c r="W675" i="32"/>
  <c r="X675" i="32" s="1"/>
  <c r="W702" i="32"/>
  <c r="X702" i="32" s="1"/>
  <c r="W693" i="32"/>
  <c r="X693" i="32" s="1"/>
  <c r="U673" i="32"/>
  <c r="T673" i="32"/>
  <c r="S673" i="32"/>
  <c r="U701" i="32"/>
  <c r="T701" i="32"/>
  <c r="S701" i="32"/>
  <c r="U674" i="32"/>
  <c r="T674" i="32"/>
  <c r="S674" i="32"/>
  <c r="U672" i="32"/>
  <c r="T672" i="32"/>
  <c r="S672" i="32"/>
  <c r="U671" i="32"/>
  <c r="T671" i="32"/>
  <c r="S671" i="32"/>
  <c r="U700" i="32"/>
  <c r="T700" i="32"/>
  <c r="S700" i="32"/>
  <c r="U699" i="32"/>
  <c r="T699" i="32"/>
  <c r="S699" i="32"/>
  <c r="U698" i="32"/>
  <c r="T698" i="32"/>
  <c r="S698" i="32"/>
  <c r="U715" i="32"/>
  <c r="T715" i="32"/>
  <c r="S715" i="32"/>
  <c r="U714" i="32"/>
  <c r="T714" i="32"/>
  <c r="S714" i="32"/>
  <c r="U713" i="32"/>
  <c r="T713" i="32"/>
  <c r="S713" i="32"/>
  <c r="S681" i="32"/>
  <c r="T681" i="32"/>
  <c r="U681" i="32"/>
  <c r="S691" i="32"/>
  <c r="T691" i="32"/>
  <c r="U691" i="32"/>
  <c r="S682" i="32"/>
  <c r="T682" i="32"/>
  <c r="U682" i="32"/>
  <c r="S692" i="32"/>
  <c r="T692" i="32"/>
  <c r="U692" i="32"/>
  <c r="S683" i="32"/>
  <c r="T683" i="32"/>
  <c r="U683" i="32"/>
  <c r="U690" i="32"/>
  <c r="T690" i="32"/>
  <c r="S690" i="32"/>
  <c r="U689" i="32"/>
  <c r="T689" i="32"/>
  <c r="S689" i="32"/>
  <c r="U680" i="32"/>
  <c r="T680" i="32"/>
  <c r="S680" i="32"/>
  <c r="U708" i="32"/>
  <c r="T708" i="32"/>
  <c r="S708" i="32"/>
  <c r="U707" i="32"/>
  <c r="T707" i="32"/>
  <c r="S707" i="32"/>
  <c r="U706" i="32"/>
  <c r="T706" i="32"/>
  <c r="S706" i="32"/>
  <c r="S694" i="32"/>
  <c r="T694" i="32"/>
  <c r="U694" i="32"/>
  <c r="S695" i="32"/>
  <c r="T695" i="32"/>
  <c r="U695" i="32"/>
  <c r="S669" i="32"/>
  <c r="T669" i="32"/>
  <c r="U669" i="32"/>
  <c r="S670" i="32"/>
  <c r="T670" i="32"/>
  <c r="U670" i="32"/>
  <c r="S696" i="32"/>
  <c r="T696" i="32"/>
  <c r="U696" i="32"/>
  <c r="S697" i="32"/>
  <c r="T697" i="32"/>
  <c r="U697" i="32"/>
  <c r="S665" i="32"/>
  <c r="T665" i="32"/>
  <c r="U665" i="32"/>
  <c r="U712" i="32"/>
  <c r="T712" i="32"/>
  <c r="S712" i="32"/>
  <c r="U711" i="32"/>
  <c r="T711" i="32"/>
  <c r="S711" i="32"/>
  <c r="U710" i="32"/>
  <c r="T710" i="32"/>
  <c r="S710" i="32"/>
  <c r="U668" i="32"/>
  <c r="T668" i="32"/>
  <c r="S668" i="32"/>
  <c r="U667" i="32"/>
  <c r="T667" i="32"/>
  <c r="S667" i="32"/>
  <c r="L58" i="32" l="1"/>
  <c r="G444" i="21" s="1"/>
  <c r="W708" i="32"/>
  <c r="X708" i="32" s="1"/>
  <c r="W672" i="32"/>
  <c r="X672" i="32" s="1"/>
  <c r="W669" i="32"/>
  <c r="X669" i="32" s="1"/>
  <c r="W691" i="32"/>
  <c r="X691" i="32" s="1"/>
  <c r="W710" i="32"/>
  <c r="X710" i="32" s="1"/>
  <c r="W665" i="32"/>
  <c r="X665" i="32" s="1"/>
  <c r="W671" i="32"/>
  <c r="X671" i="32" s="1"/>
  <c r="W692" i="32"/>
  <c r="X692" i="32" s="1"/>
  <c r="W696" i="32"/>
  <c r="X696" i="32" s="1"/>
  <c r="W694" i="32"/>
  <c r="X694" i="32" s="1"/>
  <c r="W695" i="32"/>
  <c r="X695" i="32" s="1"/>
  <c r="W681" i="32"/>
  <c r="X681" i="32" s="1"/>
  <c r="W713" i="32"/>
  <c r="X713" i="32" s="1"/>
  <c r="W699" i="32"/>
  <c r="X699" i="32" s="1"/>
  <c r="W674" i="32"/>
  <c r="X674" i="32" s="1"/>
  <c r="W698" i="32"/>
  <c r="X698" i="32" s="1"/>
  <c r="W711" i="32"/>
  <c r="X711" i="32" s="1"/>
  <c r="W680" i="32"/>
  <c r="X680" i="32" s="1"/>
  <c r="W697" i="32"/>
  <c r="X697" i="32" s="1"/>
  <c r="W683" i="32"/>
  <c r="X683" i="32" s="1"/>
  <c r="W667" i="32"/>
  <c r="X667" i="32" s="1"/>
  <c r="W712" i="32"/>
  <c r="X712" i="32" s="1"/>
  <c r="W706" i="32"/>
  <c r="X706" i="32" s="1"/>
  <c r="W689" i="32"/>
  <c r="X689" i="32" s="1"/>
  <c r="W714" i="32"/>
  <c r="X714" i="32" s="1"/>
  <c r="W701" i="32"/>
  <c r="X701" i="32" s="1"/>
  <c r="W682" i="32"/>
  <c r="X682" i="32" s="1"/>
  <c r="W668" i="32"/>
  <c r="X668" i="32" s="1"/>
  <c r="W690" i="32"/>
  <c r="X690" i="32" s="1"/>
  <c r="W715" i="32"/>
  <c r="X715" i="32" s="1"/>
  <c r="W673" i="32"/>
  <c r="X673" i="32" s="1"/>
  <c r="W670" i="32"/>
  <c r="X670" i="32" s="1"/>
  <c r="W700" i="32"/>
  <c r="X700" i="32" s="1"/>
  <c r="W707" i="32"/>
  <c r="X707" i="32" s="1"/>
  <c r="S705" i="32"/>
  <c r="T705" i="32"/>
  <c r="U705" i="32"/>
  <c r="S687" i="32"/>
  <c r="T687" i="32"/>
  <c r="U687" i="32"/>
  <c r="S676" i="32"/>
  <c r="T676" i="32"/>
  <c r="U676" i="32"/>
  <c r="S677" i="32"/>
  <c r="T677" i="32"/>
  <c r="U677" i="32"/>
  <c r="S678" i="32"/>
  <c r="T678" i="32"/>
  <c r="U678" i="32"/>
  <c r="S688" i="32"/>
  <c r="T688" i="32"/>
  <c r="U688" i="32"/>
  <c r="S679" i="32"/>
  <c r="T679" i="32"/>
  <c r="U679" i="32"/>
  <c r="S664" i="32"/>
  <c r="T664" i="32"/>
  <c r="U664" i="32"/>
  <c r="U704" i="32"/>
  <c r="T704" i="32"/>
  <c r="S704" i="32"/>
  <c r="U703" i="32"/>
  <c r="T703" i="32"/>
  <c r="S703" i="32"/>
  <c r="U686" i="32"/>
  <c r="T686" i="32"/>
  <c r="S686" i="32"/>
  <c r="U685" i="32"/>
  <c r="T685" i="32"/>
  <c r="S685" i="32"/>
  <c r="U663" i="32"/>
  <c r="T663" i="32"/>
  <c r="S663" i="32"/>
  <c r="U662" i="32"/>
  <c r="T662" i="32"/>
  <c r="S662" i="32"/>
  <c r="U661" i="32"/>
  <c r="T661" i="32"/>
  <c r="S661" i="32"/>
  <c r="U660" i="32"/>
  <c r="T660" i="32"/>
  <c r="S660" i="32"/>
  <c r="U659" i="32"/>
  <c r="T659" i="32"/>
  <c r="S659" i="32"/>
  <c r="U658" i="32"/>
  <c r="T658" i="32"/>
  <c r="S658" i="32"/>
  <c r="U657" i="32"/>
  <c r="T657" i="32"/>
  <c r="S657" i="32"/>
  <c r="U656" i="32"/>
  <c r="T656" i="32"/>
  <c r="S656" i="32"/>
  <c r="U655" i="32"/>
  <c r="T655" i="32"/>
  <c r="S655" i="32"/>
  <c r="U654" i="32"/>
  <c r="T654" i="32"/>
  <c r="S654" i="32"/>
  <c r="U653" i="32"/>
  <c r="T653" i="32"/>
  <c r="S653" i="32"/>
  <c r="U652" i="32"/>
  <c r="T652" i="32"/>
  <c r="S652" i="32"/>
  <c r="U651" i="32"/>
  <c r="T651" i="32"/>
  <c r="S651" i="32"/>
  <c r="S641" i="32"/>
  <c r="T641" i="32"/>
  <c r="U641" i="32"/>
  <c r="S642" i="32"/>
  <c r="T642" i="32"/>
  <c r="U642" i="32"/>
  <c r="S643" i="32"/>
  <c r="T643" i="32"/>
  <c r="U643" i="32"/>
  <c r="S644" i="32"/>
  <c r="T644" i="32"/>
  <c r="U644" i="32"/>
  <c r="S645" i="32"/>
  <c r="T645" i="32"/>
  <c r="U645" i="32"/>
  <c r="S646" i="32"/>
  <c r="T646" i="32"/>
  <c r="U646" i="32"/>
  <c r="S647" i="32"/>
  <c r="T647" i="32"/>
  <c r="U647" i="32"/>
  <c r="S648" i="32"/>
  <c r="T648" i="32"/>
  <c r="U648" i="32"/>
  <c r="S649" i="32"/>
  <c r="T649" i="32"/>
  <c r="U649" i="32"/>
  <c r="S650" i="32"/>
  <c r="T650" i="32"/>
  <c r="U650" i="32"/>
  <c r="U640" i="32"/>
  <c r="T640" i="32"/>
  <c r="S640" i="32"/>
  <c r="U639" i="32"/>
  <c r="T639" i="32"/>
  <c r="S639" i="32"/>
  <c r="U638" i="32"/>
  <c r="T638" i="32"/>
  <c r="S638" i="32"/>
  <c r="U637" i="32"/>
  <c r="T637" i="32"/>
  <c r="S637" i="32"/>
  <c r="U636" i="32"/>
  <c r="T636" i="32"/>
  <c r="S636" i="32"/>
  <c r="U635" i="32"/>
  <c r="T635" i="32"/>
  <c r="S635" i="32"/>
  <c r="U634" i="32"/>
  <c r="T634" i="32"/>
  <c r="S634" i="32"/>
  <c r="U633" i="32"/>
  <c r="T633" i="32"/>
  <c r="S633" i="32"/>
  <c r="U632" i="32"/>
  <c r="T632" i="32"/>
  <c r="S632" i="32"/>
  <c r="U631" i="32"/>
  <c r="T631" i="32"/>
  <c r="S631" i="32"/>
  <c r="S627" i="32"/>
  <c r="T627" i="32"/>
  <c r="U627" i="32"/>
  <c r="S628" i="32"/>
  <c r="T628" i="32"/>
  <c r="U628" i="32"/>
  <c r="S629" i="32"/>
  <c r="T629" i="32"/>
  <c r="U629" i="32"/>
  <c r="S630" i="32"/>
  <c r="T630" i="32"/>
  <c r="U630" i="32"/>
  <c r="U626" i="32"/>
  <c r="T626" i="32"/>
  <c r="S626" i="32"/>
  <c r="U625" i="32"/>
  <c r="T625" i="32"/>
  <c r="S625" i="32"/>
  <c r="U624" i="32"/>
  <c r="T624" i="32"/>
  <c r="S624" i="32"/>
  <c r="U623" i="32"/>
  <c r="T623" i="32"/>
  <c r="S623" i="32"/>
  <c r="U622" i="32"/>
  <c r="T622" i="32"/>
  <c r="S622" i="32"/>
  <c r="U621" i="32"/>
  <c r="T621" i="32"/>
  <c r="S621" i="32"/>
  <c r="U620" i="32"/>
  <c r="T620" i="32"/>
  <c r="S620" i="32"/>
  <c r="U619" i="32"/>
  <c r="T619" i="32"/>
  <c r="U618" i="32"/>
  <c r="T618" i="32"/>
  <c r="U617" i="32"/>
  <c r="T617" i="32"/>
  <c r="U616" i="32"/>
  <c r="T616" i="32"/>
  <c r="U615" i="32"/>
  <c r="T615" i="32"/>
  <c r="U614" i="32"/>
  <c r="T614" i="32"/>
  <c r="U613" i="32"/>
  <c r="T613" i="32"/>
  <c r="U612" i="32"/>
  <c r="T612" i="32"/>
  <c r="U611" i="32"/>
  <c r="T611" i="32"/>
  <c r="U610" i="32"/>
  <c r="T610" i="32"/>
  <c r="U609" i="32"/>
  <c r="T609" i="32"/>
  <c r="U608" i="32"/>
  <c r="T608" i="32"/>
  <c r="U607" i="32"/>
  <c r="T607" i="32"/>
  <c r="S617" i="32"/>
  <c r="S616" i="32"/>
  <c r="S619" i="32"/>
  <c r="S618" i="32"/>
  <c r="S615" i="32"/>
  <c r="S614" i="32"/>
  <c r="S613" i="32"/>
  <c r="S612" i="32"/>
  <c r="S611" i="32"/>
  <c r="S610" i="32"/>
  <c r="S609" i="32"/>
  <c r="S608" i="32"/>
  <c r="S607" i="32"/>
  <c r="S603" i="32"/>
  <c r="U606" i="32"/>
  <c r="T606" i="32"/>
  <c r="S606" i="32"/>
  <c r="U605" i="32"/>
  <c r="T605" i="32"/>
  <c r="S605" i="32"/>
  <c r="U604" i="32"/>
  <c r="T604" i="32"/>
  <c r="S604" i="32"/>
  <c r="U603" i="32"/>
  <c r="T603" i="32"/>
  <c r="U602" i="32"/>
  <c r="T602" i="32"/>
  <c r="S602" i="32"/>
  <c r="U601" i="32"/>
  <c r="T601" i="32"/>
  <c r="S601" i="32"/>
  <c r="U600" i="32"/>
  <c r="T600" i="32"/>
  <c r="S600" i="32"/>
  <c r="U599" i="32"/>
  <c r="T599" i="32"/>
  <c r="S599" i="32"/>
  <c r="U598" i="32"/>
  <c r="T598" i="32"/>
  <c r="S598" i="32"/>
  <c r="W626" i="32" l="1"/>
  <c r="X626" i="32" s="1"/>
  <c r="W620" i="32"/>
  <c r="X620" i="32" s="1"/>
  <c r="W636" i="32"/>
  <c r="X636" i="32" s="1"/>
  <c r="W652" i="32"/>
  <c r="X652" i="32" s="1"/>
  <c r="W660" i="32"/>
  <c r="X660" i="32" s="1"/>
  <c r="W622" i="32"/>
  <c r="X622" i="32" s="1"/>
  <c r="L67" i="32"/>
  <c r="G479" i="21" s="1"/>
  <c r="W600" i="32"/>
  <c r="X600" i="32" s="1"/>
  <c r="W624" i="32"/>
  <c r="X624" i="32" s="1"/>
  <c r="W632" i="32"/>
  <c r="X632" i="32" s="1"/>
  <c r="W640" i="32"/>
  <c r="X640" i="32" s="1"/>
  <c r="W656" i="32"/>
  <c r="X656" i="32" s="1"/>
  <c r="W685" i="32"/>
  <c r="X685" i="32" s="1"/>
  <c r="W606" i="32"/>
  <c r="X606" i="32" s="1"/>
  <c r="W602" i="32"/>
  <c r="X602" i="32" s="1"/>
  <c r="W598" i="32"/>
  <c r="X598" i="32" s="1"/>
  <c r="W618" i="32"/>
  <c r="X618" i="32" s="1"/>
  <c r="W634" i="32"/>
  <c r="X634" i="32" s="1"/>
  <c r="W638" i="32"/>
  <c r="X638" i="32" s="1"/>
  <c r="W654" i="32"/>
  <c r="X654" i="32" s="1"/>
  <c r="W658" i="32"/>
  <c r="X658" i="32" s="1"/>
  <c r="W662" i="32"/>
  <c r="X662" i="32" s="1"/>
  <c r="W615" i="32"/>
  <c r="X615" i="32" s="1"/>
  <c r="W599" i="32"/>
  <c r="X599" i="32" s="1"/>
  <c r="W607" i="32"/>
  <c r="X607" i="32" s="1"/>
  <c r="W623" i="32"/>
  <c r="X623" i="32" s="1"/>
  <c r="W631" i="32"/>
  <c r="X631" i="32" s="1"/>
  <c r="W635" i="32"/>
  <c r="X635" i="32" s="1"/>
  <c r="W639" i="32"/>
  <c r="X639" i="32" s="1"/>
  <c r="W651" i="32"/>
  <c r="X651" i="32" s="1"/>
  <c r="W655" i="32"/>
  <c r="X655" i="32" s="1"/>
  <c r="W659" i="32"/>
  <c r="X659" i="32" s="1"/>
  <c r="W613" i="32"/>
  <c r="X613" i="32" s="1"/>
  <c r="W614" i="32"/>
  <c r="X614" i="32" s="1"/>
  <c r="W619" i="32"/>
  <c r="X619" i="32" s="1"/>
  <c r="W603" i="32"/>
  <c r="X603" i="32" s="1"/>
  <c r="W601" i="32"/>
  <c r="X601" i="32" s="1"/>
  <c r="W621" i="32"/>
  <c r="X621" i="32" s="1"/>
  <c r="W625" i="32"/>
  <c r="X625" i="32" s="1"/>
  <c r="W633" i="32"/>
  <c r="X633" i="32" s="1"/>
  <c r="W637" i="32"/>
  <c r="X637" i="32" s="1"/>
  <c r="W653" i="32"/>
  <c r="X653" i="32" s="1"/>
  <c r="W657" i="32"/>
  <c r="X657" i="32" s="1"/>
  <c r="W661" i="32"/>
  <c r="X661" i="32" s="1"/>
  <c r="W686" i="32"/>
  <c r="X686" i="32" s="1"/>
  <c r="W650" i="32"/>
  <c r="X650" i="32" s="1"/>
  <c r="W703" i="32"/>
  <c r="X703" i="32" s="1"/>
  <c r="W677" i="32"/>
  <c r="X677" i="32" s="1"/>
  <c r="W627" i="32"/>
  <c r="X627" i="32" s="1"/>
  <c r="W649" i="32"/>
  <c r="X649" i="32" s="1"/>
  <c r="W645" i="32"/>
  <c r="X645" i="32" s="1"/>
  <c r="W641" i="32"/>
  <c r="X641" i="32" s="1"/>
  <c r="W679" i="32"/>
  <c r="X679" i="32" s="1"/>
  <c r="W676" i="32"/>
  <c r="X676" i="32" s="1"/>
  <c r="W663" i="32"/>
  <c r="X663" i="32" s="1"/>
  <c r="W704" i="32"/>
  <c r="X704" i="32" s="1"/>
  <c r="W646" i="32"/>
  <c r="X646" i="32" s="1"/>
  <c r="W617" i="32"/>
  <c r="X617" i="32" s="1"/>
  <c r="W608" i="32"/>
  <c r="X608" i="32" s="1"/>
  <c r="W642" i="32"/>
  <c r="X642" i="32" s="1"/>
  <c r="W604" i="32"/>
  <c r="X604" i="32" s="1"/>
  <c r="W609" i="32"/>
  <c r="X609" i="32" s="1"/>
  <c r="W630" i="32"/>
  <c r="X630" i="32" s="1"/>
  <c r="W648" i="32"/>
  <c r="X648" i="32" s="1"/>
  <c r="W644" i="32"/>
  <c r="X644" i="32" s="1"/>
  <c r="W688" i="32"/>
  <c r="X688" i="32" s="1"/>
  <c r="W687" i="32"/>
  <c r="X687" i="32" s="1"/>
  <c r="W616" i="32"/>
  <c r="X616" i="32" s="1"/>
  <c r="W611" i="32"/>
  <c r="X611" i="32" s="1"/>
  <c r="W628" i="32"/>
  <c r="X628" i="32" s="1"/>
  <c r="W664" i="32"/>
  <c r="X664" i="32" s="1"/>
  <c r="W610" i="32"/>
  <c r="X610" i="32" s="1"/>
  <c r="W605" i="32"/>
  <c r="X605" i="32" s="1"/>
  <c r="W612" i="32"/>
  <c r="X612" i="32" s="1"/>
  <c r="W629" i="32"/>
  <c r="X629" i="32" s="1"/>
  <c r="W647" i="32"/>
  <c r="X647" i="32" s="1"/>
  <c r="W643" i="32"/>
  <c r="X643" i="32" s="1"/>
  <c r="W678" i="32"/>
  <c r="X678" i="32" s="1"/>
  <c r="W705" i="32"/>
  <c r="X705" i="32" s="1"/>
  <c r="U597" i="32"/>
  <c r="T597" i="32"/>
  <c r="S597" i="32"/>
  <c r="U596" i="32"/>
  <c r="T596" i="32"/>
  <c r="S596" i="32"/>
  <c r="U595" i="32"/>
  <c r="T595" i="32"/>
  <c r="S595" i="32"/>
  <c r="U594" i="32"/>
  <c r="T594" i="32"/>
  <c r="S594" i="32"/>
  <c r="U593" i="32"/>
  <c r="T593" i="32"/>
  <c r="S593" i="32"/>
  <c r="U592" i="32"/>
  <c r="T592" i="32"/>
  <c r="S592" i="32"/>
  <c r="U591" i="32"/>
  <c r="T591" i="32"/>
  <c r="S591" i="32"/>
  <c r="U590" i="32"/>
  <c r="T590" i="32"/>
  <c r="S590" i="32"/>
  <c r="U589" i="32"/>
  <c r="T589" i="32"/>
  <c r="S589" i="32"/>
  <c r="U588" i="32"/>
  <c r="T588" i="32"/>
  <c r="S588" i="32"/>
  <c r="U587" i="32"/>
  <c r="T587" i="32"/>
  <c r="S587" i="32"/>
  <c r="U586" i="32"/>
  <c r="T586" i="32"/>
  <c r="S586" i="32"/>
  <c r="U585" i="32"/>
  <c r="T585" i="32"/>
  <c r="S585" i="32"/>
  <c r="U584" i="32"/>
  <c r="T584" i="32"/>
  <c r="S584" i="32"/>
  <c r="U583" i="32"/>
  <c r="T583" i="32"/>
  <c r="S583" i="32"/>
  <c r="U582" i="32"/>
  <c r="T582" i="32"/>
  <c r="S582" i="32"/>
  <c r="U581" i="32"/>
  <c r="T581" i="32"/>
  <c r="S581" i="32"/>
  <c r="U580" i="32"/>
  <c r="T580" i="32"/>
  <c r="S580" i="32"/>
  <c r="U579" i="32"/>
  <c r="T579" i="32"/>
  <c r="S579" i="32"/>
  <c r="U578" i="32"/>
  <c r="T578" i="32"/>
  <c r="S578" i="32"/>
  <c r="U577" i="32"/>
  <c r="T577" i="32"/>
  <c r="S577" i="32"/>
  <c r="U576" i="32"/>
  <c r="T576" i="32"/>
  <c r="S576" i="32"/>
  <c r="U575" i="32"/>
  <c r="T575" i="32"/>
  <c r="S575" i="32"/>
  <c r="U574" i="32"/>
  <c r="T574" i="32"/>
  <c r="S574" i="32"/>
  <c r="U573" i="32"/>
  <c r="T573" i="32"/>
  <c r="S573" i="32"/>
  <c r="U572" i="32"/>
  <c r="T572" i="32"/>
  <c r="S572" i="32"/>
  <c r="U571" i="32"/>
  <c r="T571" i="32"/>
  <c r="S571" i="32"/>
  <c r="U570" i="32"/>
  <c r="T570" i="32"/>
  <c r="S570" i="32"/>
  <c r="U569" i="32"/>
  <c r="T569" i="32"/>
  <c r="S569" i="32"/>
  <c r="U568" i="32"/>
  <c r="T568" i="32"/>
  <c r="S568" i="32"/>
  <c r="U567" i="32"/>
  <c r="T567" i="32"/>
  <c r="S567" i="32"/>
  <c r="U566" i="32"/>
  <c r="T566" i="32"/>
  <c r="S566" i="32"/>
  <c r="U565" i="32"/>
  <c r="T565" i="32"/>
  <c r="S565" i="32"/>
  <c r="U564" i="32"/>
  <c r="T564" i="32"/>
  <c r="S564" i="32"/>
  <c r="U563" i="32"/>
  <c r="T563" i="32"/>
  <c r="S563" i="32"/>
  <c r="U562" i="32"/>
  <c r="T562" i="32"/>
  <c r="S562" i="32"/>
  <c r="U561" i="32"/>
  <c r="T561" i="32"/>
  <c r="S561" i="32"/>
  <c r="U560" i="32"/>
  <c r="T560" i="32"/>
  <c r="S560" i="32"/>
  <c r="U559" i="32"/>
  <c r="T559" i="32"/>
  <c r="S559" i="32"/>
  <c r="U558" i="32"/>
  <c r="T558" i="32"/>
  <c r="S558" i="32"/>
  <c r="U557" i="32"/>
  <c r="T557" i="32"/>
  <c r="S557" i="32"/>
  <c r="U556" i="32"/>
  <c r="T556" i="32"/>
  <c r="S556" i="32"/>
  <c r="U555" i="32"/>
  <c r="T555" i="32"/>
  <c r="S555" i="32"/>
  <c r="U554" i="32"/>
  <c r="T554" i="32"/>
  <c r="S554" i="32"/>
  <c r="U553" i="32"/>
  <c r="T553" i="32"/>
  <c r="S553" i="32"/>
  <c r="U552" i="32"/>
  <c r="T552" i="32"/>
  <c r="S552" i="32"/>
  <c r="U551" i="32"/>
  <c r="T551" i="32"/>
  <c r="S551" i="32"/>
  <c r="U550" i="32"/>
  <c r="T550" i="32"/>
  <c r="S550" i="32"/>
  <c r="U549" i="32"/>
  <c r="T549" i="32"/>
  <c r="S549" i="32"/>
  <c r="U548" i="32"/>
  <c r="T548" i="32"/>
  <c r="S548" i="32"/>
  <c r="S502" i="32"/>
  <c r="T502" i="32"/>
  <c r="U502" i="32"/>
  <c r="S503" i="32"/>
  <c r="T503" i="32"/>
  <c r="U503" i="32"/>
  <c r="S504" i="32"/>
  <c r="T504" i="32"/>
  <c r="U504" i="32"/>
  <c r="S505" i="32"/>
  <c r="T505" i="32"/>
  <c r="U505" i="32"/>
  <c r="S506" i="32"/>
  <c r="T506" i="32"/>
  <c r="U506" i="32"/>
  <c r="S507" i="32"/>
  <c r="T507" i="32"/>
  <c r="U507" i="32"/>
  <c r="S508" i="32"/>
  <c r="T508" i="32"/>
  <c r="U508" i="32"/>
  <c r="S509" i="32"/>
  <c r="T509" i="32"/>
  <c r="U509" i="32"/>
  <c r="S510" i="32"/>
  <c r="T510" i="32"/>
  <c r="U510" i="32"/>
  <c r="S511" i="32"/>
  <c r="T511" i="32"/>
  <c r="U511" i="32"/>
  <c r="S512" i="32"/>
  <c r="T512" i="32"/>
  <c r="U512" i="32"/>
  <c r="S513" i="32"/>
  <c r="T513" i="32"/>
  <c r="U513" i="32"/>
  <c r="S514" i="32"/>
  <c r="T514" i="32"/>
  <c r="U514" i="32"/>
  <c r="S515" i="32"/>
  <c r="T515" i="32"/>
  <c r="U515" i="32"/>
  <c r="S516" i="32"/>
  <c r="T516" i="32"/>
  <c r="U516" i="32"/>
  <c r="S517" i="32"/>
  <c r="T517" i="32"/>
  <c r="U517" i="32"/>
  <c r="S518" i="32"/>
  <c r="T518" i="32"/>
  <c r="U518" i="32"/>
  <c r="S519" i="32"/>
  <c r="T519" i="32"/>
  <c r="U519" i="32"/>
  <c r="S520" i="32"/>
  <c r="T520" i="32"/>
  <c r="U520" i="32"/>
  <c r="S521" i="32"/>
  <c r="T521" i="32"/>
  <c r="U521" i="32"/>
  <c r="S522" i="32"/>
  <c r="T522" i="32"/>
  <c r="U522" i="32"/>
  <c r="S523" i="32"/>
  <c r="T523" i="32"/>
  <c r="U523" i="32"/>
  <c r="S524" i="32"/>
  <c r="T524" i="32"/>
  <c r="U524" i="32"/>
  <c r="S525" i="32"/>
  <c r="T525" i="32"/>
  <c r="U525" i="32"/>
  <c r="S526" i="32"/>
  <c r="T526" i="32"/>
  <c r="U526" i="32"/>
  <c r="S527" i="32"/>
  <c r="T527" i="32"/>
  <c r="U527" i="32"/>
  <c r="S528" i="32"/>
  <c r="T528" i="32"/>
  <c r="U528" i="32"/>
  <c r="S529" i="32"/>
  <c r="T529" i="32"/>
  <c r="U529" i="32"/>
  <c r="S530" i="32"/>
  <c r="T530" i="32"/>
  <c r="U530" i="32"/>
  <c r="S531" i="32"/>
  <c r="T531" i="32"/>
  <c r="U531" i="32"/>
  <c r="S532" i="32"/>
  <c r="T532" i="32"/>
  <c r="U532" i="32"/>
  <c r="S533" i="32"/>
  <c r="T533" i="32"/>
  <c r="U533" i="32"/>
  <c r="S534" i="32"/>
  <c r="T534" i="32"/>
  <c r="U534" i="32"/>
  <c r="S535" i="32"/>
  <c r="T535" i="32"/>
  <c r="U535" i="32"/>
  <c r="S536" i="32"/>
  <c r="T536" i="32"/>
  <c r="U536" i="32"/>
  <c r="S537" i="32"/>
  <c r="T537" i="32"/>
  <c r="U537" i="32"/>
  <c r="S538" i="32"/>
  <c r="T538" i="32"/>
  <c r="U538" i="32"/>
  <c r="S539" i="32"/>
  <c r="T539" i="32"/>
  <c r="U539" i="32"/>
  <c r="S540" i="32"/>
  <c r="T540" i="32"/>
  <c r="U540" i="32"/>
  <c r="S541" i="32"/>
  <c r="T541" i="32"/>
  <c r="U541" i="32"/>
  <c r="S542" i="32"/>
  <c r="T542" i="32"/>
  <c r="U542" i="32"/>
  <c r="S543" i="32"/>
  <c r="T543" i="32"/>
  <c r="U543" i="32"/>
  <c r="S544" i="32"/>
  <c r="T544" i="32"/>
  <c r="U544" i="32"/>
  <c r="S545" i="32"/>
  <c r="T545" i="32"/>
  <c r="U545" i="32"/>
  <c r="S546" i="32"/>
  <c r="T546" i="32"/>
  <c r="U546" i="32"/>
  <c r="S547" i="32"/>
  <c r="T547" i="32"/>
  <c r="U547" i="32"/>
  <c r="U501" i="32"/>
  <c r="T501" i="32"/>
  <c r="S501" i="32"/>
  <c r="U500" i="32"/>
  <c r="T500" i="32"/>
  <c r="S500" i="32"/>
  <c r="U499" i="32"/>
  <c r="T499" i="32"/>
  <c r="S499" i="32"/>
  <c r="U498" i="32"/>
  <c r="T498" i="32"/>
  <c r="S498" i="32"/>
  <c r="U489" i="32"/>
  <c r="T489" i="32"/>
  <c r="S489" i="32"/>
  <c r="U497" i="32"/>
  <c r="T497" i="32"/>
  <c r="S497" i="32"/>
  <c r="U496" i="32"/>
  <c r="T496" i="32"/>
  <c r="S496" i="32"/>
  <c r="U495" i="32"/>
  <c r="T495" i="32"/>
  <c r="S495" i="32"/>
  <c r="U494" i="32"/>
  <c r="T494" i="32"/>
  <c r="S494" i="32"/>
  <c r="U493" i="32"/>
  <c r="T493" i="32"/>
  <c r="S493" i="32"/>
  <c r="U492" i="32"/>
  <c r="T492" i="32"/>
  <c r="S492" i="32"/>
  <c r="U491" i="32"/>
  <c r="T491" i="32"/>
  <c r="S491" i="32"/>
  <c r="U490" i="32"/>
  <c r="T490" i="32"/>
  <c r="S490" i="32"/>
  <c r="U488" i="32"/>
  <c r="T488" i="32"/>
  <c r="S488" i="32"/>
  <c r="U487" i="32"/>
  <c r="T487" i="32"/>
  <c r="S487" i="32"/>
  <c r="U486" i="32"/>
  <c r="T486" i="32"/>
  <c r="S486" i="32"/>
  <c r="U485" i="32"/>
  <c r="T485" i="32"/>
  <c r="S485" i="32"/>
  <c r="U484" i="32"/>
  <c r="T484" i="32"/>
  <c r="S484" i="32"/>
  <c r="U483" i="32"/>
  <c r="T483" i="32"/>
  <c r="S483" i="32"/>
  <c r="S481" i="32"/>
  <c r="U482" i="32"/>
  <c r="T482" i="32"/>
  <c r="S482" i="32"/>
  <c r="U481" i="32"/>
  <c r="T481" i="32"/>
  <c r="U480" i="32"/>
  <c r="T480" i="32"/>
  <c r="S480" i="32"/>
  <c r="W491" i="32" l="1"/>
  <c r="X491" i="32" s="1"/>
  <c r="W498" i="32"/>
  <c r="X498" i="32" s="1"/>
  <c r="W554" i="32"/>
  <c r="X554" i="32" s="1"/>
  <c r="W486" i="32"/>
  <c r="X486" i="32" s="1"/>
  <c r="W495" i="32"/>
  <c r="X495" i="32" s="1"/>
  <c r="W550" i="32"/>
  <c r="X550" i="32" s="1"/>
  <c r="W558" i="32"/>
  <c r="X558" i="32" s="1"/>
  <c r="W545" i="32"/>
  <c r="X545" i="32" s="1"/>
  <c r="W541" i="32"/>
  <c r="X541" i="32" s="1"/>
  <c r="W529" i="32"/>
  <c r="X529" i="32" s="1"/>
  <c r="W525" i="32"/>
  <c r="X525" i="32" s="1"/>
  <c r="W521" i="32"/>
  <c r="X521" i="32" s="1"/>
  <c r="W517" i="32"/>
  <c r="X517" i="32" s="1"/>
  <c r="W513" i="32"/>
  <c r="X513" i="32" s="1"/>
  <c r="W509" i="32"/>
  <c r="X509" i="32" s="1"/>
  <c r="W505" i="32"/>
  <c r="X505" i="32" s="1"/>
  <c r="W533" i="32"/>
  <c r="X533" i="32" s="1"/>
  <c r="W537" i="32"/>
  <c r="X537" i="32" s="1"/>
  <c r="W562" i="32"/>
  <c r="X562" i="32" s="1"/>
  <c r="W566" i="32"/>
  <c r="X566" i="32" s="1"/>
  <c r="W570" i="32"/>
  <c r="X570" i="32" s="1"/>
  <c r="W574" i="32"/>
  <c r="X574" i="32" s="1"/>
  <c r="W578" i="32"/>
  <c r="X578" i="32" s="1"/>
  <c r="W582" i="32"/>
  <c r="X582" i="32" s="1"/>
  <c r="W586" i="32"/>
  <c r="X586" i="32" s="1"/>
  <c r="W590" i="32"/>
  <c r="X590" i="32" s="1"/>
  <c r="W594" i="32"/>
  <c r="X594" i="32" s="1"/>
  <c r="W483" i="32"/>
  <c r="X483" i="32" s="1"/>
  <c r="W487" i="32"/>
  <c r="X487" i="32" s="1"/>
  <c r="W496" i="32"/>
  <c r="X496" i="32" s="1"/>
  <c r="W551" i="32"/>
  <c r="X551" i="32" s="1"/>
  <c r="W555" i="32"/>
  <c r="X555" i="32" s="1"/>
  <c r="W559" i="32"/>
  <c r="X559" i="32" s="1"/>
  <c r="W563" i="32"/>
  <c r="X563" i="32" s="1"/>
  <c r="W567" i="32"/>
  <c r="X567" i="32" s="1"/>
  <c r="W571" i="32"/>
  <c r="X571" i="32" s="1"/>
  <c r="W575" i="32"/>
  <c r="X575" i="32" s="1"/>
  <c r="W485" i="32"/>
  <c r="X485" i="32" s="1"/>
  <c r="W490" i="32"/>
  <c r="X490" i="32" s="1"/>
  <c r="W494" i="32"/>
  <c r="X494" i="32" s="1"/>
  <c r="W489" i="32"/>
  <c r="X489" i="32" s="1"/>
  <c r="W501" i="32"/>
  <c r="X501" i="32" s="1"/>
  <c r="W549" i="32"/>
  <c r="X549" i="32" s="1"/>
  <c r="W553" i="32"/>
  <c r="X553" i="32" s="1"/>
  <c r="W557" i="32"/>
  <c r="X557" i="32" s="1"/>
  <c r="W561" i="32"/>
  <c r="X561" i="32" s="1"/>
  <c r="W565" i="32"/>
  <c r="X565" i="32" s="1"/>
  <c r="W569" i="32"/>
  <c r="X569" i="32" s="1"/>
  <c r="W573" i="32"/>
  <c r="X573" i="32" s="1"/>
  <c r="W577" i="32"/>
  <c r="X577" i="32" s="1"/>
  <c r="W581" i="32"/>
  <c r="X581" i="32" s="1"/>
  <c r="W585" i="32"/>
  <c r="X585" i="32" s="1"/>
  <c r="W589" i="32"/>
  <c r="X589" i="32" s="1"/>
  <c r="W593" i="32"/>
  <c r="X593" i="32" s="1"/>
  <c r="W597" i="32"/>
  <c r="X597" i="32" s="1"/>
  <c r="W579" i="32"/>
  <c r="X579" i="32" s="1"/>
  <c r="W583" i="32"/>
  <c r="X583" i="32" s="1"/>
  <c r="W587" i="32"/>
  <c r="X587" i="32" s="1"/>
  <c r="W591" i="32"/>
  <c r="X591" i="32" s="1"/>
  <c r="W595" i="32"/>
  <c r="X595" i="32" s="1"/>
  <c r="W546" i="32"/>
  <c r="X546" i="32" s="1"/>
  <c r="W538" i="32"/>
  <c r="X538" i="32" s="1"/>
  <c r="W522" i="32"/>
  <c r="X522" i="32" s="1"/>
  <c r="W518" i="32"/>
  <c r="X518" i="32" s="1"/>
  <c r="W544" i="32"/>
  <c r="X544" i="32" s="1"/>
  <c r="W540" i="32"/>
  <c r="X540" i="32" s="1"/>
  <c r="W536" i="32"/>
  <c r="X536" i="32" s="1"/>
  <c r="W532" i="32"/>
  <c r="X532" i="32" s="1"/>
  <c r="W528" i="32"/>
  <c r="X528" i="32" s="1"/>
  <c r="W524" i="32"/>
  <c r="X524" i="32" s="1"/>
  <c r="W520" i="32"/>
  <c r="X520" i="32" s="1"/>
  <c r="W516" i="32"/>
  <c r="X516" i="32" s="1"/>
  <c r="W512" i="32"/>
  <c r="X512" i="32" s="1"/>
  <c r="W508" i="32"/>
  <c r="X508" i="32" s="1"/>
  <c r="W504" i="32"/>
  <c r="X504" i="32" s="1"/>
  <c r="W481" i="32"/>
  <c r="X481" i="32" s="1"/>
  <c r="W547" i="32"/>
  <c r="X547" i="32" s="1"/>
  <c r="W543" i="32"/>
  <c r="X543" i="32" s="1"/>
  <c r="W539" i="32"/>
  <c r="X539" i="32" s="1"/>
  <c r="W535" i="32"/>
  <c r="X535" i="32" s="1"/>
  <c r="W531" i="32"/>
  <c r="X531" i="32" s="1"/>
  <c r="W527" i="32"/>
  <c r="X527" i="32" s="1"/>
  <c r="W523" i="32"/>
  <c r="X523" i="32" s="1"/>
  <c r="W519" i="32"/>
  <c r="X519" i="32" s="1"/>
  <c r="W515" i="32"/>
  <c r="X515" i="32" s="1"/>
  <c r="W511" i="32"/>
  <c r="X511" i="32" s="1"/>
  <c r="W507" i="32"/>
  <c r="X507" i="32" s="1"/>
  <c r="W503" i="32"/>
  <c r="X503" i="32" s="1"/>
  <c r="W482" i="32"/>
  <c r="X482" i="32" s="1"/>
  <c r="W492" i="32"/>
  <c r="X492" i="32" s="1"/>
  <c r="W499" i="32"/>
  <c r="X499" i="32" s="1"/>
  <c r="W514" i="32"/>
  <c r="X514" i="32" s="1"/>
  <c r="W510" i="32"/>
  <c r="X510" i="32" s="1"/>
  <c r="W506" i="32"/>
  <c r="X506" i="32" s="1"/>
  <c r="W502" i="32"/>
  <c r="X502" i="32" s="1"/>
  <c r="W484" i="32"/>
  <c r="X484" i="32" s="1"/>
  <c r="W488" i="32"/>
  <c r="X488" i="32" s="1"/>
  <c r="W497" i="32"/>
  <c r="X497" i="32" s="1"/>
  <c r="W548" i="32"/>
  <c r="X548" i="32" s="1"/>
  <c r="W552" i="32"/>
  <c r="X552" i="32" s="1"/>
  <c r="W556" i="32"/>
  <c r="X556" i="32" s="1"/>
  <c r="W560" i="32"/>
  <c r="X560" i="32" s="1"/>
  <c r="W564" i="32"/>
  <c r="X564" i="32" s="1"/>
  <c r="W568" i="32"/>
  <c r="X568" i="32" s="1"/>
  <c r="W572" i="32"/>
  <c r="X572" i="32" s="1"/>
  <c r="W576" i="32"/>
  <c r="X576" i="32" s="1"/>
  <c r="W580" i="32"/>
  <c r="X580" i="32" s="1"/>
  <c r="W584" i="32"/>
  <c r="X584" i="32" s="1"/>
  <c r="W588" i="32"/>
  <c r="X588" i="32" s="1"/>
  <c r="W592" i="32"/>
  <c r="X592" i="32" s="1"/>
  <c r="W596" i="32"/>
  <c r="X596" i="32" s="1"/>
  <c r="W542" i="32"/>
  <c r="X542" i="32" s="1"/>
  <c r="W534" i="32"/>
  <c r="X534" i="32" s="1"/>
  <c r="W530" i="32"/>
  <c r="X530" i="32" s="1"/>
  <c r="W526" i="32"/>
  <c r="X526" i="32" s="1"/>
  <c r="W480" i="32"/>
  <c r="X480" i="32" s="1"/>
  <c r="W493" i="32"/>
  <c r="X493" i="32" s="1"/>
  <c r="W500" i="32"/>
  <c r="X500" i="32" s="1"/>
  <c r="U798" i="32"/>
  <c r="T798" i="32"/>
  <c r="S798" i="32"/>
  <c r="U797" i="32"/>
  <c r="T797" i="32"/>
  <c r="S797" i="32"/>
  <c r="U796" i="32"/>
  <c r="T796" i="32"/>
  <c r="S796" i="32"/>
  <c r="U795" i="32"/>
  <c r="T795" i="32"/>
  <c r="S795" i="32"/>
  <c r="U794" i="32"/>
  <c r="T794" i="32"/>
  <c r="S794" i="32"/>
  <c r="U793" i="32"/>
  <c r="T793" i="32"/>
  <c r="S793" i="32"/>
  <c r="U792" i="32"/>
  <c r="T792" i="32"/>
  <c r="S792" i="32"/>
  <c r="U791" i="32"/>
  <c r="T791" i="32"/>
  <c r="S791" i="32"/>
  <c r="U790" i="32"/>
  <c r="T790" i="32"/>
  <c r="S790" i="32"/>
  <c r="U789" i="32"/>
  <c r="T789" i="32"/>
  <c r="S789" i="32"/>
  <c r="U788" i="32"/>
  <c r="T788" i="32"/>
  <c r="S788" i="32"/>
  <c r="U787" i="32"/>
  <c r="T787" i="32"/>
  <c r="S787" i="32"/>
  <c r="U786" i="32"/>
  <c r="T786" i="32"/>
  <c r="S786" i="32"/>
  <c r="U785" i="32"/>
  <c r="T785" i="32"/>
  <c r="S785" i="32"/>
  <c r="U784" i="32"/>
  <c r="T784" i="32"/>
  <c r="S784" i="32"/>
  <c r="U783" i="32"/>
  <c r="T783" i="32"/>
  <c r="S783" i="32"/>
  <c r="U782" i="32"/>
  <c r="T782" i="32"/>
  <c r="S782" i="32"/>
  <c r="U781" i="32"/>
  <c r="T781" i="32"/>
  <c r="S781" i="32"/>
  <c r="U780" i="32"/>
  <c r="T780" i="32"/>
  <c r="S780" i="32"/>
  <c r="U779" i="32"/>
  <c r="T779" i="32"/>
  <c r="S779" i="32"/>
  <c r="U778" i="32"/>
  <c r="T778" i="32"/>
  <c r="S778" i="32"/>
  <c r="U777" i="32"/>
  <c r="T777" i="32"/>
  <c r="S777" i="32"/>
  <c r="U776" i="32"/>
  <c r="T776" i="32"/>
  <c r="S776" i="32"/>
  <c r="U775" i="32"/>
  <c r="T775" i="32"/>
  <c r="S775" i="32"/>
  <c r="U774" i="32"/>
  <c r="T774" i="32"/>
  <c r="S774" i="32"/>
  <c r="U773" i="32"/>
  <c r="T773" i="32"/>
  <c r="S773" i="32"/>
  <c r="U772" i="32"/>
  <c r="T772" i="32"/>
  <c r="S772" i="32"/>
  <c r="U771" i="32"/>
  <c r="T771" i="32"/>
  <c r="S771" i="32"/>
  <c r="U770" i="32"/>
  <c r="T770" i="32"/>
  <c r="S770" i="32"/>
  <c r="U769" i="32"/>
  <c r="T769" i="32"/>
  <c r="S769" i="32"/>
  <c r="U768" i="32"/>
  <c r="T768" i="32"/>
  <c r="S768" i="32"/>
  <c r="U767" i="32"/>
  <c r="T767" i="32"/>
  <c r="S767" i="32"/>
  <c r="U766" i="32"/>
  <c r="T766" i="32"/>
  <c r="S766" i="32"/>
  <c r="U765" i="32"/>
  <c r="T765" i="32"/>
  <c r="S765" i="32"/>
  <c r="U764" i="32"/>
  <c r="T764" i="32"/>
  <c r="S764" i="32"/>
  <c r="U763" i="32"/>
  <c r="T763" i="32"/>
  <c r="S763" i="32"/>
  <c r="U762" i="32"/>
  <c r="T762" i="32"/>
  <c r="S762" i="32"/>
  <c r="U761" i="32"/>
  <c r="T761" i="32"/>
  <c r="S761" i="32"/>
  <c r="U760" i="32"/>
  <c r="T760" i="32"/>
  <c r="S760" i="32"/>
  <c r="U759" i="32"/>
  <c r="T759" i="32"/>
  <c r="S759" i="32"/>
  <c r="U758" i="32"/>
  <c r="T758" i="32"/>
  <c r="S758" i="32"/>
  <c r="S721" i="32"/>
  <c r="T721" i="32"/>
  <c r="U721" i="32"/>
  <c r="S722" i="32"/>
  <c r="T722" i="32"/>
  <c r="U722" i="32"/>
  <c r="S723" i="32"/>
  <c r="T723" i="32"/>
  <c r="U723" i="32"/>
  <c r="S724" i="32"/>
  <c r="T724" i="32"/>
  <c r="U724" i="32"/>
  <c r="S725" i="32"/>
  <c r="T725" i="32"/>
  <c r="U725" i="32"/>
  <c r="S726" i="32"/>
  <c r="T726" i="32"/>
  <c r="U726" i="32"/>
  <c r="S727" i="32"/>
  <c r="T727" i="32"/>
  <c r="U727" i="32"/>
  <c r="S728" i="32"/>
  <c r="T728" i="32"/>
  <c r="U728" i="32"/>
  <c r="S729" i="32"/>
  <c r="T729" i="32"/>
  <c r="U729" i="32"/>
  <c r="S730" i="32"/>
  <c r="T730" i="32"/>
  <c r="U730" i="32"/>
  <c r="S731" i="32"/>
  <c r="T731" i="32"/>
  <c r="U731" i="32"/>
  <c r="S732" i="32"/>
  <c r="T732" i="32"/>
  <c r="U732" i="32"/>
  <c r="S733" i="32"/>
  <c r="T733" i="32"/>
  <c r="U733" i="32"/>
  <c r="S734" i="32"/>
  <c r="T734" i="32"/>
  <c r="U734" i="32"/>
  <c r="S735" i="32"/>
  <c r="T735" i="32"/>
  <c r="U735" i="32"/>
  <c r="S736" i="32"/>
  <c r="T736" i="32"/>
  <c r="U736" i="32"/>
  <c r="S737" i="32"/>
  <c r="T737" i="32"/>
  <c r="U737" i="32"/>
  <c r="S738" i="32"/>
  <c r="T738" i="32"/>
  <c r="U738" i="32"/>
  <c r="S739" i="32"/>
  <c r="T739" i="32"/>
  <c r="U739" i="32"/>
  <c r="S740" i="32"/>
  <c r="T740" i="32"/>
  <c r="U740" i="32"/>
  <c r="S741" i="32"/>
  <c r="T741" i="32"/>
  <c r="U741" i="32"/>
  <c r="S742" i="32"/>
  <c r="T742" i="32"/>
  <c r="U742" i="32"/>
  <c r="S743" i="32"/>
  <c r="T743" i="32"/>
  <c r="U743" i="32"/>
  <c r="S744" i="32"/>
  <c r="T744" i="32"/>
  <c r="U744" i="32"/>
  <c r="S745" i="32"/>
  <c r="T745" i="32"/>
  <c r="U745" i="32"/>
  <c r="S746" i="32"/>
  <c r="T746" i="32"/>
  <c r="U746" i="32"/>
  <c r="S747" i="32"/>
  <c r="T747" i="32"/>
  <c r="U747" i="32"/>
  <c r="S748" i="32"/>
  <c r="T748" i="32"/>
  <c r="U748" i="32"/>
  <c r="S749" i="32"/>
  <c r="T749" i="32"/>
  <c r="U749" i="32"/>
  <c r="S750" i="32"/>
  <c r="T750" i="32"/>
  <c r="U750" i="32"/>
  <c r="S751" i="32"/>
  <c r="T751" i="32"/>
  <c r="U751" i="32"/>
  <c r="S752" i="32"/>
  <c r="T752" i="32"/>
  <c r="U752" i="32"/>
  <c r="S753" i="32"/>
  <c r="T753" i="32"/>
  <c r="U753" i="32"/>
  <c r="S754" i="32"/>
  <c r="T754" i="32"/>
  <c r="U754" i="32"/>
  <c r="S755" i="32"/>
  <c r="T755" i="32"/>
  <c r="U755" i="32"/>
  <c r="S756" i="32"/>
  <c r="T756" i="32"/>
  <c r="U756" i="32"/>
  <c r="S757" i="32"/>
  <c r="T757" i="32"/>
  <c r="U757" i="32"/>
  <c r="U720" i="32"/>
  <c r="T720" i="32"/>
  <c r="S720" i="32"/>
  <c r="U719" i="32"/>
  <c r="T719" i="32"/>
  <c r="S719" i="32"/>
  <c r="U718" i="32"/>
  <c r="T718" i="32"/>
  <c r="S718" i="32"/>
  <c r="U717" i="32"/>
  <c r="T717" i="32"/>
  <c r="S717" i="32"/>
  <c r="W719" i="32" l="1"/>
  <c r="X719" i="32" s="1"/>
  <c r="W759" i="32"/>
  <c r="X759" i="32" s="1"/>
  <c r="W767" i="32"/>
  <c r="X767" i="32" s="1"/>
  <c r="W775" i="32"/>
  <c r="X775" i="32" s="1"/>
  <c r="W783" i="32"/>
  <c r="X783" i="32" s="1"/>
  <c r="W791" i="32"/>
  <c r="X791" i="32" s="1"/>
  <c r="W763" i="32"/>
  <c r="X763" i="32" s="1"/>
  <c r="W771" i="32"/>
  <c r="X771" i="32" s="1"/>
  <c r="W779" i="32"/>
  <c r="X779" i="32" s="1"/>
  <c r="W787" i="32"/>
  <c r="X787" i="32" s="1"/>
  <c r="W718" i="32"/>
  <c r="X718" i="32" s="1"/>
  <c r="W757" i="32"/>
  <c r="X757" i="32" s="1"/>
  <c r="W733" i="32"/>
  <c r="X733" i="32" s="1"/>
  <c r="W758" i="32"/>
  <c r="X758" i="32" s="1"/>
  <c r="W762" i="32"/>
  <c r="X762" i="32" s="1"/>
  <c r="W766" i="32"/>
  <c r="X766" i="32" s="1"/>
  <c r="W770" i="32"/>
  <c r="X770" i="32" s="1"/>
  <c r="W778" i="32"/>
  <c r="X778" i="32" s="1"/>
  <c r="W782" i="32"/>
  <c r="X782" i="32" s="1"/>
  <c r="W786" i="32"/>
  <c r="X786" i="32" s="1"/>
  <c r="W790" i="32"/>
  <c r="X790" i="32" s="1"/>
  <c r="W794" i="32"/>
  <c r="X794" i="32" s="1"/>
  <c r="W798" i="32"/>
  <c r="X798" i="32" s="1"/>
  <c r="W737" i="32"/>
  <c r="X737" i="32" s="1"/>
  <c r="W741" i="32"/>
  <c r="X741" i="32" s="1"/>
  <c r="W745" i="32"/>
  <c r="X745" i="32" s="1"/>
  <c r="W725" i="32"/>
  <c r="X725" i="32" s="1"/>
  <c r="W753" i="32"/>
  <c r="X753" i="32" s="1"/>
  <c r="W729" i="32"/>
  <c r="X729" i="32" s="1"/>
  <c r="W720" i="32"/>
  <c r="X720" i="32" s="1"/>
  <c r="W760" i="32"/>
  <c r="X760" i="32" s="1"/>
  <c r="W764" i="32"/>
  <c r="X764" i="32" s="1"/>
  <c r="W768" i="32"/>
  <c r="X768" i="32" s="1"/>
  <c r="W772" i="32"/>
  <c r="X772" i="32" s="1"/>
  <c r="W776" i="32"/>
  <c r="X776" i="32" s="1"/>
  <c r="W780" i="32"/>
  <c r="X780" i="32" s="1"/>
  <c r="W784" i="32"/>
  <c r="X784" i="32" s="1"/>
  <c r="W788" i="32"/>
  <c r="X788" i="32" s="1"/>
  <c r="W792" i="32"/>
  <c r="X792" i="32" s="1"/>
  <c r="W796" i="32"/>
  <c r="X796" i="32" s="1"/>
  <c r="W749" i="32"/>
  <c r="X749" i="32" s="1"/>
  <c r="W721" i="32"/>
  <c r="X721" i="32" s="1"/>
  <c r="W774" i="32"/>
  <c r="X774" i="32" s="1"/>
  <c r="W740" i="32"/>
  <c r="X740" i="32" s="1"/>
  <c r="W724" i="32"/>
  <c r="X724" i="32" s="1"/>
  <c r="W795" i="32"/>
  <c r="X795" i="32" s="1"/>
  <c r="W752" i="32"/>
  <c r="X752" i="32" s="1"/>
  <c r="W728" i="32"/>
  <c r="X728" i="32" s="1"/>
  <c r="W747" i="32"/>
  <c r="X747" i="32" s="1"/>
  <c r="W743" i="32"/>
  <c r="X743" i="32" s="1"/>
  <c r="W739" i="32"/>
  <c r="X739" i="32" s="1"/>
  <c r="W735" i="32"/>
  <c r="X735" i="32" s="1"/>
  <c r="W731" i="32"/>
  <c r="X731" i="32" s="1"/>
  <c r="W727" i="32"/>
  <c r="X727" i="32" s="1"/>
  <c r="W723" i="32"/>
  <c r="X723" i="32" s="1"/>
  <c r="W732" i="32"/>
  <c r="X732" i="32" s="1"/>
  <c r="W748" i="32"/>
  <c r="X748" i="32" s="1"/>
  <c r="W736" i="32"/>
  <c r="X736" i="32" s="1"/>
  <c r="W751" i="32"/>
  <c r="X751" i="32" s="1"/>
  <c r="W744" i="32"/>
  <c r="X744" i="32" s="1"/>
  <c r="W755" i="32"/>
  <c r="X755" i="32" s="1"/>
  <c r="W754" i="32"/>
  <c r="X754" i="32" s="1"/>
  <c r="W750" i="32"/>
  <c r="X750" i="32" s="1"/>
  <c r="W746" i="32"/>
  <c r="X746" i="32" s="1"/>
  <c r="W742" i="32"/>
  <c r="X742" i="32" s="1"/>
  <c r="W738" i="32"/>
  <c r="X738" i="32" s="1"/>
  <c r="W734" i="32"/>
  <c r="X734" i="32" s="1"/>
  <c r="W730" i="32"/>
  <c r="X730" i="32" s="1"/>
  <c r="W726" i="32"/>
  <c r="X726" i="32" s="1"/>
  <c r="W722" i="32"/>
  <c r="X722" i="32" s="1"/>
  <c r="W756" i="32"/>
  <c r="X756" i="32" s="1"/>
  <c r="W717" i="32"/>
  <c r="X717" i="32" s="1"/>
  <c r="W761" i="32"/>
  <c r="X761" i="32" s="1"/>
  <c r="W765" i="32"/>
  <c r="X765" i="32" s="1"/>
  <c r="W769" i="32"/>
  <c r="X769" i="32" s="1"/>
  <c r="W773" i="32"/>
  <c r="X773" i="32" s="1"/>
  <c r="W777" i="32"/>
  <c r="X777" i="32" s="1"/>
  <c r="W781" i="32"/>
  <c r="X781" i="32" s="1"/>
  <c r="W785" i="32"/>
  <c r="X785" i="32" s="1"/>
  <c r="W789" i="32"/>
  <c r="X789" i="32" s="1"/>
  <c r="W793" i="32"/>
  <c r="X793" i="32" s="1"/>
  <c r="W797" i="32"/>
  <c r="X797" i="32" s="1"/>
  <c r="J211" i="32" l="1"/>
  <c r="G1112" i="21" s="1"/>
  <c r="J479" i="32"/>
  <c r="J473" i="32"/>
  <c r="J462" i="32"/>
  <c r="G1672" i="21" s="1"/>
  <c r="J348" i="32"/>
  <c r="G1637" i="21" s="1"/>
  <c r="J288" i="32"/>
  <c r="G1427" i="21" s="1"/>
  <c r="L211" i="32"/>
  <c r="L479" i="32"/>
  <c r="L473" i="32"/>
  <c r="L462" i="32"/>
  <c r="L348" i="32"/>
  <c r="L288" i="32"/>
  <c r="G1669" i="21" l="1"/>
  <c r="G1634" i="21"/>
  <c r="G1424" i="21"/>
  <c r="G1109" i="21"/>
  <c r="B10" i="32"/>
  <c r="B9" i="32"/>
  <c r="J716" i="32"/>
  <c r="J693" i="32"/>
  <c r="J702" i="32"/>
  <c r="J675" i="32"/>
  <c r="L666" i="32"/>
  <c r="J666" i="32"/>
  <c r="L799" i="32"/>
  <c r="J799" i="32"/>
  <c r="K120" i="32"/>
  <c r="J120" i="32"/>
  <c r="E120" i="32"/>
  <c r="J219" i="32"/>
  <c r="G1182" i="21" s="1"/>
  <c r="K216" i="32"/>
  <c r="K215" i="32"/>
  <c r="J214" i="32"/>
  <c r="G1147" i="21" s="1"/>
  <c r="J116" i="32"/>
  <c r="G727" i="21" s="1"/>
  <c r="J110" i="32"/>
  <c r="G657" i="21" s="1"/>
  <c r="K109" i="32"/>
  <c r="K108" i="32"/>
  <c r="K107" i="32"/>
  <c r="K106" i="32"/>
  <c r="K105" i="32"/>
  <c r="K104" i="32"/>
  <c r="K102" i="32"/>
  <c r="K101" i="32"/>
  <c r="K100" i="32"/>
  <c r="K99" i="32"/>
  <c r="K98" i="32"/>
  <c r="K97" i="32"/>
  <c r="K95" i="32"/>
  <c r="K94" i="32"/>
  <c r="K93" i="32"/>
  <c r="K92" i="32"/>
  <c r="K91" i="32"/>
  <c r="K90" i="32"/>
  <c r="K88" i="32"/>
  <c r="K87" i="32"/>
  <c r="K86" i="32"/>
  <c r="K85" i="32"/>
  <c r="K84" i="32"/>
  <c r="K83" i="32"/>
  <c r="K89" i="32" s="1"/>
  <c r="J82" i="32"/>
  <c r="G517" i="21" s="1"/>
  <c r="AD55" i="32"/>
  <c r="AC55" i="32"/>
  <c r="AB55" i="32"/>
  <c r="AA52" i="32"/>
  <c r="Z52" i="32"/>
  <c r="Y52" i="32"/>
  <c r="J49" i="32"/>
  <c r="G412" i="21" s="1"/>
  <c r="AD23" i="32"/>
  <c r="AD52" i="32" s="1"/>
  <c r="AC23" i="32"/>
  <c r="AC52" i="32" s="1"/>
  <c r="AB23" i="32"/>
  <c r="AB52" i="32" s="1"/>
  <c r="AD18" i="32"/>
  <c r="AC18" i="32"/>
  <c r="AB18" i="32"/>
  <c r="AA18" i="32"/>
  <c r="Z18" i="32"/>
  <c r="Y18" i="32"/>
  <c r="K96" i="32" l="1"/>
  <c r="K800" i="32" s="1"/>
  <c r="G797" i="21"/>
  <c r="J800" i="32"/>
  <c r="K219" i="32"/>
  <c r="G1176" i="21" s="1"/>
  <c r="E348" i="32"/>
  <c r="G791" i="21"/>
  <c r="K110" i="32"/>
  <c r="K103" i="32"/>
  <c r="G546" i="21"/>
  <c r="G581" i="21"/>
  <c r="L82" i="32"/>
  <c r="L49" i="32"/>
  <c r="L120" i="32"/>
  <c r="L214" i="32"/>
  <c r="G1144" i="21" s="1"/>
  <c r="B39" i="30"/>
  <c r="G616" i="21" l="1"/>
  <c r="G514" i="21"/>
  <c r="G794" i="21"/>
  <c r="G409" i="21"/>
  <c r="G651" i="21"/>
  <c r="L89" i="32"/>
  <c r="L103" i="32"/>
  <c r="L96" i="32"/>
  <c r="L110" i="32"/>
  <c r="G654" i="21" s="1"/>
  <c r="L219" i="32"/>
  <c r="G1179" i="21" s="1"/>
  <c r="Y30" i="30"/>
  <c r="B11" i="31"/>
  <c r="B10" i="31"/>
  <c r="C529" i="31"/>
  <c r="C527" i="31"/>
  <c r="C525" i="31"/>
  <c r="C523" i="31"/>
  <c r="C521" i="31"/>
  <c r="C519" i="31"/>
  <c r="C517" i="31"/>
  <c r="C515" i="31"/>
  <c r="C513" i="31"/>
  <c r="C511" i="31"/>
  <c r="C509" i="31"/>
  <c r="C507" i="31"/>
  <c r="C505" i="31"/>
  <c r="C503" i="31"/>
  <c r="C501" i="31"/>
  <c r="C499" i="31"/>
  <c r="C497" i="31"/>
  <c r="C495" i="31"/>
  <c r="C493" i="31"/>
  <c r="C491" i="31"/>
  <c r="C489" i="31"/>
  <c r="C487" i="31"/>
  <c r="C485" i="31"/>
  <c r="C483" i="31"/>
  <c r="G619" i="21" l="1"/>
  <c r="G549" i="21"/>
  <c r="G584" i="21"/>
  <c r="L113" i="32"/>
  <c r="K481" i="31"/>
  <c r="L481" i="31" s="1"/>
  <c r="B527" i="31"/>
  <c r="B525" i="31"/>
  <c r="B523" i="31"/>
  <c r="B521" i="31"/>
  <c r="B519" i="31"/>
  <c r="B517" i="31"/>
  <c r="B515" i="31"/>
  <c r="B513" i="31"/>
  <c r="B511" i="31"/>
  <c r="B509" i="31"/>
  <c r="B507" i="31"/>
  <c r="B505" i="31"/>
  <c r="B503" i="31"/>
  <c r="B501" i="31"/>
  <c r="B499" i="31"/>
  <c r="B497" i="31"/>
  <c r="B495" i="31"/>
  <c r="B493" i="31"/>
  <c r="B491" i="31"/>
  <c r="B489" i="31"/>
  <c r="B487" i="31"/>
  <c r="B485" i="31"/>
  <c r="B483" i="31"/>
  <c r="B481" i="31"/>
  <c r="J481" i="31"/>
  <c r="E481" i="31"/>
  <c r="G689" i="21" l="1"/>
  <c r="L116" i="32"/>
  <c r="G724" i="21" s="1"/>
  <c r="J529" i="31" l="1"/>
  <c r="J527" i="31"/>
  <c r="J525" i="31"/>
  <c r="J523" i="31"/>
  <c r="J521" i="31"/>
  <c r="J519" i="31"/>
  <c r="J517" i="31"/>
  <c r="J515" i="31"/>
  <c r="J513" i="31"/>
  <c r="J511" i="31"/>
  <c r="J509" i="31"/>
  <c r="J507" i="31"/>
  <c r="J505" i="31"/>
  <c r="J503" i="31"/>
  <c r="J501" i="31"/>
  <c r="J499" i="31"/>
  <c r="J497" i="31"/>
  <c r="J495" i="31"/>
  <c r="J493" i="31"/>
  <c r="J491" i="31"/>
  <c r="J489" i="31"/>
  <c r="J487" i="31"/>
  <c r="J485" i="31"/>
  <c r="J483" i="31"/>
  <c r="B210" i="31" l="1"/>
  <c r="E529" i="31"/>
  <c r="E527" i="31"/>
  <c r="E525" i="31"/>
  <c r="E523" i="31"/>
  <c r="E521" i="31"/>
  <c r="E519" i="31"/>
  <c r="E517" i="31"/>
  <c r="E515" i="31"/>
  <c r="E513" i="31"/>
  <c r="E511" i="31"/>
  <c r="E509" i="31"/>
  <c r="E507" i="31"/>
  <c r="E505" i="31"/>
  <c r="E503" i="31"/>
  <c r="E501" i="31"/>
  <c r="E499" i="31"/>
  <c r="E497" i="31"/>
  <c r="E495" i="31"/>
  <c r="E493" i="31"/>
  <c r="E491" i="31"/>
  <c r="E489" i="31"/>
  <c r="E487" i="31"/>
  <c r="E485" i="31"/>
  <c r="E483" i="31"/>
  <c r="L529" i="31" l="1"/>
  <c r="K529" i="31"/>
  <c r="B529" i="31"/>
  <c r="L527" i="31"/>
  <c r="K527" i="31"/>
  <c r="L525" i="31"/>
  <c r="K525" i="31"/>
  <c r="L523" i="31"/>
  <c r="K523" i="31"/>
  <c r="L521" i="31"/>
  <c r="K521" i="31"/>
  <c r="L519" i="31"/>
  <c r="K519" i="31"/>
  <c r="L517" i="31"/>
  <c r="K517" i="31"/>
  <c r="L515" i="31"/>
  <c r="K515" i="31"/>
  <c r="L513" i="31"/>
  <c r="K513" i="31"/>
  <c r="L511" i="31"/>
  <c r="K511" i="31"/>
  <c r="L509" i="31"/>
  <c r="K509" i="31"/>
  <c r="L507" i="31"/>
  <c r="K507" i="31"/>
  <c r="L505" i="31"/>
  <c r="K505" i="31"/>
  <c r="L503" i="31"/>
  <c r="K503" i="31"/>
  <c r="L501" i="31"/>
  <c r="K501" i="31"/>
  <c r="L499" i="31"/>
  <c r="K499" i="31"/>
  <c r="L497" i="31"/>
  <c r="K497" i="31"/>
  <c r="L495" i="31"/>
  <c r="K495" i="31"/>
  <c r="AA494" i="31"/>
  <c r="Z494" i="31"/>
  <c r="Y494" i="31"/>
  <c r="L493" i="31"/>
  <c r="K493" i="31"/>
  <c r="L491" i="31"/>
  <c r="K491" i="31"/>
  <c r="AD490" i="31"/>
  <c r="AD494" i="31" s="1"/>
  <c r="AC490" i="31"/>
  <c r="AC494" i="31" s="1"/>
  <c r="AB490" i="31"/>
  <c r="AB494" i="31" s="1"/>
  <c r="L489" i="31"/>
  <c r="K489" i="31"/>
  <c r="L487" i="31"/>
  <c r="K487" i="31"/>
  <c r="L485" i="31"/>
  <c r="K485" i="31"/>
  <c r="L483" i="31"/>
  <c r="K483" i="31"/>
  <c r="K111" i="31" l="1"/>
  <c r="E111" i="31"/>
  <c r="K316" i="31"/>
  <c r="E316" i="31"/>
  <c r="K475" i="31"/>
  <c r="L475" i="31" s="1"/>
  <c r="B475" i="31"/>
  <c r="E475" i="31"/>
  <c r="K473" i="31"/>
  <c r="L473" i="31" s="1"/>
  <c r="J473" i="31"/>
  <c r="E473" i="31"/>
  <c r="B473" i="31"/>
  <c r="J475" i="31"/>
  <c r="K182" i="31" l="1"/>
  <c r="G7" i="21" l="1"/>
  <c r="G6" i="21"/>
  <c r="G5" i="21"/>
  <c r="B23" i="31" l="1"/>
  <c r="B32" i="31"/>
  <c r="B471" i="31"/>
  <c r="B443" i="31"/>
  <c r="B411" i="31"/>
  <c r="B386" i="31"/>
  <c r="B379" i="31"/>
  <c r="B368" i="31"/>
  <c r="B361" i="31"/>
  <c r="B355" i="31"/>
  <c r="B349" i="31"/>
  <c r="B343" i="31"/>
  <c r="B337" i="31"/>
  <c r="B334" i="31"/>
  <c r="B329" i="31"/>
  <c r="B324" i="31"/>
  <c r="B316" i="31"/>
  <c r="B310" i="31"/>
  <c r="B306" i="31"/>
  <c r="B304" i="31"/>
  <c r="B298" i="31"/>
  <c r="B296" i="31"/>
  <c r="B294" i="31"/>
  <c r="B292" i="31"/>
  <c r="B288" i="31"/>
  <c r="B284" i="31"/>
  <c r="B274" i="31"/>
  <c r="B271" i="31"/>
  <c r="B260" i="31"/>
  <c r="B255" i="31"/>
  <c r="B248" i="31"/>
  <c r="B237" i="31"/>
  <c r="B229" i="31"/>
  <c r="B220" i="31"/>
  <c r="B185" i="31"/>
  <c r="B180" i="31"/>
  <c r="B173" i="31"/>
  <c r="B167" i="31"/>
  <c r="B157" i="31"/>
  <c r="B151" i="31"/>
  <c r="B145" i="31"/>
  <c r="B140" i="31"/>
  <c r="B133" i="31"/>
  <c r="B129" i="31"/>
  <c r="B124" i="31"/>
  <c r="B119" i="31"/>
  <c r="B111" i="31"/>
  <c r="B105" i="31"/>
  <c r="B101" i="31"/>
  <c r="B99" i="31"/>
  <c r="B93" i="31"/>
  <c r="B91" i="31"/>
  <c r="B89" i="31"/>
  <c r="B87" i="31"/>
  <c r="B83" i="31"/>
  <c r="B79" i="31"/>
  <c r="B69" i="31"/>
  <c r="B66" i="31"/>
  <c r="B55" i="31"/>
  <c r="B49" i="31"/>
  <c r="B41" i="31"/>
  <c r="K477" i="31" l="1"/>
  <c r="E477" i="31"/>
  <c r="K471" i="31"/>
  <c r="E471" i="31"/>
  <c r="K443" i="31"/>
  <c r="E443" i="31"/>
  <c r="K411" i="31"/>
  <c r="E411" i="31"/>
  <c r="E386" i="31"/>
  <c r="E379" i="31"/>
  <c r="E368" i="31"/>
  <c r="K361" i="31"/>
  <c r="E361" i="31"/>
  <c r="K355" i="31"/>
  <c r="E355" i="31"/>
  <c r="E349" i="31"/>
  <c r="E343" i="31"/>
  <c r="K337" i="31"/>
  <c r="E337" i="31"/>
  <c r="E334" i="31"/>
  <c r="E329" i="31"/>
  <c r="K324" i="31"/>
  <c r="E324" i="31"/>
  <c r="K310" i="31"/>
  <c r="E310" i="31"/>
  <c r="K304" i="31"/>
  <c r="E304" i="31"/>
  <c r="E292" i="31"/>
  <c r="E288" i="31"/>
  <c r="E284" i="31"/>
  <c r="K274" i="31"/>
  <c r="E274" i="31"/>
  <c r="K271" i="31"/>
  <c r="E271" i="31"/>
  <c r="E260" i="31"/>
  <c r="E255" i="31"/>
  <c r="E248" i="31"/>
  <c r="E237" i="31"/>
  <c r="E229" i="31"/>
  <c r="E220" i="31"/>
  <c r="K210" i="31"/>
  <c r="E210" i="31"/>
  <c r="E185" i="31"/>
  <c r="E180" i="31"/>
  <c r="E173" i="31"/>
  <c r="E167" i="31"/>
  <c r="K157" i="31"/>
  <c r="E157" i="31"/>
  <c r="K151" i="31"/>
  <c r="E151" i="31"/>
  <c r="E145" i="31"/>
  <c r="E140" i="31"/>
  <c r="E133" i="31"/>
  <c r="E129" i="31"/>
  <c r="E124" i="31"/>
  <c r="K119" i="31"/>
  <c r="E119" i="31"/>
  <c r="E105" i="31"/>
  <c r="E101" i="31"/>
  <c r="K99" i="31"/>
  <c r="E99" i="31"/>
  <c r="K101" i="31"/>
  <c r="K91" i="31"/>
  <c r="K93" i="31"/>
  <c r="E93" i="31"/>
  <c r="E91" i="31"/>
  <c r="E89" i="31"/>
  <c r="E87" i="31"/>
  <c r="E83" i="31"/>
  <c r="E79" i="31"/>
  <c r="K69" i="31"/>
  <c r="E69" i="31"/>
  <c r="K66" i="31"/>
  <c r="E66" i="31"/>
  <c r="E55" i="31"/>
  <c r="E49" i="31"/>
  <c r="E41" i="31"/>
  <c r="E32" i="31"/>
  <c r="E23" i="31"/>
  <c r="K74" i="31"/>
  <c r="K73" i="31"/>
  <c r="K72" i="31"/>
  <c r="K71" i="31"/>
  <c r="K279" i="31"/>
  <c r="K278" i="31"/>
  <c r="K277" i="31"/>
  <c r="K276" i="31"/>
  <c r="K79" i="31" l="1"/>
  <c r="K284" i="31"/>
  <c r="K330" i="31"/>
  <c r="K334" i="31" s="1"/>
  <c r="K325" i="31"/>
  <c r="K329" i="31" s="1"/>
  <c r="K306" i="31"/>
  <c r="E306" i="31"/>
  <c r="K228" i="31"/>
  <c r="K227" i="31"/>
  <c r="AB226" i="31"/>
  <c r="K226" i="31"/>
  <c r="K225" i="31"/>
  <c r="K219" i="31"/>
  <c r="K218" i="31"/>
  <c r="K217" i="31"/>
  <c r="K216" i="31"/>
  <c r="K31" i="31"/>
  <c r="K30" i="31"/>
  <c r="AD29" i="31"/>
  <c r="AC29" i="31"/>
  <c r="AB29" i="31"/>
  <c r="K29" i="31"/>
  <c r="K28" i="31"/>
  <c r="K19" i="31"/>
  <c r="K20" i="31"/>
  <c r="K21" i="31"/>
  <c r="K22" i="31"/>
  <c r="K128" i="31"/>
  <c r="K127" i="31"/>
  <c r="K126" i="31"/>
  <c r="K125" i="31"/>
  <c r="K123" i="31"/>
  <c r="K122" i="31"/>
  <c r="K121" i="31"/>
  <c r="K120" i="31"/>
  <c r="K102" i="31"/>
  <c r="K105" i="31" s="1"/>
  <c r="K124" i="31" l="1"/>
  <c r="K129" i="31"/>
  <c r="L443" i="31"/>
  <c r="J443" i="31"/>
  <c r="K183" i="31" l="1"/>
  <c r="K181" i="31"/>
  <c r="K258" i="31"/>
  <c r="K257" i="31"/>
  <c r="K256" i="31"/>
  <c r="U256" i="31"/>
  <c r="V256" i="31" s="1"/>
  <c r="W256" i="31" s="1"/>
  <c r="K251" i="31"/>
  <c r="K250" i="31"/>
  <c r="K249" i="31"/>
  <c r="K185" i="31" l="1"/>
  <c r="K260" i="31"/>
  <c r="J274" i="31"/>
  <c r="J69" i="31"/>
  <c r="J260" i="31"/>
  <c r="K51" i="31"/>
  <c r="K50" i="31"/>
  <c r="K238" i="31"/>
  <c r="K247" i="31"/>
  <c r="K254" i="31"/>
  <c r="K252" i="31"/>
  <c r="K240" i="31"/>
  <c r="K42" i="31"/>
  <c r="K52" i="31"/>
  <c r="K43" i="31"/>
  <c r="K235" i="31"/>
  <c r="K246" i="31"/>
  <c r="K244" i="31"/>
  <c r="K234" i="31"/>
  <c r="K241" i="31"/>
  <c r="K232" i="31"/>
  <c r="K47" i="31"/>
  <c r="K39" i="31"/>
  <c r="K44" i="31"/>
  <c r="K36" i="31"/>
  <c r="K370" i="31"/>
  <c r="K367" i="31"/>
  <c r="K369" i="31"/>
  <c r="K362" i="31"/>
  <c r="K172" i="31"/>
  <c r="K159" i="31"/>
  <c r="K168" i="31"/>
  <c r="K158" i="31"/>
  <c r="K346" i="31"/>
  <c r="K363" i="31"/>
  <c r="K364" i="31"/>
  <c r="K347" i="31"/>
  <c r="K341" i="31"/>
  <c r="K365" i="31"/>
  <c r="K340" i="31"/>
  <c r="K291" i="31"/>
  <c r="K287" i="31"/>
  <c r="J87" i="31"/>
  <c r="K86" i="31"/>
  <c r="K82" i="31"/>
  <c r="K237" i="31" l="1"/>
  <c r="K379" i="31"/>
  <c r="K255" i="31"/>
  <c r="K41" i="31"/>
  <c r="K248" i="31"/>
  <c r="K49" i="31"/>
  <c r="K55" i="31"/>
  <c r="L260" i="31"/>
  <c r="C16" i="29"/>
  <c r="C27" i="29"/>
  <c r="C28" i="29"/>
  <c r="C30" i="29"/>
  <c r="C44" i="29"/>
  <c r="C45" i="29"/>
  <c r="C48" i="29"/>
  <c r="C49" i="29"/>
  <c r="C51" i="29"/>
  <c r="C53"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7" i="29"/>
  <c r="C108" i="29"/>
  <c r="C109" i="29"/>
  <c r="C110" i="29"/>
  <c r="C111" i="29"/>
  <c r="C112" i="29"/>
  <c r="C113" i="29"/>
  <c r="C114" i="29"/>
  <c r="C115" i="29"/>
  <c r="C116" i="29"/>
  <c r="B3" i="29"/>
  <c r="B115" i="29"/>
  <c r="B116"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73" i="29"/>
  <c r="B72" i="29"/>
  <c r="B71" i="29"/>
  <c r="B70" i="29"/>
  <c r="B69" i="29"/>
  <c r="B68" i="29"/>
  <c r="B67" i="29"/>
  <c r="B66" i="29"/>
  <c r="B65" i="29"/>
  <c r="B64" i="29"/>
  <c r="B63"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B11" i="29"/>
  <c r="B10" i="29"/>
  <c r="B9" i="29"/>
  <c r="B8" i="29"/>
  <c r="B7" i="29"/>
  <c r="B6" i="29"/>
  <c r="B5" i="29"/>
  <c r="B4" i="29"/>
  <c r="K160" i="31"/>
  <c r="K167" i="31" s="1"/>
  <c r="C22" i="29" l="1"/>
  <c r="C20" i="29"/>
  <c r="K348" i="31"/>
  <c r="C15" i="29"/>
  <c r="K342" i="31"/>
  <c r="K344" i="31"/>
  <c r="K339" i="31"/>
  <c r="K366" i="31"/>
  <c r="K368" i="31" s="1"/>
  <c r="K345" i="31"/>
  <c r="K338" i="31"/>
  <c r="C9" i="29"/>
  <c r="K224" i="31"/>
  <c r="K223" i="31"/>
  <c r="K215" i="31"/>
  <c r="K214" i="31"/>
  <c r="C6" i="29"/>
  <c r="AD223" i="31"/>
  <c r="AD226" i="31" s="1"/>
  <c r="AC223" i="31"/>
  <c r="AC226" i="31" s="1"/>
  <c r="AB223" i="31"/>
  <c r="AA223" i="31"/>
  <c r="Z223" i="31"/>
  <c r="Y223" i="31"/>
  <c r="C5" i="29"/>
  <c r="K222" i="31"/>
  <c r="K221" i="31"/>
  <c r="AD215" i="31"/>
  <c r="AC215" i="31"/>
  <c r="AB215" i="31"/>
  <c r="AA215" i="31"/>
  <c r="Z215" i="31"/>
  <c r="Y215" i="31"/>
  <c r="K213" i="31"/>
  <c r="K212" i="31"/>
  <c r="C21" i="29"/>
  <c r="C19" i="29"/>
  <c r="K131" i="31"/>
  <c r="K133" i="31" s="1"/>
  <c r="K343" i="31" l="1"/>
  <c r="K220" i="31"/>
  <c r="K229" i="31"/>
  <c r="K349" i="31"/>
  <c r="C18" i="29"/>
  <c r="K144" i="31"/>
  <c r="K143" i="31"/>
  <c r="K169" i="31"/>
  <c r="C17" i="29"/>
  <c r="K139" i="31"/>
  <c r="K138" i="31"/>
  <c r="K137" i="31"/>
  <c r="K136" i="31"/>
  <c r="K171" i="31"/>
  <c r="K170" i="31"/>
  <c r="K141" i="31"/>
  <c r="K135" i="31"/>
  <c r="K142" i="31"/>
  <c r="K134" i="31"/>
  <c r="K140" i="31" l="1"/>
  <c r="K145" i="31"/>
  <c r="K173" i="31"/>
  <c r="L157" i="31"/>
  <c r="J157" i="31"/>
  <c r="C8" i="29"/>
  <c r="C7" i="29"/>
  <c r="J23" i="31"/>
  <c r="C3" i="29"/>
  <c r="K27" i="31"/>
  <c r="K26" i="31"/>
  <c r="K18" i="31"/>
  <c r="K17" i="31"/>
  <c r="AD17" i="31"/>
  <c r="AC17" i="31"/>
  <c r="AB17" i="31"/>
  <c r="AA17" i="31"/>
  <c r="Z17" i="31"/>
  <c r="Y17" i="31"/>
  <c r="K25" i="31"/>
  <c r="K24" i="31"/>
  <c r="K16" i="31"/>
  <c r="K15" i="31"/>
  <c r="K32" i="31" l="1"/>
  <c r="K23" i="31"/>
  <c r="C54" i="29"/>
  <c r="J180" i="31" l="1"/>
  <c r="B10" i="28" l="1"/>
  <c r="L477" i="31"/>
  <c r="J477" i="31"/>
  <c r="C106" i="29"/>
  <c r="J471" i="31"/>
  <c r="L471" i="31" l="1"/>
  <c r="U249" i="31" l="1"/>
  <c r="V249" i="31" s="1"/>
  <c r="W249" i="31" s="1"/>
  <c r="J411" i="31"/>
  <c r="J237" i="31"/>
  <c r="C25" i="29"/>
  <c r="K380" i="31"/>
  <c r="J386" i="31"/>
  <c r="C35" i="29"/>
  <c r="K381" i="31"/>
  <c r="J379" i="31"/>
  <c r="J368" i="31"/>
  <c r="J361" i="31"/>
  <c r="C10" i="29"/>
  <c r="J355" i="31"/>
  <c r="J349" i="31"/>
  <c r="J343" i="31"/>
  <c r="J337" i="31"/>
  <c r="J334" i="31"/>
  <c r="J329" i="31"/>
  <c r="J324" i="31"/>
  <c r="J316" i="31"/>
  <c r="J310" i="31"/>
  <c r="C43" i="29"/>
  <c r="J306" i="31"/>
  <c r="C42" i="29"/>
  <c r="J304" i="31"/>
  <c r="K298" i="31"/>
  <c r="J298" i="31"/>
  <c r="E298" i="31"/>
  <c r="K296" i="31"/>
  <c r="J296" i="31"/>
  <c r="E296" i="31"/>
  <c r="K294" i="31"/>
  <c r="J294" i="31"/>
  <c r="E294" i="31"/>
  <c r="K290" i="31"/>
  <c r="K289" i="31"/>
  <c r="J292" i="31"/>
  <c r="C14" i="29"/>
  <c r="K286" i="31"/>
  <c r="K285" i="31"/>
  <c r="J288" i="31"/>
  <c r="C13" i="29"/>
  <c r="J284" i="31"/>
  <c r="J271" i="31"/>
  <c r="C33" i="29"/>
  <c r="J255" i="31"/>
  <c r="J248" i="31"/>
  <c r="J229" i="31"/>
  <c r="AD217" i="31"/>
  <c r="AC217" i="31"/>
  <c r="AB217" i="31"/>
  <c r="J220" i="31"/>
  <c r="C56" i="29" l="1"/>
  <c r="C55" i="29"/>
  <c r="K292" i="31"/>
  <c r="C57" i="29"/>
  <c r="K288" i="31"/>
  <c r="K386" i="31"/>
  <c r="L237" i="31"/>
  <c r="L334" i="31"/>
  <c r="L343" i="31"/>
  <c r="L220" i="31"/>
  <c r="L349" i="31"/>
  <c r="L368" i="31"/>
  <c r="L411" i="31"/>
  <c r="L298" i="31"/>
  <c r="L271" i="31"/>
  <c r="L255" i="31"/>
  <c r="L294" i="31"/>
  <c r="L306" i="31"/>
  <c r="L337" i="31"/>
  <c r="L355" i="31"/>
  <c r="L284" i="31"/>
  <c r="L248" i="31"/>
  <c r="L329" i="31"/>
  <c r="L229" i="31"/>
  <c r="L296" i="31"/>
  <c r="L310" i="31"/>
  <c r="L361" i="31"/>
  <c r="J32" i="31"/>
  <c r="L288" i="31" l="1"/>
  <c r="L292" i="31"/>
  <c r="L386" i="31"/>
  <c r="C31" i="29"/>
  <c r="J129" i="31"/>
  <c r="C47" i="29"/>
  <c r="J105" i="31"/>
  <c r="J93" i="31"/>
  <c r="C60" i="29"/>
  <c r="K85" i="31"/>
  <c r="K84" i="31"/>
  <c r="K81" i="31"/>
  <c r="J79" i="31"/>
  <c r="C4" i="29"/>
  <c r="K87" i="31" l="1"/>
  <c r="L79" i="31"/>
  <c r="L105" i="31"/>
  <c r="L93" i="31"/>
  <c r="L129" i="31"/>
  <c r="L185" i="31"/>
  <c r="L23" i="31"/>
  <c r="L210" i="31"/>
  <c r="L87" i="31" l="1"/>
  <c r="J210" i="31"/>
  <c r="J185" i="31"/>
  <c r="K174" i="31"/>
  <c r="J41" i="31"/>
  <c r="J173" i="31"/>
  <c r="J167" i="31"/>
  <c r="J151" i="31"/>
  <c r="J145" i="31"/>
  <c r="J140" i="31"/>
  <c r="J133" i="31"/>
  <c r="J124" i="31"/>
  <c r="J119" i="31"/>
  <c r="J111" i="31"/>
  <c r="J101" i="31"/>
  <c r="J99" i="31"/>
  <c r="J91" i="31"/>
  <c r="J89" i="31"/>
  <c r="J83" i="31"/>
  <c r="J66" i="31"/>
  <c r="J55" i="31"/>
  <c r="J49" i="31"/>
  <c r="J530" i="31" l="1"/>
  <c r="L145" i="31"/>
  <c r="L140" i="31"/>
  <c r="L133" i="31"/>
  <c r="L151" i="31"/>
  <c r="C24" i="29"/>
  <c r="C46" i="29"/>
  <c r="C40" i="29"/>
  <c r="C11" i="29"/>
  <c r="C12" i="29"/>
  <c r="C59" i="29"/>
  <c r="C58" i="29"/>
  <c r="C41" i="29"/>
  <c r="K89" i="31"/>
  <c r="C29" i="29"/>
  <c r="C26" i="29"/>
  <c r="L32" i="31"/>
  <c r="K175" i="31"/>
  <c r="K180" i="31" s="1"/>
  <c r="L180" i="31" l="1"/>
  <c r="C34" i="29"/>
  <c r="L89" i="31"/>
  <c r="L55" i="31"/>
  <c r="L66" i="31"/>
  <c r="L101" i="31"/>
  <c r="L124" i="31"/>
  <c r="L91" i="31"/>
  <c r="L41" i="31"/>
  <c r="L167" i="31"/>
  <c r="K80" i="31"/>
  <c r="K83" i="31" s="1"/>
  <c r="K530" i="31" s="1"/>
  <c r="L49" i="31" l="1"/>
  <c r="L83" i="31"/>
  <c r="AA26" i="31" l="1"/>
  <c r="Z26" i="31"/>
  <c r="Y26" i="31"/>
  <c r="AD20" i="31"/>
  <c r="AD26" i="31" s="1"/>
  <c r="AC20" i="31"/>
  <c r="AC26" i="31" s="1"/>
  <c r="AB20" i="31"/>
  <c r="AB26" i="31" s="1"/>
  <c r="B9" i="28" l="1"/>
  <c r="B9" i="31"/>
  <c r="AC42" i="33" l="1"/>
  <c r="AA45" i="33" s="1"/>
  <c r="L379" i="31" l="1"/>
  <c r="C23" i="29"/>
  <c r="C32" i="29"/>
  <c r="L173" i="31"/>
  <c r="C37" i="29"/>
  <c r="L99" i="31"/>
  <c r="C38" i="29"/>
  <c r="L69" i="31"/>
  <c r="C39" i="29"/>
  <c r="L274" i="31"/>
  <c r="L111" i="31" l="1"/>
  <c r="L119" i="31" l="1"/>
  <c r="C36" i="29" l="1"/>
  <c r="L304" i="31"/>
  <c r="C52" i="29"/>
  <c r="C50" i="29"/>
  <c r="L316" i="31"/>
  <c r="L324" i="31"/>
  <c r="L530" i="31" l="1"/>
  <c r="L684" i="32" l="1"/>
  <c r="L675" i="32"/>
  <c r="L693" i="32"/>
  <c r="L716" i="32"/>
  <c r="L800" i="32" s="1"/>
  <c r="L702" i="32"/>
  <c r="G1905" i="21" l="1"/>
  <c r="G3060" i="21"/>
  <c r="G4186" i="21"/>
  <c r="G3626" i="21"/>
  <c r="G2821" i="21"/>
  <c r="G3941" i="21"/>
  <c r="G4145" i="21"/>
  <c r="G2675" i="21"/>
  <c r="G3801" i="21"/>
  <c r="G2920" i="21"/>
  <c r="G2576" i="21"/>
  <c r="G3696" i="21"/>
  <c r="G3725" i="21"/>
  <c r="G2156" i="21"/>
  <c r="G3270" i="21"/>
  <c r="G4396" i="21"/>
  <c r="G3066" i="21"/>
  <c r="G2751" i="21"/>
  <c r="G3865" i="21"/>
  <c r="G2086" i="21"/>
  <c r="G3206" i="21"/>
  <c r="G4326" i="21"/>
  <c r="G4320" i="21"/>
  <c r="G2961" i="21"/>
  <c r="G4075" i="21"/>
  <c r="G3906" i="21"/>
  <c r="G2815" i="21"/>
  <c r="G3935" i="21"/>
  <c r="G3480" i="21"/>
  <c r="G2716" i="21"/>
  <c r="G3836" i="21"/>
  <c r="G4431" i="21"/>
  <c r="G2290" i="21"/>
  <c r="G3410" i="21"/>
  <c r="G2045" i="21"/>
  <c r="G3760" i="21"/>
  <c r="G2891" i="21"/>
  <c r="G4011" i="21"/>
  <c r="G3282" i="21"/>
  <c r="G4259" i="21"/>
  <c r="G2264" i="21"/>
  <c r="G4472" i="21"/>
  <c r="G2824" i="21"/>
  <c r="G2019" i="21"/>
  <c r="G3247" i="21"/>
  <c r="G3734" i="21"/>
  <c r="G2022" i="21"/>
  <c r="G3419" i="21"/>
  <c r="G2932" i="21"/>
  <c r="G2964" i="21"/>
  <c r="G4262" i="21"/>
  <c r="G2827" i="21"/>
  <c r="G2999" i="21"/>
  <c r="G2614" i="21"/>
  <c r="G4192" i="21"/>
  <c r="G4049" i="21"/>
  <c r="G2474" i="21"/>
  <c r="G1952" i="21"/>
  <c r="G1809" i="21"/>
  <c r="G1701" i="21"/>
  <c r="G2681" i="21"/>
  <c r="G2506" i="21"/>
  <c r="G3349" i="21"/>
  <c r="G3842" i="21"/>
  <c r="G3107" i="21"/>
  <c r="G1949" i="21"/>
  <c r="G2220" i="21"/>
  <c r="G3340" i="21"/>
  <c r="G4460" i="21"/>
  <c r="G1940" i="21"/>
  <c r="G3095" i="21"/>
  <c r="G4221" i="21"/>
  <c r="G1695" i="21"/>
  <c r="G2955" i="21"/>
  <c r="G4081" i="21"/>
  <c r="G4040" i="21"/>
  <c r="G2856" i="21"/>
  <c r="G3976" i="21"/>
  <c r="G2080" i="21"/>
  <c r="G2430" i="21"/>
  <c r="G3550" i="21"/>
  <c r="G2465" i="21"/>
  <c r="G1835" i="21"/>
  <c r="G3025" i="21"/>
  <c r="G4151" i="21"/>
  <c r="G4402" i="21"/>
  <c r="G4329" i="21"/>
  <c r="G4052" i="21"/>
  <c r="G4084" i="21"/>
  <c r="G3947" i="21"/>
  <c r="G2232" i="21"/>
  <c r="G3807" i="21"/>
  <c r="G3629" i="21"/>
  <c r="G2509" i="21"/>
  <c r="G3527" i="21"/>
  <c r="G4154" i="21"/>
  <c r="G3422" i="21"/>
  <c r="G3002" i="21"/>
  <c r="G4119" i="21"/>
  <c r="G2439" i="21"/>
  <c r="G3492" i="21"/>
  <c r="G3174" i="21"/>
  <c r="G3944" i="21"/>
  <c r="G1742" i="21"/>
  <c r="G1984" i="21"/>
  <c r="G1879" i="21"/>
  <c r="G2436" i="21"/>
  <c r="G2859" i="21"/>
  <c r="G2617" i="21"/>
  <c r="G2299" i="21"/>
  <c r="G4227" i="21"/>
  <c r="G3177" i="21"/>
  <c r="G2089" i="21"/>
  <c r="G2366" i="21"/>
  <c r="G3486" i="21"/>
  <c r="G2605" i="21"/>
  <c r="G2121" i="21"/>
  <c r="G3235" i="21"/>
  <c r="G4361" i="21"/>
  <c r="G1975" i="21"/>
  <c r="G3101" i="21"/>
  <c r="G4215" i="21"/>
  <c r="G1730" i="21"/>
  <c r="G2996" i="21"/>
  <c r="G4116" i="21"/>
  <c r="G2640" i="21"/>
  <c r="G2570" i="21"/>
  <c r="G3690" i="21"/>
  <c r="G2885" i="21"/>
  <c r="G2051" i="21"/>
  <c r="G3171" i="21"/>
  <c r="G4291" i="21"/>
  <c r="G3772" i="21"/>
  <c r="G3804" i="21"/>
  <c r="G3037" i="21"/>
  <c r="G3594" i="21"/>
  <c r="G4364" i="21"/>
  <c r="G2127" i="21"/>
  <c r="G3632" i="21"/>
  <c r="G3139" i="21"/>
  <c r="G2194" i="21"/>
  <c r="G4297" i="21"/>
  <c r="G2512" i="21"/>
  <c r="G3597" i="21"/>
  <c r="G4122" i="21"/>
  <c r="G3979" i="21"/>
  <c r="G2124" i="21"/>
  <c r="G2757" i="21"/>
  <c r="G3314" i="21"/>
  <c r="G1847" i="21"/>
  <c r="G1946" i="21"/>
  <c r="G1704" i="21"/>
  <c r="G2360" i="21"/>
  <c r="G3769" i="21"/>
  <c r="G2477" i="21"/>
  <c r="G1987" i="21"/>
  <c r="G2500" i="21"/>
  <c r="G3620" i="21"/>
  <c r="G3305" i="21"/>
  <c r="G2261" i="21"/>
  <c r="G3375" i="21"/>
  <c r="G1800" i="21"/>
  <c r="G2115" i="21"/>
  <c r="G3241" i="21"/>
  <c r="G4355" i="21"/>
  <c r="G2016" i="21"/>
  <c r="G3136" i="21"/>
  <c r="G4256" i="21"/>
  <c r="G3346" i="21"/>
  <c r="G2710" i="21"/>
  <c r="G3830" i="21"/>
  <c r="G3585" i="21"/>
  <c r="G2185" i="21"/>
  <c r="G3311" i="21"/>
  <c r="G4425" i="21"/>
  <c r="G2967" i="21"/>
  <c r="G3524" i="21"/>
  <c r="G3909" i="21"/>
  <c r="G4437" i="21"/>
  <c r="G2162" i="21"/>
  <c r="G3209" i="21"/>
  <c r="G2369" i="21"/>
  <c r="G3702" i="21"/>
  <c r="G3384" i="21"/>
  <c r="G3912" i="21"/>
  <c r="G3454" i="21"/>
  <c r="G2407" i="21"/>
  <c r="G2897" i="21"/>
  <c r="G3212" i="21"/>
  <c r="G4224" i="21"/>
  <c r="G4157" i="21"/>
  <c r="G2267" i="21"/>
  <c r="G1707" i="21"/>
  <c r="G1917" i="21"/>
  <c r="G1841" i="21"/>
  <c r="G1911" i="21"/>
  <c r="G2786" i="21"/>
  <c r="G3445" i="21"/>
  <c r="G3031" i="21"/>
  <c r="G4250" i="21"/>
  <c r="G3667" i="21"/>
  <c r="G2442" i="21"/>
  <c r="G2372" i="21"/>
  <c r="G1981" i="21"/>
  <c r="G2646" i="21"/>
  <c r="G3766" i="21"/>
  <c r="G3871" i="21"/>
  <c r="G2395" i="21"/>
  <c r="G3521" i="21"/>
  <c r="G2191" i="21"/>
  <c r="G2255" i="21"/>
  <c r="G3381" i="21"/>
  <c r="G3165" i="21"/>
  <c r="G2150" i="21"/>
  <c r="G3276" i="21"/>
  <c r="G4390" i="21"/>
  <c r="G4180" i="21"/>
  <c r="G2850" i="21"/>
  <c r="G3970" i="21"/>
  <c r="G4285" i="21"/>
  <c r="G2331" i="21"/>
  <c r="G3451" i="21"/>
  <c r="G3200" i="21"/>
  <c r="G4367" i="21"/>
  <c r="G2547" i="21"/>
  <c r="G4087" i="21"/>
  <c r="G2582" i="21"/>
  <c r="G3737" i="21"/>
  <c r="G3559" i="21"/>
  <c r="G2054" i="21"/>
  <c r="G2862" i="21"/>
  <c r="G2754" i="21"/>
  <c r="G3489" i="21"/>
  <c r="G2649" i="21"/>
  <c r="G4014" i="21"/>
  <c r="G2687" i="21"/>
  <c r="G3244" i="21"/>
  <c r="G2719" i="21"/>
  <c r="G3457" i="21"/>
  <c r="G2652" i="21"/>
  <c r="G1777" i="21"/>
  <c r="G1812" i="21"/>
  <c r="G1739" i="21"/>
  <c r="G1844" i="21"/>
  <c r="G1736" i="21"/>
  <c r="G1771" i="21"/>
  <c r="G4046" i="21"/>
  <c r="G2541" i="21"/>
  <c r="G3556" i="21"/>
  <c r="G3130" i="21"/>
  <c r="G3731" i="21"/>
  <c r="G3104" i="21"/>
  <c r="G3699" i="21"/>
  <c r="G3069" i="21"/>
  <c r="G1774" i="21"/>
  <c r="G2780" i="21"/>
  <c r="G3900" i="21"/>
  <c r="G2226" i="21"/>
  <c r="G2535" i="21"/>
  <c r="G3655" i="21"/>
  <c r="G2745" i="21"/>
  <c r="G2401" i="21"/>
  <c r="G3515" i="21"/>
  <c r="G4005" i="21"/>
  <c r="G2296" i="21"/>
  <c r="G3416" i="21"/>
  <c r="G2325" i="21"/>
  <c r="G1765" i="21"/>
  <c r="G2990" i="21"/>
  <c r="G4110" i="21"/>
  <c r="G1870" i="21"/>
  <c r="G2471" i="21"/>
  <c r="G3591" i="21"/>
  <c r="G4466" i="21"/>
  <c r="G4017" i="21"/>
  <c r="G2302" i="21"/>
  <c r="G2929" i="21"/>
  <c r="G3562" i="21"/>
  <c r="G4469" i="21"/>
  <c r="G3317" i="21"/>
  <c r="G3874" i="21"/>
  <c r="G2722" i="21"/>
  <c r="G3839" i="21"/>
  <c r="G2334" i="21"/>
  <c r="G3034" i="21"/>
  <c r="G3877" i="21"/>
  <c r="G4434" i="21"/>
  <c r="G2229" i="21"/>
  <c r="G2789" i="21"/>
  <c r="G2337" i="21"/>
  <c r="G2926" i="21"/>
  <c r="G3795" i="21"/>
  <c r="G3661" i="21"/>
  <c r="G2010" i="21"/>
  <c r="G2611" i="21"/>
  <c r="G3142" i="21"/>
  <c r="G2684" i="21"/>
  <c r="G4294" i="21"/>
  <c r="G1914" i="21"/>
  <c r="G3352" i="21"/>
  <c r="G2579" i="21"/>
  <c r="G3664" i="21"/>
  <c r="G3387" i="21"/>
  <c r="G2404" i="21"/>
  <c r="G2057" i="21"/>
  <c r="G3982" i="21"/>
  <c r="G3279" i="21"/>
  <c r="G2894" i="21"/>
  <c r="G3072" i="21"/>
  <c r="G4399" i="21"/>
  <c r="G2159" i="21"/>
  <c r="G2197" i="21"/>
  <c r="G4189" i="21"/>
  <c r="G1882" i="21"/>
  <c r="G2544" i="21"/>
  <c r="G2792" i="21"/>
  <c r="G1876" i="21"/>
  <c r="G4332" i="21"/>
  <c r="G2092" i="21"/>
  <c r="G1806" i="21"/>
  <c r="M72" i="28" l="1"/>
  <c r="L72" i="28"/>
  <c r="U43" i="30" l="1"/>
  <c r="U46" i="30" s="1"/>
  <c r="Y30" i="33"/>
  <c r="Y32" i="30"/>
  <c r="Y31" i="33"/>
  <c r="Y43" i="30"/>
  <c r="Y46" i="30" s="1"/>
  <c r="Y31" i="30"/>
  <c r="Y33" i="30" l="1"/>
  <c r="Y32" i="33"/>
  <c r="AC43" i="30"/>
  <c r="AC46" i="30" s="1"/>
</calcChain>
</file>

<file path=xl/sharedStrings.xml><?xml version="1.0" encoding="utf-8"?>
<sst xmlns="http://schemas.openxmlformats.org/spreadsheetml/2006/main" count="12965" uniqueCount="1917">
  <si>
    <t>HEAD OFFICE &amp; CHANGWON PLANT</t>
  </si>
  <si>
    <t>22, DoosanVolvo-ro, Seongsan-gu, Changwon-Si,</t>
    <phoneticPr fontId="9" type="noConversion"/>
  </si>
  <si>
    <t>Gyeongsangnam-do, Korea</t>
    <phoneticPr fontId="9" type="noConversion"/>
  </si>
  <si>
    <t>(P.O.BOX 77, Changwon, Korea)</t>
    <phoneticPr fontId="9" type="noConversion"/>
  </si>
  <si>
    <t>TEL:(055)278-6114,7114 FAX:(055)264-5551/2</t>
  </si>
  <si>
    <t>PROFORMA INVOICE
ПРОФОРМА ИНВОЙС</t>
    <phoneticPr fontId="9" type="noConversion"/>
  </si>
  <si>
    <t>1. Shipper / Грузоотправитель</t>
    <phoneticPr fontId="9" type="noConversion"/>
  </si>
  <si>
    <r>
      <t xml:space="preserve">11. Invoice </t>
    </r>
    <r>
      <rPr>
        <b/>
        <sz val="10"/>
        <rFont val="Calibri"/>
        <family val="2"/>
      </rPr>
      <t>№</t>
    </r>
    <r>
      <rPr>
        <b/>
        <sz val="11"/>
        <rFont val="Calibri"/>
        <family val="2"/>
      </rPr>
      <t xml:space="preserve"> :  </t>
    </r>
    <phoneticPr fontId="9" type="noConversion"/>
  </si>
  <si>
    <t>PGU-DE-0139-001</t>
    <phoneticPr fontId="3" type="noConversion"/>
  </si>
  <si>
    <t>Doosan Enerbility Co., Ltd (DOOSAN)</t>
    <phoneticPr fontId="9" type="noConversion"/>
  </si>
  <si>
    <r>
      <t xml:space="preserve">Инвойс </t>
    </r>
    <r>
      <rPr>
        <b/>
        <sz val="9"/>
        <rFont val="Calibri"/>
        <family val="2"/>
      </rPr>
      <t>№</t>
    </r>
    <phoneticPr fontId="9" type="noConversion"/>
  </si>
  <si>
    <t xml:space="preserve">22, DoosanVolvo-ro, Seongsan-gu, Changwon-si, Gyeongsangnam-do, </t>
    <phoneticPr fontId="9" type="noConversion"/>
  </si>
  <si>
    <t xml:space="preserve">12. Date : </t>
    <phoneticPr fontId="9" type="noConversion"/>
  </si>
  <si>
    <t>Republic of Korea</t>
    <phoneticPr fontId="9" type="noConversion"/>
  </si>
  <si>
    <t xml:space="preserve">Дата </t>
    <phoneticPr fontId="9" type="noConversion"/>
  </si>
  <si>
    <t>2. Consignee / Грузополучатель</t>
    <phoneticPr fontId="9" type="noConversion"/>
  </si>
  <si>
    <t>13. Remarks / Примечания</t>
    <phoneticPr fontId="9" type="noConversion"/>
  </si>
  <si>
    <t>Branch of JSC "Doosan Enerbility" in the Turkestan region</t>
    <phoneticPr fontId="9" type="noConversion"/>
  </si>
  <si>
    <t>321 Tauke Khan Avenue, Turkestan region, Turkestan, Kazakhstan, 161200</t>
    <phoneticPr fontId="9" type="noConversion"/>
  </si>
  <si>
    <t>*Project Name / Название Проекта</t>
    <phoneticPr fontId="9" type="noConversion"/>
  </si>
  <si>
    <t>BIN: 230741006561</t>
    <phoneticPr fontId="9" type="noConversion"/>
  </si>
  <si>
    <t>Construction of a 1000 MW CCGT Power Plant in the Sairam District of</t>
    <phoneticPr fontId="9" type="noConversion"/>
  </si>
  <si>
    <t>Turkistan Region, Main Site. Without External Engineering Networks</t>
    <phoneticPr fontId="9" type="noConversion"/>
  </si>
  <si>
    <t>*MANUFACTURER'S NAME / НАЗВАНИЕ ПРОИЗВОДИТЕЛЯ</t>
    <phoneticPr fontId="9" type="noConversion"/>
  </si>
  <si>
    <t>DTS</t>
    <phoneticPr fontId="3" type="noConversion"/>
  </si>
  <si>
    <t>3. Notify party / Уведомляемая сторона</t>
    <phoneticPr fontId="9" type="noConversion"/>
  </si>
  <si>
    <t>*MANUFACTURE YEAR / ГОД ИЗГОТОВЛЕНИЯ</t>
    <phoneticPr fontId="9" type="noConversion"/>
  </si>
  <si>
    <t>Wise Logistics</t>
  </si>
  <si>
    <t xml:space="preserve">ATTAN: MS. Aliya </t>
  </si>
  <si>
    <t>*COUNTRY OF ORIGIN / СТРАНА ПРОИСХОЖДЕНИЯ</t>
    <phoneticPr fontId="9" type="noConversion"/>
  </si>
  <si>
    <t>(E): a.kipshakbayeva@wiselogistics.kz</t>
  </si>
  <si>
    <t>(T): +7 701 512 19 69</t>
  </si>
  <si>
    <t>*INCOTERMS / УСЛОВИЯ ПОСТАВКИ СОГЛАСНО ИНКОТЕРМС</t>
    <phoneticPr fontId="9" type="noConversion"/>
  </si>
  <si>
    <t>DDP Turkistan</t>
  </si>
  <si>
    <t>4. Port of Loading / Порт погрузки</t>
    <phoneticPr fontId="9" type="noConversion"/>
  </si>
  <si>
    <t>5. Carrier / Перевозчик</t>
    <phoneticPr fontId="9" type="noConversion"/>
  </si>
  <si>
    <t>14. Mark and Numbers of PKGS / Маркировка и количество упаковок</t>
    <phoneticPr fontId="9" type="noConversion"/>
  </si>
  <si>
    <t>Later</t>
    <phoneticPr fontId="3" type="noConversion"/>
  </si>
  <si>
    <t>PKG No.</t>
    <phoneticPr fontId="9" type="noConversion"/>
  </si>
  <si>
    <t>:</t>
    <phoneticPr fontId="9" type="noConversion"/>
  </si>
  <si>
    <t>PGU-DE-0139-FFC-ROT-001~058</t>
    <phoneticPr fontId="3" type="noConversion"/>
  </si>
  <si>
    <t>6. Port of Unloading / Порт разгрузки</t>
    <phoneticPr fontId="9" type="noConversion"/>
  </si>
  <si>
    <t>7. Final Destination / Конечный пункт назначения</t>
    <phoneticPr fontId="9" type="noConversion"/>
  </si>
  <si>
    <t>Q-ty of Package</t>
    <phoneticPr fontId="9" type="noConversion"/>
  </si>
  <si>
    <t>PKGS</t>
    <phoneticPr fontId="9" type="noConversion"/>
  </si>
  <si>
    <t>Net Weight (kg)</t>
    <phoneticPr fontId="9" type="noConversion"/>
  </si>
  <si>
    <t>KG</t>
    <phoneticPr fontId="9" type="noConversion"/>
  </si>
  <si>
    <t>Turkestan region, Sairam district</t>
    <phoneticPr fontId="3" type="noConversion"/>
  </si>
  <si>
    <t>Gross Weight (kg)</t>
    <phoneticPr fontId="9" type="noConversion"/>
  </si>
  <si>
    <t>Dimension (m3)</t>
    <phoneticPr fontId="9" type="noConversion"/>
  </si>
  <si>
    <r>
      <t>m</t>
    </r>
    <r>
      <rPr>
        <vertAlign val="superscript"/>
        <sz val="11"/>
        <rFont val="Calibri"/>
        <family val="2"/>
      </rPr>
      <t>3</t>
    </r>
    <phoneticPr fontId="9" type="noConversion"/>
  </si>
  <si>
    <r>
      <t xml:space="preserve">8. Voyage No / Рейс </t>
    </r>
    <r>
      <rPr>
        <b/>
        <sz val="10"/>
        <rFont val="Calibri"/>
        <family val="2"/>
      </rPr>
      <t>№</t>
    </r>
    <phoneticPr fontId="9" type="noConversion"/>
  </si>
  <si>
    <t>9. Sailing on or about / Дата или
ожидаемая дата</t>
    <phoneticPr fontId="9" type="noConversion"/>
  </si>
  <si>
    <t>10. Customs Place / Место таможенного оформления</t>
    <phoneticPr fontId="3" type="noConversion"/>
  </si>
  <si>
    <t>15. Description of Goods / Описание товара</t>
    <phoneticPr fontId="9" type="noConversion"/>
  </si>
  <si>
    <t>16. HS CODE /</t>
    <phoneticPr fontId="9" type="noConversion"/>
  </si>
  <si>
    <t>17. Quantity /</t>
    <phoneticPr fontId="9" type="noConversion"/>
  </si>
  <si>
    <t>18. Total Price (USD)</t>
    <phoneticPr fontId="9" type="noConversion"/>
  </si>
  <si>
    <t>Код ТН ВЭД</t>
    <phoneticPr fontId="9" type="noConversion"/>
  </si>
  <si>
    <t>Количество</t>
    <phoneticPr fontId="9" type="noConversion"/>
  </si>
  <si>
    <t>Общая сумма (Дол. США)</t>
    <phoneticPr fontId="9" type="noConversion"/>
  </si>
  <si>
    <t>Fin Fan Cooler_Rotating Parts</t>
    <phoneticPr fontId="3" type="noConversion"/>
  </si>
  <si>
    <t>CD#3 Item 5.7</t>
    <phoneticPr fontId="3" type="noConversion"/>
  </si>
  <si>
    <t>Сухая градирня (Системы замкнутого водяного охлаждения)</t>
  </si>
  <si>
    <t>Total (DDP Value)</t>
    <phoneticPr fontId="9" type="noConversion"/>
  </si>
  <si>
    <t>Signed by</t>
  </si>
  <si>
    <t>Doosan Enerbility Co., Ltd</t>
    <phoneticPr fontId="9" type="noConversion"/>
  </si>
  <si>
    <t>155, Jeongjail-ro, Bundang-gu, Seongnam-si, Gyeonggi-do, Korea</t>
    <phoneticPr fontId="9" type="noConversion"/>
  </si>
  <si>
    <t>Tel. +82 31 5179 2045</t>
    <phoneticPr fontId="9" type="noConversion"/>
  </si>
  <si>
    <t xml:space="preserve"> Gihun Bek / Project Director</t>
    <phoneticPr fontId="38" type="noConversion"/>
  </si>
  <si>
    <t>Fax. +82 31 5179 2197</t>
    <phoneticPr fontId="9" type="noConversion"/>
  </si>
  <si>
    <t>Doosan Enerbility Co., Ltd.</t>
    <phoneticPr fontId="9" type="noConversion"/>
  </si>
  <si>
    <t>INVOICE (Break-down)</t>
    <phoneticPr fontId="9" type="noConversion"/>
  </si>
  <si>
    <t xml:space="preserve">Invoice № :  </t>
    <phoneticPr fontId="9" type="noConversion"/>
  </si>
  <si>
    <t>№</t>
    <phoneticPr fontId="9" type="noConversion"/>
  </si>
  <si>
    <t>№ Package</t>
    <phoneticPr fontId="9" type="noConversion"/>
  </si>
  <si>
    <t>Description of Goods Specification</t>
    <phoneticPr fontId="9" type="noConversion"/>
  </si>
  <si>
    <t>HS CODE</t>
    <phoneticPr fontId="9" type="noConversion"/>
  </si>
  <si>
    <t>Quantity</t>
    <phoneticPr fontId="9" type="noConversion"/>
  </si>
  <si>
    <t>Unit</t>
    <phoneticPr fontId="9" type="noConversion"/>
  </si>
  <si>
    <t>U/Price
(USD)</t>
    <phoneticPr fontId="3" type="noConversion"/>
  </si>
  <si>
    <t>Amount
(USD)</t>
    <phoneticPr fontId="3" type="noConversion"/>
  </si>
  <si>
    <t>Country of
Origin</t>
    <phoneticPr fontId="9" type="noConversion"/>
  </si>
  <si>
    <t>Remark</t>
    <phoneticPr fontId="9" type="noConversion"/>
  </si>
  <si>
    <t>PGU-DE-0139-FFC-ROT-001</t>
  </si>
  <si>
    <t>MOTOR</t>
  </si>
  <si>
    <t>EA / ШТ.</t>
  </si>
  <si>
    <t>Korea</t>
    <phoneticPr fontId="3" type="noConversion"/>
  </si>
  <si>
    <t>PGU-DE-0139-FFC-ROT-002</t>
  </si>
  <si>
    <t>PGU-DE-0139-FFC-ROT-003</t>
  </si>
  <si>
    <t>PGU-DE-0139-FFC-ROT-004</t>
  </si>
  <si>
    <t>PGU-DE-0139-FFC-ROT-005</t>
  </si>
  <si>
    <t>PGU-DE-0139-FFC-ROT-006</t>
  </si>
  <si>
    <t>PGU-DE-0139-FFC-ROT-007</t>
  </si>
  <si>
    <t>PGU-DE-0139-FFC-ROT-008</t>
  </si>
  <si>
    <t>PGU-DE-0139-FFC-ROT-009</t>
  </si>
  <si>
    <t>PGU-DE-0139-FFC-ROT-010</t>
  </si>
  <si>
    <t>PGU-DE-0139-FFC-ROT-011</t>
  </si>
  <si>
    <t>PGU-DE-0139-FFC-ROT-012</t>
  </si>
  <si>
    <t>PGU-DE-0139-FFC-ROT-013</t>
  </si>
  <si>
    <t>FAN</t>
  </si>
  <si>
    <t>PGU-DE-0139-FFC-ROT-014</t>
  </si>
  <si>
    <t>PGU-DE-0139-FFC-ROT-015</t>
  </si>
  <si>
    <t>PGU-DE-0139-FFC-ROT-016</t>
  </si>
  <si>
    <t>RIGHT GEAR</t>
  </si>
  <si>
    <t>PGU-DE-0139-FFC-ROT-017</t>
  </si>
  <si>
    <t>PGU-DE-0139-FFC-ROT-018</t>
  </si>
  <si>
    <t>PGU-DE-0139-FFC-ROT-019</t>
  </si>
  <si>
    <t>PGU-DE-0139-FFC-ROT-020</t>
  </si>
  <si>
    <t>PUMP</t>
  </si>
  <si>
    <t>PGU-DE-0139-FFC-ROT-021</t>
  </si>
  <si>
    <t>PGU-DE-0139-FFC-ROT-022</t>
  </si>
  <si>
    <t>TANK</t>
  </si>
  <si>
    <t>PGU-DE-0139-FFC-ROT-023</t>
  </si>
  <si>
    <t>PGU-DE-0139-FFC-ROT-024</t>
  </si>
  <si>
    <t>VALVE</t>
  </si>
  <si>
    <t>PGU-DE-0139-FFC-ROT-025</t>
  </si>
  <si>
    <t>PGU-DE-0139-FFC-ROT-026</t>
  </si>
  <si>
    <t>PGU-DE-0139-FFC-ROT-027</t>
  </si>
  <si>
    <t>PGU-DE-0139-FFC-ROT-028</t>
  </si>
  <si>
    <t>PGU-DE-0139-FFC-ROT-029</t>
  </si>
  <si>
    <t>PGU-DE-0139-FFC-ROT-030</t>
  </si>
  <si>
    <t>PGU-DE-0139-FFC-ROT-031</t>
  </si>
  <si>
    <t>PGU-DE-0139-FFC-ROT-032</t>
  </si>
  <si>
    <t>GATE VALVE , BOLT , GASKET , TAG PLATE , ETC</t>
  </si>
  <si>
    <t>PGU-DE-0139-FFC-ROT-033</t>
  </si>
  <si>
    <t>AIR COMPRESSOR</t>
  </si>
  <si>
    <t>PGU-DE-0139-FFC-ROT-034</t>
  </si>
  <si>
    <t>SPECIAL TOOL</t>
  </si>
  <si>
    <t>PGU-DE-0139-FFC-ROT-035</t>
  </si>
  <si>
    <t>INSULATION</t>
  </si>
  <si>
    <t>PGU-DE-0139-FFC-ROT-036</t>
  </si>
  <si>
    <t>PGU-DE-0139-FFC-ROT-037</t>
  </si>
  <si>
    <t>PGU-DE-0139-FFC-ROT-038</t>
  </si>
  <si>
    <t>PGU-DE-0139-FFC-ROT-039</t>
  </si>
  <si>
    <t>PGU-DE-0139-FFC-ROT-040</t>
  </si>
  <si>
    <t>PGU-DE-0139-FFC-ROT-041</t>
  </si>
  <si>
    <t>INSTRUMENT, LIGHTING WITH ACCESSORY, MOV, SPRAY NOZZLE</t>
  </si>
  <si>
    <t>PGU-DE-0139-FFC-ROT-042</t>
  </si>
  <si>
    <t>PDP PANEL</t>
  </si>
  <si>
    <t>PGU-DE-0139-FFC-ROT-043</t>
  </si>
  <si>
    <t>CABLE TRAY</t>
  </si>
  <si>
    <t>PGU-DE-0139-FFC-ROT-044</t>
  </si>
  <si>
    <t>PGU-DE-0139-FFC-ROT-045</t>
  </si>
  <si>
    <t>PGU-DE-0139-FFC-ROT-046</t>
  </si>
  <si>
    <t>PGU-DE-0139-FFC-ROT-047</t>
  </si>
  <si>
    <t>PGU-DE-0139-FFC-ROT-048</t>
  </si>
  <si>
    <t>CABLE TRAY , INSTRUMENT , ECT.</t>
  </si>
  <si>
    <t>PGU-DE-0139-FFC-ROT-049</t>
  </si>
  <si>
    <t>ELECTRIC HEAT TRACING</t>
  </si>
  <si>
    <t>PGU-DE-0139-FFC-ROT-050</t>
  </si>
  <si>
    <t>CABLE</t>
  </si>
  <si>
    <t>PGU-DE-0139-FFC-ROT-051</t>
  </si>
  <si>
    <t>PIPING</t>
  </si>
  <si>
    <t>PGU-DE-0139-FFC-ROT-052</t>
  </si>
  <si>
    <t>PGU-DE-0139-FFC-ROT-053</t>
  </si>
  <si>
    <t>PGU-DE-0139-FFC-ROT-054</t>
  </si>
  <si>
    <t>PGU-DE-0139-FFC-ROT-055</t>
  </si>
  <si>
    <t>PGU-DE-0139-FFC-ROT-056</t>
  </si>
  <si>
    <t>PGU-DE-0139-FFC-ROT-057</t>
  </si>
  <si>
    <t>PGU-DE-0139-FFC-ROT-058</t>
  </si>
  <si>
    <t>PIPE SUPPORT</t>
  </si>
  <si>
    <t>TOTAL</t>
    <phoneticPr fontId="9" type="noConversion"/>
  </si>
  <si>
    <t>PACKING LIST
УПАКОВОЧНЫЙ ЛИСТ</t>
    <phoneticPr fontId="9" type="noConversion"/>
  </si>
  <si>
    <r>
      <t xml:space="preserve">11. Invoice </t>
    </r>
    <r>
      <rPr>
        <b/>
        <sz val="10"/>
        <rFont val="Calibri"/>
        <family val="2"/>
      </rPr>
      <t xml:space="preserve">№ :  </t>
    </r>
    <phoneticPr fontId="9" type="noConversion"/>
  </si>
  <si>
    <t>Turkistan</t>
    <phoneticPr fontId="3" type="noConversion"/>
  </si>
  <si>
    <t>8. Voyage No / Рейс №</t>
    <phoneticPr fontId="9" type="noConversion"/>
  </si>
  <si>
    <t>16. Q-ty</t>
    <phoneticPr fontId="3" type="noConversion"/>
  </si>
  <si>
    <t>17. Net Weight</t>
    <phoneticPr fontId="3" type="noConversion"/>
  </si>
  <si>
    <t>18. Gross Weight</t>
    <phoneticPr fontId="3" type="noConversion"/>
  </si>
  <si>
    <t>19. Measurement</t>
    <phoneticPr fontId="3" type="noConversion"/>
  </si>
  <si>
    <t>(EA)</t>
    <phoneticPr fontId="3" type="noConversion"/>
  </si>
  <si>
    <t>(kg)</t>
    <phoneticPr fontId="3" type="noConversion"/>
  </si>
  <si>
    <t>(CBM)</t>
    <phoneticPr fontId="3" type="noConversion"/>
  </si>
  <si>
    <t>Tel. +82 31 5179 2041</t>
    <phoneticPr fontId="9" type="noConversion"/>
  </si>
  <si>
    <t>Storage Classification "A" :</t>
    <phoneticPr fontId="9" type="noConversion"/>
  </si>
  <si>
    <t>Indoor with Air-conditioning</t>
    <phoneticPr fontId="9" type="noConversion"/>
  </si>
  <si>
    <t>Note&gt;</t>
    <phoneticPr fontId="3" type="noConversion"/>
  </si>
  <si>
    <t>Storage Classification "B" :</t>
    <phoneticPr fontId="9" type="noConversion"/>
  </si>
  <si>
    <t>Indoor without Air-conditioning</t>
    <phoneticPr fontId="9" type="noConversion"/>
  </si>
  <si>
    <t>Storage Classification "C" :</t>
    <phoneticPr fontId="9" type="noConversion"/>
  </si>
  <si>
    <t>Outdoor with Waterproofing</t>
    <phoneticPr fontId="9" type="noConversion"/>
  </si>
  <si>
    <t>Storage Classification "D" :</t>
    <phoneticPr fontId="9" type="noConversion"/>
  </si>
  <si>
    <t>Outdoor without Waterproofing</t>
    <phoneticPr fontId="9" type="noConversion"/>
  </si>
  <si>
    <t>SUMMARY PACKING LIST
CВОДНЫЙ УПАКОВОЧНЫЙ ЛИСТ</t>
    <phoneticPr fontId="9" type="noConversion"/>
  </si>
  <si>
    <t>Project Name:</t>
    <phoneticPr fontId="9" type="noConversion"/>
  </si>
  <si>
    <t>Construction of a 1000 MW CCGT Power Plant in the Sairam District of the Turkistan Region</t>
    <phoneticPr fontId="3" type="noConversion"/>
  </si>
  <si>
    <t>Main Site. Without External Engineering Networks</t>
    <phoneticPr fontId="3" type="noConversion"/>
  </si>
  <si>
    <t xml:space="preserve">Invoice №: </t>
    <phoneticPr fontId="9" type="noConversion"/>
  </si>
  <si>
    <t xml:space="preserve">Name of Consignee: </t>
    <phoneticPr fontId="3" type="noConversion"/>
  </si>
  <si>
    <t xml:space="preserve">Consignee address: </t>
    <phoneticPr fontId="3" type="noConversion"/>
  </si>
  <si>
    <t>Republic of Kazakhstan, Turkestan Oblast, Sairam district, Karamurt rural district, quarter 171</t>
    <phoneticPr fontId="3" type="noConversion"/>
  </si>
  <si>
    <t>№</t>
  </si>
  <si>
    <r>
      <t xml:space="preserve">CNTR No. / Seal No. / 
</t>
    </r>
    <r>
      <rPr>
        <sz val="11"/>
        <rFont val="Segoe UI Symbol"/>
        <family val="2"/>
      </rPr>
      <t>№</t>
    </r>
    <r>
      <rPr>
        <sz val="12"/>
        <rFont val="Calibri"/>
        <family val="2"/>
      </rPr>
      <t xml:space="preserve"> контейнера / 
</t>
    </r>
    <r>
      <rPr>
        <sz val="11"/>
        <rFont val="Segoe UI Symbol"/>
        <family val="2"/>
      </rPr>
      <t>№</t>
    </r>
    <r>
      <rPr>
        <sz val="12"/>
        <rFont val="Calibri"/>
        <family val="2"/>
      </rPr>
      <t xml:space="preserve"> пломбы</t>
    </r>
    <phoneticPr fontId="3" type="noConversion"/>
  </si>
  <si>
    <t>Package No. / 
№ упаковки</t>
    <phoneticPr fontId="9" type="noConversion"/>
  </si>
  <si>
    <t>Description / Описание</t>
    <phoneticPr fontId="9" type="noConversion"/>
  </si>
  <si>
    <t>Packing Style / 
Вид упаковки</t>
    <phoneticPr fontId="9" type="noConversion"/>
  </si>
  <si>
    <t>Quantity / 
Количество</t>
    <phoneticPr fontId="9" type="noConversion"/>
  </si>
  <si>
    <t>Shipping Dimension / Отгрузочные параметры</t>
    <phoneticPr fontId="3" type="noConversion"/>
  </si>
  <si>
    <t>Net Weight (kg) / Вес нетто (кг)</t>
    <phoneticPr fontId="9" type="noConversion"/>
  </si>
  <si>
    <t>Gross Weight (kg) / Вес брутто (кг)</t>
    <phoneticPr fontId="9" type="noConversion"/>
  </si>
  <si>
    <t xml:space="preserve">Hazardous Material 
(UN Number) </t>
    <phoneticPr fontId="9" type="noConversion"/>
  </si>
  <si>
    <t>Storage Class /
Класс хранения</t>
    <phoneticPr fontId="9" type="noConversion"/>
  </si>
  <si>
    <t>Stackable / 
Штабелируемый</t>
    <phoneticPr fontId="9" type="noConversion"/>
  </si>
  <si>
    <t>Q'ty / Количество</t>
    <phoneticPr fontId="9" type="noConversion"/>
  </si>
  <si>
    <t>Unit / 
Ед.изм.</t>
    <phoneticPr fontId="9" type="noConversion"/>
  </si>
  <si>
    <t>L (cm) /
Д (см)</t>
    <phoneticPr fontId="3" type="noConversion"/>
  </si>
  <si>
    <t>W (cm) / 
Ш (см)</t>
    <phoneticPr fontId="9" type="noConversion"/>
  </si>
  <si>
    <t>H (cm) / 
В (см)</t>
    <phoneticPr fontId="9" type="noConversion"/>
  </si>
  <si>
    <t>CBM (m3) /
Объем (м3)</t>
    <phoneticPr fontId="9" type="noConversion"/>
  </si>
  <si>
    <t>PGU-DE-0139-FFC-ROT-001</t>
    <phoneticPr fontId="3" type="noConversion"/>
  </si>
  <si>
    <t>WOODEN BOX</t>
  </si>
  <si>
    <t>B</t>
    <phoneticPr fontId="3" type="noConversion"/>
  </si>
  <si>
    <t>N</t>
    <phoneticPr fontId="3" type="noConversion"/>
  </si>
  <si>
    <t>진공</t>
    <phoneticPr fontId="3" type="noConversion"/>
  </si>
  <si>
    <t>WOODEN PALLET</t>
  </si>
  <si>
    <t>D</t>
    <phoneticPr fontId="3" type="noConversion"/>
  </si>
  <si>
    <t>INSULATION</t>
    <phoneticPr fontId="3" type="noConversion"/>
  </si>
  <si>
    <t>TOTAL / ИТОГО</t>
    <phoneticPr fontId="9" type="noConversion"/>
  </si>
  <si>
    <t>HEAD OFFICE &amp; CHANGWON PLANT</t>
    <phoneticPr fontId="3" type="noConversion"/>
  </si>
  <si>
    <t>DETAILED PACKING LIST 
ПОДРОБНЫЙ УПАКОВОЧНЫЙ ЛИСТ</t>
    <phoneticPr fontId="9" type="noConversion"/>
  </si>
  <si>
    <t>Package No./ 
Номер упаковки</t>
    <phoneticPr fontId="9" type="noConversion"/>
  </si>
  <si>
    <t>HS Code / Код ТН ВЭД</t>
    <phoneticPr fontId="3" type="noConversion"/>
  </si>
  <si>
    <t>Quantity / Количество</t>
    <phoneticPr fontId="9" type="noConversion"/>
  </si>
  <si>
    <t>Drawing No. / 
№ чертежа</t>
    <phoneticPr fontId="3" type="noConversion"/>
  </si>
  <si>
    <t>Tag No. / 
№ Тег</t>
    <phoneticPr fontId="3" type="noConversion"/>
  </si>
  <si>
    <t>Unit Price (US$) / 
Цена заединицу</t>
    <phoneticPr fontId="9" type="noConversion"/>
  </si>
  <si>
    <t>Total Price (US$) / 
Общая цена</t>
    <phoneticPr fontId="9" type="noConversion"/>
  </si>
  <si>
    <t>Remark / 
Примечания</t>
    <phoneticPr fontId="9" type="noConversion"/>
  </si>
  <si>
    <t>Q'ty / 
Кол-во</t>
    <phoneticPr fontId="9" type="noConversion"/>
  </si>
  <si>
    <t>Unit / 
Ед. изм.</t>
    <phoneticPr fontId="9" type="noConversion"/>
  </si>
  <si>
    <t>W (cm) / Ш
(см)</t>
    <phoneticPr fontId="9" type="noConversion"/>
  </si>
  <si>
    <t>H (cm) / В
(см)</t>
    <phoneticPr fontId="9" type="noConversion"/>
  </si>
  <si>
    <t>PGU-DE-044-FFC-001</t>
    <phoneticPr fontId="3" type="noConversion"/>
  </si>
  <si>
    <t>CHAMBER(DECK PLATE) 1DP1/PL4.5*817*3605</t>
    <phoneticPr fontId="3" type="noConversion"/>
  </si>
  <si>
    <t>7318.15.2000</t>
  </si>
  <si>
    <t>EA / ШТ.</t>
    <phoneticPr fontId="3" type="noConversion"/>
  </si>
  <si>
    <t>CCP-W-B182-09-ME-B27-0001</t>
  </si>
  <si>
    <t>1DP1</t>
  </si>
  <si>
    <t>CHAMBER BLOCK #1</t>
    <phoneticPr fontId="3" type="noConversion"/>
  </si>
  <si>
    <t>CHAMBER(SIDE PANEL) 1SP1/PL3*877*3482</t>
    <phoneticPr fontId="3" type="noConversion"/>
  </si>
  <si>
    <t>7318.15.2000</t>
    <phoneticPr fontId="3" type="noConversion"/>
  </si>
  <si>
    <t xml:space="preserve">1SP1 </t>
    <phoneticPr fontId="3" type="noConversion"/>
  </si>
  <si>
    <t>CHAMBER(SIDE PANEL) 1SP3/PL3*1170*3090</t>
    <phoneticPr fontId="3" type="noConversion"/>
  </si>
  <si>
    <t xml:space="preserve">1SP3 </t>
    <phoneticPr fontId="3" type="noConversion"/>
  </si>
  <si>
    <t>CHAMBER(SIDE PANEL) 1SP7/PL3*1057*2272</t>
    <phoneticPr fontId="3" type="noConversion"/>
  </si>
  <si>
    <t>1SP7</t>
    <phoneticPr fontId="3" type="noConversion"/>
  </si>
  <si>
    <t>CHAMBER(SIDE PANEL) 1SP6/PL3*971*2511</t>
    <phoneticPr fontId="3" type="noConversion"/>
  </si>
  <si>
    <t>1SP6</t>
    <phoneticPr fontId="3" type="noConversion"/>
  </si>
  <si>
    <t>CHAMBER(STIFFINER PLATE) 1ST1/PL4.5*210*520</t>
    <phoneticPr fontId="3" type="noConversion"/>
  </si>
  <si>
    <t>1ST1</t>
  </si>
  <si>
    <t>CHAMBER(STIFFINER PLATE) 1ST2/PL4.5*210*850</t>
    <phoneticPr fontId="3" type="noConversion"/>
  </si>
  <si>
    <t>1ST2</t>
  </si>
  <si>
    <t>LIGHTING SUPPORT 1LS1/PL6*150*440</t>
    <phoneticPr fontId="3" type="noConversion"/>
  </si>
  <si>
    <t xml:space="preserve"> 1LS1              </t>
  </si>
  <si>
    <t>LIGHTINGSUPPORT</t>
    <phoneticPr fontId="3" type="noConversion"/>
  </si>
  <si>
    <t>COUPLING COVER 1CP1/PL3*400*1106</t>
    <phoneticPr fontId="3" type="noConversion"/>
  </si>
  <si>
    <t xml:space="preserve"> 1CP1              </t>
  </si>
  <si>
    <t>COUPLING COVER</t>
    <phoneticPr fontId="3" type="noConversion"/>
  </si>
  <si>
    <t>#1</t>
    <phoneticPr fontId="3" type="noConversion"/>
  </si>
  <si>
    <t>CHAMBER(SIDE PANEL,DECK PLATE etc..)</t>
    <phoneticPr fontId="3" type="noConversion"/>
  </si>
  <si>
    <t>PGU-DE-044-FFC-002</t>
    <phoneticPr fontId="3" type="noConversion"/>
  </si>
  <si>
    <t>CHAMBER(SIDE PANEL) 1SP2/PL3*877*3482</t>
    <phoneticPr fontId="3" type="noConversion"/>
  </si>
  <si>
    <t>1SP2</t>
    <phoneticPr fontId="3" type="noConversion"/>
  </si>
  <si>
    <t>CHAMBER(SIDE PANEL) 1SP4/PL3*1170*3090</t>
    <phoneticPr fontId="3" type="noConversion"/>
  </si>
  <si>
    <t>1SP4</t>
    <phoneticPr fontId="3" type="noConversion"/>
  </si>
  <si>
    <t>CHAMBER(SIDE PANEL) 1SP5/PL3*1057*2272</t>
    <phoneticPr fontId="3" type="noConversion"/>
  </si>
  <si>
    <t>1SP5</t>
    <phoneticPr fontId="3" type="noConversion"/>
  </si>
  <si>
    <t>CHAMBER(SIDE PANEL) 1SP8/PL3*971*2511</t>
    <phoneticPr fontId="3" type="noConversion"/>
  </si>
  <si>
    <t>1SP8</t>
    <phoneticPr fontId="3" type="noConversion"/>
  </si>
  <si>
    <t>#2</t>
    <phoneticPr fontId="3" type="noConversion"/>
  </si>
  <si>
    <t>CHAMBER(SIDE PANEL,COUPLING COVER)</t>
    <phoneticPr fontId="3" type="noConversion"/>
  </si>
  <si>
    <t>PGU-DE-044-FFC-003</t>
    <phoneticPr fontId="3" type="noConversion"/>
  </si>
  <si>
    <t>TOP BEAM 1TB5/H194*150*6*9*6090</t>
    <phoneticPr fontId="3" type="noConversion"/>
  </si>
  <si>
    <t xml:space="preserve"> 1TB5              </t>
  </si>
  <si>
    <t>TOPBEAM</t>
  </si>
  <si>
    <t>BLOCK #1</t>
    <phoneticPr fontId="3" type="noConversion"/>
  </si>
  <si>
    <t>TOP BEAM 1TB7/H194*150*6*9*6090</t>
    <phoneticPr fontId="3" type="noConversion"/>
  </si>
  <si>
    <t xml:space="preserve"> 1TB7              </t>
  </si>
  <si>
    <t>COLUMN 1CO1/H150*150*7*10*4168</t>
    <phoneticPr fontId="3" type="noConversion"/>
  </si>
  <si>
    <t xml:space="preserve"> 1CO1              </t>
    <phoneticPr fontId="3" type="noConversion"/>
  </si>
  <si>
    <t>COLUMN</t>
  </si>
  <si>
    <t>COLUMN 1CO3/H150*150*7*10*4168</t>
    <phoneticPr fontId="3" type="noConversion"/>
  </si>
  <si>
    <t xml:space="preserve"> 1CO3              </t>
  </si>
  <si>
    <t>COLUMN 1CO5/H150*150*7*10*4480</t>
    <phoneticPr fontId="3" type="noConversion"/>
  </si>
  <si>
    <t xml:space="preserve"> 1CO5              </t>
  </si>
  <si>
    <t>COLUMN 1CO6/H150*150*7*10*4480</t>
    <phoneticPr fontId="3" type="noConversion"/>
  </si>
  <si>
    <t xml:space="preserve"> 1CO6              </t>
  </si>
  <si>
    <t>COLUMN 1CO10/H150*150*7*10*4168</t>
    <phoneticPr fontId="3" type="noConversion"/>
  </si>
  <si>
    <t xml:space="preserve"> 1CO10             </t>
  </si>
  <si>
    <t>COLUMN 1CO12/H150*150*7*10*4168</t>
    <phoneticPr fontId="3" type="noConversion"/>
  </si>
  <si>
    <t xml:space="preserve"> 1CO12             </t>
  </si>
  <si>
    <t>#22</t>
    <phoneticPr fontId="3" type="noConversion"/>
  </si>
  <si>
    <t>TOP BEAM / COLUMN</t>
    <phoneticPr fontId="3" type="noConversion"/>
  </si>
  <si>
    <t>PGU-DE-044-FFC-004</t>
    <phoneticPr fontId="3" type="noConversion"/>
  </si>
  <si>
    <t>VER.BRACE 1VB6/H125*125*6.5*9*4867</t>
    <phoneticPr fontId="3" type="noConversion"/>
  </si>
  <si>
    <t xml:space="preserve"> 1VB6              </t>
  </si>
  <si>
    <t>VER.BRACE</t>
  </si>
  <si>
    <t>COLUMN 1CO2/H150*150*7*10*4168</t>
    <phoneticPr fontId="3" type="noConversion"/>
  </si>
  <si>
    <t xml:space="preserve"> 1CO2              </t>
  </si>
  <si>
    <t>COLUMN 1CO7/H150*150*7*10*4480</t>
    <phoneticPr fontId="3" type="noConversion"/>
  </si>
  <si>
    <t xml:space="preserve"> 1CO7              </t>
  </si>
  <si>
    <t>COLUMN 1CO8/H150*150*7*10*4480</t>
    <phoneticPr fontId="3" type="noConversion"/>
  </si>
  <si>
    <t xml:space="preserve"> 1CO8              </t>
  </si>
  <si>
    <t>COLUMN 1CO11/H150*150*7*10*4168</t>
    <phoneticPr fontId="3" type="noConversion"/>
  </si>
  <si>
    <t xml:space="preserve"> 1CO11             </t>
  </si>
  <si>
    <t>#24</t>
    <phoneticPr fontId="3" type="noConversion"/>
  </si>
  <si>
    <t>COLUMN &amp; VER.BRACE</t>
    <phoneticPr fontId="3" type="noConversion"/>
  </si>
  <si>
    <t>PGU-DE-044-FFC-005</t>
    <phoneticPr fontId="3" type="noConversion"/>
  </si>
  <si>
    <t>VER.BRACE 1VB4/L90*90*7*2372</t>
    <phoneticPr fontId="3" type="noConversion"/>
  </si>
  <si>
    <t xml:space="preserve"> 1VB4              </t>
  </si>
  <si>
    <t>VER.BRACE 1VB5/L90*90*7*2268</t>
    <phoneticPr fontId="3" type="noConversion"/>
  </si>
  <si>
    <t xml:space="preserve"> 1VB5              </t>
  </si>
  <si>
    <t>COLUMN 1CO4/H150*150*7*10*4168</t>
    <phoneticPr fontId="3" type="noConversion"/>
  </si>
  <si>
    <t xml:space="preserve"> 1CO4              </t>
  </si>
  <si>
    <t>COLUMN 1CO9/H150*150*7*10*4168</t>
    <phoneticPr fontId="3" type="noConversion"/>
  </si>
  <si>
    <t xml:space="preserve"> 1CO9              </t>
  </si>
  <si>
    <t>#27</t>
    <phoneticPr fontId="3" type="noConversion"/>
  </si>
  <si>
    <t>PGU-DE-044-FFC-006</t>
    <phoneticPr fontId="3" type="noConversion"/>
  </si>
  <si>
    <t>DUCT SUPPORT 1DS1/H150*150*7*10*748</t>
    <phoneticPr fontId="3" type="noConversion"/>
  </si>
  <si>
    <t xml:space="preserve"> 1DS1              </t>
  </si>
  <si>
    <t>DUCT SUPPORT</t>
    <phoneticPr fontId="3" type="noConversion"/>
  </si>
  <si>
    <t>DUCT SUPPORT 1DS2/H150*150*7*10*1515</t>
    <phoneticPr fontId="3" type="noConversion"/>
  </si>
  <si>
    <t xml:space="preserve"> 1DS2              </t>
  </si>
  <si>
    <t>DUCT SUPPORT 1DS3/H150*150*7*10*615</t>
    <phoneticPr fontId="3" type="noConversion"/>
  </si>
  <si>
    <t xml:space="preserve"> 1DS3              </t>
  </si>
  <si>
    <t>DUCT SUPPORT 1DS4/H150*150*7*10*2300</t>
    <phoneticPr fontId="3" type="noConversion"/>
  </si>
  <si>
    <t xml:space="preserve"> 1DS4              </t>
  </si>
  <si>
    <t>JB.SUPPORT 1JBS1/H150*150*7*10*1488</t>
    <phoneticPr fontId="3" type="noConversion"/>
  </si>
  <si>
    <t xml:space="preserve"> 1JBS1             </t>
  </si>
  <si>
    <t>JBSUPPORT</t>
    <phoneticPr fontId="3" type="noConversion"/>
  </si>
  <si>
    <t>PLATFORM SUPPORT 1PFS1/H150*150*7*10*1515</t>
    <phoneticPr fontId="3" type="noConversion"/>
  </si>
  <si>
    <t xml:space="preserve"> 1PFS1             </t>
  </si>
  <si>
    <t>PLATFORMSUPPORT</t>
  </si>
  <si>
    <t>PLATFORM SUPPORT 1PFS2/H150*150*7*10*2300</t>
    <phoneticPr fontId="3" type="noConversion"/>
  </si>
  <si>
    <t xml:space="preserve"> 1PFS2             </t>
  </si>
  <si>
    <t>PLATFORM SUPPORT 1PFS3/H150*150*7*10*2300</t>
    <phoneticPr fontId="3" type="noConversion"/>
  </si>
  <si>
    <t xml:space="preserve"> 1PFS3             </t>
  </si>
  <si>
    <t>PLATFORM SUPPORT 1PFS4/H150*150*7*10*1120</t>
    <phoneticPr fontId="3" type="noConversion"/>
  </si>
  <si>
    <t xml:space="preserve"> 1PFS4             </t>
  </si>
  <si>
    <t>PLATFORM SUPPORT 1PFS5/H150*150*7*10*1515</t>
    <phoneticPr fontId="3" type="noConversion"/>
  </si>
  <si>
    <t xml:space="preserve"> 1PFS5             </t>
  </si>
  <si>
    <t>#38</t>
    <phoneticPr fontId="3" type="noConversion"/>
  </si>
  <si>
    <t>DUCTSUPPORT</t>
    <phoneticPr fontId="3" type="noConversion"/>
  </si>
  <si>
    <t>PGU-DE-044-FFC-007</t>
    <phoneticPr fontId="3" type="noConversion"/>
  </si>
  <si>
    <t>FAN GUARD 1FG1/Ø4*1844*4747</t>
    <phoneticPr fontId="3" type="noConversion"/>
  </si>
  <si>
    <t xml:space="preserve"> 1FG1              </t>
  </si>
  <si>
    <t>FAN GUARD</t>
    <phoneticPr fontId="3" type="noConversion"/>
  </si>
  <si>
    <t>FAN GUARD 1FG1/Ø4*380*1178</t>
    <phoneticPr fontId="3" type="noConversion"/>
  </si>
  <si>
    <t>#36</t>
    <phoneticPr fontId="3" type="noConversion"/>
  </si>
  <si>
    <t>PGU-DE-044-FFC-008</t>
    <phoneticPr fontId="3" type="noConversion"/>
  </si>
  <si>
    <t>FAN GUARD 1FG1/Ø4*460*1178</t>
    <phoneticPr fontId="3" type="noConversion"/>
  </si>
  <si>
    <t>FAN GUARD 1FG1/Ø4*600*1178</t>
    <phoneticPr fontId="3" type="noConversion"/>
  </si>
  <si>
    <t>FAN GUARD 1FG1/Ø4*875*1178</t>
    <phoneticPr fontId="3" type="noConversion"/>
  </si>
  <si>
    <t>FAN GUARD 1FG1/Ø4*350*1178</t>
    <phoneticPr fontId="3" type="noConversion"/>
  </si>
  <si>
    <t>SHIMPLATE 1SM1/PL6*150*700</t>
    <phoneticPr fontId="3" type="noConversion"/>
  </si>
  <si>
    <t xml:space="preserve"> 1SM1              </t>
  </si>
  <si>
    <t>SHIMPLATE</t>
    <phoneticPr fontId="3" type="noConversion"/>
  </si>
  <si>
    <t>SHIMPLATE 1SM2/PL4.5*150*700</t>
    <phoneticPr fontId="3" type="noConversion"/>
  </si>
  <si>
    <t xml:space="preserve"> 1SM2              </t>
  </si>
  <si>
    <t>SHIMPLATE 1SM3/PL3*150*700</t>
    <phoneticPr fontId="3" type="noConversion"/>
  </si>
  <si>
    <t xml:space="preserve"> 1SM3              </t>
  </si>
  <si>
    <t>#51</t>
    <phoneticPr fontId="3" type="noConversion"/>
  </si>
  <si>
    <t>PGU-DE-044-FFC-009</t>
    <phoneticPr fontId="3" type="noConversion"/>
  </si>
  <si>
    <t>FAN RING  1FR1/PL3*700*3917</t>
    <phoneticPr fontId="3" type="noConversion"/>
  </si>
  <si>
    <t xml:space="preserve"> 1FR1          </t>
  </si>
  <si>
    <t>FAN RING</t>
    <phoneticPr fontId="3" type="noConversion"/>
  </si>
  <si>
    <t>FIXING PLATE 1FP1/PL4.5*100*709</t>
    <phoneticPr fontId="3" type="noConversion"/>
  </si>
  <si>
    <t>1FP1</t>
    <phoneticPr fontId="3" type="noConversion"/>
  </si>
  <si>
    <t>FIXING PLATE</t>
    <phoneticPr fontId="3" type="noConversion"/>
  </si>
  <si>
    <t>INLETBELL 1IB1/16FEET</t>
    <phoneticPr fontId="3" type="noConversion"/>
  </si>
  <si>
    <t xml:space="preserve"> 1IB1              </t>
  </si>
  <si>
    <t>INLET BELL</t>
    <phoneticPr fontId="3" type="noConversion"/>
  </si>
  <si>
    <t>#9</t>
    <phoneticPr fontId="3" type="noConversion"/>
  </si>
  <si>
    <t>FAN RING &amp; FIXING PLATE</t>
    <phoneticPr fontId="3" type="noConversion"/>
  </si>
  <si>
    <t>PGU-DE-044-FFC-010</t>
    <phoneticPr fontId="3" type="noConversion"/>
  </si>
  <si>
    <t>FAN RING 1FR1/PL3*700*3917</t>
    <phoneticPr fontId="3" type="noConversion"/>
  </si>
  <si>
    <t>#10</t>
    <phoneticPr fontId="3" type="noConversion"/>
  </si>
  <si>
    <t>PGU-DE-044-FFC-011</t>
    <phoneticPr fontId="3" type="noConversion"/>
  </si>
  <si>
    <t>GEAR BASE 1GB1/PL45*1000*1850</t>
    <phoneticPr fontId="3" type="noConversion"/>
  </si>
  <si>
    <t xml:space="preserve"> 1GB1              </t>
  </si>
  <si>
    <t>GEAR BASE</t>
    <phoneticPr fontId="3" type="noConversion"/>
  </si>
  <si>
    <t>#56</t>
    <phoneticPr fontId="3" type="noConversion"/>
  </si>
  <si>
    <t>PGU-DE-044-FFC-012</t>
    <phoneticPr fontId="3" type="noConversion"/>
  </si>
  <si>
    <t>#57</t>
    <phoneticPr fontId="3" type="noConversion"/>
  </si>
  <si>
    <t>PGU-DE-044-FFC-013</t>
    <phoneticPr fontId="3" type="noConversion"/>
  </si>
  <si>
    <t>#58</t>
    <phoneticPr fontId="3" type="noConversion"/>
  </si>
  <si>
    <t>PGU-DE-044-FFC-014</t>
    <phoneticPr fontId="3" type="noConversion"/>
  </si>
  <si>
    <t>GEAR BASE SUPPORT 1GBS1/H194*150*6*9*1214</t>
    <phoneticPr fontId="3" type="noConversion"/>
  </si>
  <si>
    <t xml:space="preserve"> 1GBS1             </t>
  </si>
  <si>
    <t>GEAR BASE SUPPORT</t>
    <phoneticPr fontId="3" type="noConversion"/>
  </si>
  <si>
    <t>HOR.BRACE 1HB1/L90*90*7*1767</t>
    <phoneticPr fontId="3" type="noConversion"/>
  </si>
  <si>
    <t xml:space="preserve"> 1HB1              </t>
  </si>
  <si>
    <t>HOR.BRACE</t>
  </si>
  <si>
    <t>VER.BRACE 1VB1/L90*90*7*1908</t>
    <phoneticPr fontId="3" type="noConversion"/>
  </si>
  <si>
    <t xml:space="preserve"> 1VB1              </t>
  </si>
  <si>
    <t>VER.BRACE 1VB2/L90*90*7*494</t>
    <phoneticPr fontId="3" type="noConversion"/>
  </si>
  <si>
    <t xml:space="preserve"> 1VB2              </t>
  </si>
  <si>
    <t>VER.BRACE 1VB3/L90*90*7*1342</t>
    <phoneticPr fontId="3" type="noConversion"/>
  </si>
  <si>
    <t xml:space="preserve"> 1VB3              </t>
  </si>
  <si>
    <t>#35</t>
    <phoneticPr fontId="3" type="noConversion"/>
  </si>
  <si>
    <t>GEAR BASE SUPPORT &amp; HOR.BRACE &amp; VER.BRACE</t>
    <phoneticPr fontId="3" type="noConversion"/>
  </si>
  <si>
    <t>PGU-DE-044-FFC-015</t>
    <phoneticPr fontId="3" type="noConversion"/>
  </si>
  <si>
    <t>GRATING 1GR2/GR32*965*780</t>
    <phoneticPr fontId="3" type="noConversion"/>
  </si>
  <si>
    <t xml:space="preserve"> 1GR2              </t>
  </si>
  <si>
    <t>GRATING</t>
  </si>
  <si>
    <t>#39</t>
    <phoneticPr fontId="3" type="noConversion"/>
  </si>
  <si>
    <t>GRATING</t>
    <phoneticPr fontId="3" type="noConversion"/>
  </si>
  <si>
    <t>PGU-DE-044-FFC-016</t>
    <phoneticPr fontId="3" type="noConversion"/>
  </si>
  <si>
    <t>GRATING 1GR1/GR32*845*780</t>
    <phoneticPr fontId="3" type="noConversion"/>
  </si>
  <si>
    <t xml:space="preserve"> 1GR1              </t>
  </si>
  <si>
    <t>GRATING 1GR3/GR32*815*780</t>
    <phoneticPr fontId="3" type="noConversion"/>
  </si>
  <si>
    <t xml:space="preserve"> 1GR3              </t>
  </si>
  <si>
    <t>GRATING 1GR4/GR32*875*780</t>
    <phoneticPr fontId="3" type="noConversion"/>
  </si>
  <si>
    <t xml:space="preserve"> 1GR4              </t>
  </si>
  <si>
    <t>#42</t>
    <phoneticPr fontId="3" type="noConversion"/>
  </si>
  <si>
    <t>PGU-DE-044-FFC-017</t>
    <phoneticPr fontId="3" type="noConversion"/>
  </si>
  <si>
    <t>HANDRAIL 1HR1/PIPE1-1/2"SCH40*1218</t>
    <phoneticPr fontId="3" type="noConversion"/>
  </si>
  <si>
    <t xml:space="preserve"> 1HR1              </t>
  </si>
  <si>
    <t>HANDRAIL</t>
  </si>
  <si>
    <t>HANDRAIL 1HR5/PIPE1-1/2"SCH40*1218</t>
    <phoneticPr fontId="3" type="noConversion"/>
  </si>
  <si>
    <t xml:space="preserve"> 1HR5              </t>
  </si>
  <si>
    <t>HANDRAIL 1HR9/PIPE2"SCH40*4798</t>
    <phoneticPr fontId="3" type="noConversion"/>
  </si>
  <si>
    <t xml:space="preserve"> 1HR9              </t>
  </si>
  <si>
    <t>HANDRAIL 1HR10/FB100*6*4639</t>
    <phoneticPr fontId="3" type="noConversion"/>
  </si>
  <si>
    <t xml:space="preserve"> 1HR10             </t>
  </si>
  <si>
    <t>HANDRAIL 1HR11/PIPE2"SCH40*4539</t>
    <phoneticPr fontId="3" type="noConversion"/>
  </si>
  <si>
    <t xml:space="preserve"> 1HR11             </t>
  </si>
  <si>
    <t>#47</t>
    <phoneticPr fontId="3" type="noConversion"/>
  </si>
  <si>
    <t>HANDRAIL</t>
    <phoneticPr fontId="3" type="noConversion"/>
  </si>
  <si>
    <t>PGU-DE-044-FFC-018</t>
    <phoneticPr fontId="3" type="noConversion"/>
  </si>
  <si>
    <t>HANDRAIL 1HR2/PIPE2"SCH40*2819</t>
    <phoneticPr fontId="3" type="noConversion"/>
  </si>
  <si>
    <t xml:space="preserve"> 1HR2              </t>
  </si>
  <si>
    <t>HANDRAIL 1HR3/PIPE2"SCH40*3818</t>
    <phoneticPr fontId="3" type="noConversion"/>
  </si>
  <si>
    <t xml:space="preserve"> 1HR3              </t>
  </si>
  <si>
    <t>HANDRAIL 1HR4/PIPE2"SCH40*2819</t>
    <phoneticPr fontId="3" type="noConversion"/>
  </si>
  <si>
    <t xml:space="preserve"> 1HR4              </t>
  </si>
  <si>
    <t>HANDRAIL 1HR6/PIPE2"SCH40*3460</t>
    <phoneticPr fontId="3" type="noConversion"/>
  </si>
  <si>
    <t xml:space="preserve"> 1HR6              </t>
  </si>
  <si>
    <t>HANDRAIL 1HR8/PIPE2"SCH40*3460</t>
    <phoneticPr fontId="3" type="noConversion"/>
  </si>
  <si>
    <t xml:space="preserve"> 1HR8              </t>
  </si>
  <si>
    <t>SAFETY GATE 1SG1/PIPE1-1/2"SCH40*2682</t>
    <phoneticPr fontId="3" type="noConversion"/>
  </si>
  <si>
    <t xml:space="preserve"> 1SG1              </t>
  </si>
  <si>
    <t>SAFETY GATE</t>
    <phoneticPr fontId="3" type="noConversion"/>
  </si>
  <si>
    <t>SAFETY GATE 1SG2/PIPE1-1/2"SCH40*2682</t>
    <phoneticPr fontId="3" type="noConversion"/>
  </si>
  <si>
    <t xml:space="preserve"> 1SG2              </t>
  </si>
  <si>
    <t>SAFETYGATE</t>
    <phoneticPr fontId="3" type="noConversion"/>
  </si>
  <si>
    <t>#49</t>
    <phoneticPr fontId="3" type="noConversion"/>
  </si>
  <si>
    <t>HANDRAIL &amp; SAFETY GATE</t>
    <phoneticPr fontId="3" type="noConversion"/>
  </si>
  <si>
    <t>PGU-DE-044-FFC-019</t>
    <phoneticPr fontId="3" type="noConversion"/>
  </si>
  <si>
    <t>LADDER 1LD1/FB65*12*5115</t>
    <phoneticPr fontId="3" type="noConversion"/>
  </si>
  <si>
    <t xml:space="preserve"> 1LD1              </t>
  </si>
  <si>
    <t>LADDER</t>
    <phoneticPr fontId="3" type="noConversion"/>
  </si>
  <si>
    <t>LADDER SUPPOT 1LDS1/[150*75*6.5*10*775</t>
    <phoneticPr fontId="3" type="noConversion"/>
  </si>
  <si>
    <t xml:space="preserve"> 1LDS1             </t>
  </si>
  <si>
    <t>LADDER SUPPOT</t>
    <phoneticPr fontId="3" type="noConversion"/>
  </si>
  <si>
    <t>LADDER 1LD2/FB65*12*5115</t>
    <phoneticPr fontId="3" type="noConversion"/>
  </si>
  <si>
    <t xml:space="preserve"> 1LD2              </t>
  </si>
  <si>
    <t>LADDER</t>
  </si>
  <si>
    <t>LADDERSUPPOT</t>
    <phoneticPr fontId="3" type="noConversion"/>
  </si>
  <si>
    <t>#44</t>
    <phoneticPr fontId="3" type="noConversion"/>
  </si>
  <si>
    <t>LADDER,LADDER SUPPOT &amp; SAFETY GATE</t>
    <phoneticPr fontId="3" type="noConversion"/>
  </si>
  <si>
    <t>PGU-DE-044-FFC-020</t>
    <phoneticPr fontId="3" type="noConversion"/>
  </si>
  <si>
    <t>#45</t>
    <phoneticPr fontId="3" type="noConversion"/>
  </si>
  <si>
    <t>PGU-DE-044-FFC-021</t>
    <phoneticPr fontId="3" type="noConversion"/>
  </si>
  <si>
    <t>TOP BEAM 1TB6/H300*150*6.5*9*6880</t>
    <phoneticPr fontId="3" type="noConversion"/>
  </si>
  <si>
    <t xml:space="preserve"> 1TB6              </t>
  </si>
  <si>
    <t>MIDDLE BEAM 1MB1/H300*150*6.5*9*6880</t>
    <phoneticPr fontId="3" type="noConversion"/>
  </si>
  <si>
    <t xml:space="preserve"> 1MB1              </t>
  </si>
  <si>
    <t>MIDDLEBEAM</t>
  </si>
  <si>
    <t>MIDDLE BEAM 1MB3/H300*150*6.5*9*6880</t>
    <phoneticPr fontId="3" type="noConversion"/>
  </si>
  <si>
    <t xml:space="preserve"> 1MB3              </t>
  </si>
  <si>
    <t>#17</t>
    <phoneticPr fontId="3" type="noConversion"/>
  </si>
  <si>
    <t>MIDDLE BEAM &amp; TOP BEAM</t>
    <phoneticPr fontId="3" type="noConversion"/>
  </si>
  <si>
    <t>PGU-DE-044-FFC-022</t>
    <phoneticPr fontId="3" type="noConversion"/>
  </si>
  <si>
    <t>MACHINERY MOUNT 1MM1/H300*150*6.5*9*6090</t>
    <phoneticPr fontId="3" type="noConversion"/>
  </si>
  <si>
    <t xml:space="preserve"> 1MM1              </t>
  </si>
  <si>
    <t>MACHINERYMOUNT</t>
    <phoneticPr fontId="3" type="noConversion"/>
  </si>
  <si>
    <t>MACHINERY MOUNT 1MM2/H300*150*6.5*9*6090</t>
    <phoneticPr fontId="3" type="noConversion"/>
  </si>
  <si>
    <t xml:space="preserve"> 1MM2              </t>
  </si>
  <si>
    <t>TOP BEAM 1TB2/H300*150*6.5*9*6085</t>
    <phoneticPr fontId="3" type="noConversion"/>
  </si>
  <si>
    <t xml:space="preserve"> 1TB2              </t>
  </si>
  <si>
    <t>TOP BEAM 1TB3/H300*150*6.5*9*6085</t>
    <phoneticPr fontId="3" type="noConversion"/>
  </si>
  <si>
    <t xml:space="preserve"> 1TB3              </t>
  </si>
  <si>
    <t>TOP BEAM 1TB8/H300*150*6.5*9*6085</t>
    <phoneticPr fontId="3" type="noConversion"/>
  </si>
  <si>
    <t xml:space="preserve"> 1TB8              </t>
  </si>
  <si>
    <t>TOP BEAM 1TB9/H300*150*6.5*9*6085</t>
    <phoneticPr fontId="3" type="noConversion"/>
  </si>
  <si>
    <t xml:space="preserve"> 1TB9              </t>
  </si>
  <si>
    <t>#15</t>
    <phoneticPr fontId="3" type="noConversion"/>
  </si>
  <si>
    <t>MACHINERY MOUNT &amp; TOP BEAM</t>
    <phoneticPr fontId="3" type="noConversion"/>
  </si>
  <si>
    <t>PGU-DE-044-FFC-023</t>
    <phoneticPr fontId="3" type="noConversion"/>
  </si>
  <si>
    <t>#16</t>
    <phoneticPr fontId="3" type="noConversion"/>
  </si>
  <si>
    <t>PGU-DE-044-FFC-024</t>
    <phoneticPr fontId="3" type="noConversion"/>
  </si>
  <si>
    <t>PLATFORM 1PF1/[200*80*7.5*11*8535</t>
    <phoneticPr fontId="3" type="noConversion"/>
  </si>
  <si>
    <t xml:space="preserve"> 1PF1              </t>
  </si>
  <si>
    <t>PLATFORM</t>
  </si>
  <si>
    <t>PLATFORM 1PF2/[200*80*7.5*11*7630</t>
    <phoneticPr fontId="3" type="noConversion"/>
  </si>
  <si>
    <t xml:space="preserve"> 1PF2              </t>
  </si>
  <si>
    <t>PLATFORM 1PF4/[200*80*7.5*11*7035</t>
    <phoneticPr fontId="3" type="noConversion"/>
  </si>
  <si>
    <t xml:space="preserve"> 1PF4              </t>
  </si>
  <si>
    <t>PLATFORM 1PF5/[200*80*7.5*11*7035</t>
    <phoneticPr fontId="3" type="noConversion"/>
  </si>
  <si>
    <t xml:space="preserve"> 1PF5              </t>
  </si>
  <si>
    <t>PLATFORM 1PF7/[200*80*7.5*11*8535</t>
    <phoneticPr fontId="3" type="noConversion"/>
  </si>
  <si>
    <t xml:space="preserve"> 1PF7              </t>
  </si>
  <si>
    <t>#5</t>
    <phoneticPr fontId="3" type="noConversion"/>
  </si>
  <si>
    <t>PLATFORM</t>
    <phoneticPr fontId="3" type="noConversion"/>
  </si>
  <si>
    <t>PGU-DE-044-FFC-025</t>
    <phoneticPr fontId="3" type="noConversion"/>
  </si>
  <si>
    <t>PLATFORM 1PF3/[200*80*7.5*11*8535</t>
    <phoneticPr fontId="3" type="noConversion"/>
  </si>
  <si>
    <t xml:space="preserve"> 1PF3              </t>
  </si>
  <si>
    <t>PLATFORM 1PF6/[200*80*7.5*11*8535</t>
    <phoneticPr fontId="3" type="noConversion"/>
  </si>
  <si>
    <t xml:space="preserve"> 1PF6              </t>
  </si>
  <si>
    <t>PLATFORM 1PF8/[200*80*7.5*11*7035</t>
    <phoneticPr fontId="3" type="noConversion"/>
  </si>
  <si>
    <t xml:space="preserve"> 1PF8              </t>
  </si>
  <si>
    <t>PLATFORM 1PF9/[200*80*7.5*11*7035</t>
    <phoneticPr fontId="3" type="noConversion"/>
  </si>
  <si>
    <t xml:space="preserve"> 1PF9              </t>
  </si>
  <si>
    <t>PLATFORM 1PF10/[200*80*7.5*11*7630</t>
    <phoneticPr fontId="3" type="noConversion"/>
  </si>
  <si>
    <t xml:space="preserve"> 1PF10             </t>
  </si>
  <si>
    <t>#6</t>
    <phoneticPr fontId="3" type="noConversion"/>
  </si>
  <si>
    <t>PGU-DE-044-FFC-026</t>
    <phoneticPr fontId="3" type="noConversion"/>
  </si>
  <si>
    <t>TOP BEAM 1TB1/H300*150*6.5*9*7240</t>
    <phoneticPr fontId="3" type="noConversion"/>
  </si>
  <si>
    <t xml:space="preserve"> 1TB1              </t>
  </si>
  <si>
    <t>TOP BEAM 1TB10/H300*150*6.5*9*7240</t>
    <phoneticPr fontId="3" type="noConversion"/>
  </si>
  <si>
    <t xml:space="preserve"> 1TB10             </t>
    <phoneticPr fontId="3" type="noConversion"/>
  </si>
  <si>
    <t>MIDDLE BEAM 1MB2/H300*150*6.5*9*6880</t>
    <phoneticPr fontId="3" type="noConversion"/>
  </si>
  <si>
    <t xml:space="preserve"> 1MB2              </t>
  </si>
  <si>
    <t>MIDDLE BEAM 1MB4/H300*150*6.5*9*6880</t>
    <phoneticPr fontId="3" type="noConversion"/>
  </si>
  <si>
    <t xml:space="preserve"> 1MB4              </t>
  </si>
  <si>
    <t>MIDDLE BEAM 1MB5/H300*150*6.5*9*6880</t>
    <phoneticPr fontId="3" type="noConversion"/>
  </si>
  <si>
    <t xml:space="preserve"> 1MB5              </t>
  </si>
  <si>
    <t>MIDDLE BEAM 1MB6/H300*150*6.5*9*6880</t>
    <phoneticPr fontId="3" type="noConversion"/>
  </si>
  <si>
    <t xml:space="preserve"> 1MB6              </t>
  </si>
  <si>
    <t>MIDDLE BEAM 1MB7/H300*150*6.5*9*6880</t>
    <phoneticPr fontId="3" type="noConversion"/>
  </si>
  <si>
    <t xml:space="preserve"> 1MB7              </t>
  </si>
  <si>
    <t>MIDDLE BEAM 1MB8/H300*150*6.5*9*6880</t>
    <phoneticPr fontId="3" type="noConversion"/>
  </si>
  <si>
    <t xml:space="preserve"> 1MB8              </t>
  </si>
  <si>
    <t>#19</t>
    <phoneticPr fontId="3" type="noConversion"/>
  </si>
  <si>
    <t>TOP BEAM &amp; MIDDLE BEAM</t>
    <phoneticPr fontId="3" type="noConversion"/>
  </si>
  <si>
    <t>PGU-DE-044-FFC-027</t>
    <phoneticPr fontId="3" type="noConversion"/>
  </si>
  <si>
    <t>#30</t>
    <phoneticPr fontId="3" type="noConversion"/>
  </si>
  <si>
    <t>TOP BEAM</t>
    <phoneticPr fontId="3" type="noConversion"/>
  </si>
  <si>
    <t>PGU-DE-044-FFC-028</t>
    <phoneticPr fontId="3" type="noConversion"/>
  </si>
  <si>
    <t>TOP BEAM 1TB4/H194*150*6*9*3360</t>
    <phoneticPr fontId="3" type="noConversion"/>
  </si>
  <si>
    <t xml:space="preserve"> 1TB4              </t>
  </si>
  <si>
    <t>GEAR BASE SUPPORT 1GBS2/H194*150*6*9*1214</t>
    <phoneticPr fontId="3" type="noConversion"/>
  </si>
  <si>
    <t xml:space="preserve"> 1GBS2             </t>
  </si>
  <si>
    <t>GEAR BASE SUPPORT 1GBS3/H194*150*6*9*2050</t>
    <phoneticPr fontId="3" type="noConversion"/>
  </si>
  <si>
    <t xml:space="preserve"> 1GBS3             </t>
  </si>
  <si>
    <t>GEAR BASE SUPPORT 1GBS4/H194*150*6*9*2050</t>
    <phoneticPr fontId="3" type="noConversion"/>
  </si>
  <si>
    <t xml:space="preserve"> 1GBS4             </t>
  </si>
  <si>
    <t>DUCT SUPPORT 1DS5/H150*150*7*10*950</t>
    <phoneticPr fontId="3" type="noConversion"/>
  </si>
  <si>
    <t xml:space="preserve"> 1DS5              </t>
  </si>
  <si>
    <t>#32</t>
    <phoneticPr fontId="3" type="noConversion"/>
  </si>
  <si>
    <t>TOPBEAM / GEAR BASE SUPPORT / DUCT SUPPORT</t>
    <phoneticPr fontId="3" type="noConversion"/>
  </si>
  <si>
    <t>PGU-DE-044-FFC-029</t>
    <phoneticPr fontId="3" type="noConversion"/>
  </si>
  <si>
    <t>HOR.BRACE 1HB2/L90*90*7*3181</t>
    <phoneticPr fontId="3" type="noConversion"/>
  </si>
  <si>
    <t xml:space="preserve"> 1HB2              </t>
    <phoneticPr fontId="3" type="noConversion"/>
  </si>
  <si>
    <t>#29</t>
    <phoneticPr fontId="3" type="noConversion"/>
  </si>
  <si>
    <t>VER.BRACE</t>
    <phoneticPr fontId="3" type="noConversion"/>
  </si>
  <si>
    <t>PGU-DE-044-FFC-030</t>
    <phoneticPr fontId="3" type="noConversion"/>
  </si>
  <si>
    <t>SELF DRILLING SCREW BOLT/PW/M6*25/A307-A</t>
  </si>
  <si>
    <t>SET</t>
    <phoneticPr fontId="3" type="noConversion"/>
  </si>
  <si>
    <t>-</t>
    <phoneticPr fontId="3" type="noConversion"/>
  </si>
  <si>
    <t>ASSEMBLEY BOLT</t>
    <phoneticPr fontId="3" type="noConversion"/>
  </si>
  <si>
    <t>HEX.B/N/2PW  /M8*35/A307-A</t>
  </si>
  <si>
    <t>HEX.B/N/PW/SW  /M8*35/SS304</t>
  </si>
  <si>
    <t>HEX.B/N/2PW/ST.W (5txI.D15xO.D24)/M12*45/A307-A</t>
  </si>
  <si>
    <t>HEX.B/N/2PW/SW /M12*45/A307-A</t>
  </si>
  <si>
    <t>S-HEAD.B/N/SP.W/M12*45/A307-A</t>
  </si>
  <si>
    <t>HEX.B/N/2PW/M12*40/A307-A</t>
  </si>
  <si>
    <t>HEX.B/2N/2PW/ST.W (5txI.D15xO.D24)/M12*60/A307-A</t>
  </si>
  <si>
    <t>HEX.B/N/PW/SW /M12*75/A307-A</t>
  </si>
  <si>
    <t>HEX.B/N/2PW/M16*45/A307-A</t>
  </si>
  <si>
    <t>HEX.B/N/2PW /M16*50/A307-A</t>
  </si>
  <si>
    <t>HEX.B/N/2PW/M16*55/A307-A</t>
  </si>
  <si>
    <t>HEX.B/N/PW/SW/M16*170/A307-A</t>
  </si>
  <si>
    <t>U-BOLT/4N/1-1/2"*M10 C TYPE/A307-A</t>
  </si>
  <si>
    <t>HEX.B/M20*130 (FULL THREAD)/A325-1</t>
  </si>
  <si>
    <t>HEX.B/2N/SW/2STW(6txI.D22xO.D40)/M20*120 (FULL THREAD)/A325-1</t>
  </si>
  <si>
    <t>HEX.B/N/2PW/M20*55/A325-1</t>
  </si>
  <si>
    <t>HEX.B/N/2PW /M20*60/A325-1</t>
  </si>
  <si>
    <t>HEX.B/N/PW/SQ (5tx40x40)/M20*55/A325-1</t>
  </si>
  <si>
    <t>HEX.B/N/PW/TW/M20*60/A325-1</t>
  </si>
  <si>
    <t>HEX.B/2N/PW/STW(6txID24xO.D44)/M22*165 (FULL THREAD)/A325-1</t>
  </si>
  <si>
    <t>SADDLE &amp; LOWER CLIP FOR GRATING SETTING</t>
    <phoneticPr fontId="3" type="noConversion"/>
  </si>
  <si>
    <t>HEX.B/N FOR GRATING SETTING</t>
    <phoneticPr fontId="3" type="noConversion"/>
  </si>
  <si>
    <t>#100</t>
    <phoneticPr fontId="3" type="noConversion"/>
  </si>
  <si>
    <t>BOLT,NUT,WASHER FOR STRUCTURE ASS'Y(BLOCK #1)</t>
    <phoneticPr fontId="3" type="noConversion"/>
  </si>
  <si>
    <t>PGU-DE-044-FFC-031</t>
    <phoneticPr fontId="3" type="noConversion"/>
  </si>
  <si>
    <t>CHAMBER(DECK PLATE) 2DP1/PL4.5*817*3605</t>
    <phoneticPr fontId="3" type="noConversion"/>
  </si>
  <si>
    <t>2DP1</t>
  </si>
  <si>
    <t>CHAMBER</t>
  </si>
  <si>
    <t>CHAMBER(SIDE PANEL) 2SP1/PL3*877*3482</t>
    <phoneticPr fontId="3" type="noConversion"/>
  </si>
  <si>
    <t>2SP1</t>
    <phoneticPr fontId="3" type="noConversion"/>
  </si>
  <si>
    <t>BLOCK #2</t>
    <phoneticPr fontId="3" type="noConversion"/>
  </si>
  <si>
    <t>CHAMBER(SIDE PANEL) 2SP3/PL3*1170*3090</t>
    <phoneticPr fontId="3" type="noConversion"/>
  </si>
  <si>
    <t>2SP3</t>
    <phoneticPr fontId="3" type="noConversion"/>
  </si>
  <si>
    <t>CHAMBER(SIDE PANEL) 2SP6/PL3*971*2511</t>
    <phoneticPr fontId="3" type="noConversion"/>
  </si>
  <si>
    <t>2SP6</t>
    <phoneticPr fontId="3" type="noConversion"/>
  </si>
  <si>
    <t>CHAMBER(SIDE PANEL) 2SP7/PL3*1057*2272</t>
    <phoneticPr fontId="3" type="noConversion"/>
  </si>
  <si>
    <t>2SP7</t>
    <phoneticPr fontId="3" type="noConversion"/>
  </si>
  <si>
    <t>CHAMBER</t>
    <phoneticPr fontId="3" type="noConversion"/>
  </si>
  <si>
    <t>CHAMBER(STIFFINER PLATE) 2ST1/PL4.5*210*520</t>
    <phoneticPr fontId="3" type="noConversion"/>
  </si>
  <si>
    <t>2ST1</t>
  </si>
  <si>
    <t>CHAMBER(STIFFINER PLATE) 2ST2/PL4.5*210*850</t>
    <phoneticPr fontId="3" type="noConversion"/>
  </si>
  <si>
    <t>2ST2</t>
  </si>
  <si>
    <t>LIGHTING SUPPORT 2LS1/PL6*150*440</t>
    <phoneticPr fontId="3" type="noConversion"/>
  </si>
  <si>
    <t>2LS1</t>
  </si>
  <si>
    <t>COUPLING COVER 2CP1/PL3*400*1106</t>
    <phoneticPr fontId="3" type="noConversion"/>
  </si>
  <si>
    <t>2CP1</t>
  </si>
  <si>
    <t>#3</t>
    <phoneticPr fontId="3" type="noConversion"/>
  </si>
  <si>
    <t>CHAMBER(SIDE PANEL,DECK PLATE,STIFFINER PLATE)</t>
    <phoneticPr fontId="3" type="noConversion"/>
  </si>
  <si>
    <t>PGU-DE-044-FFC-032</t>
    <phoneticPr fontId="3" type="noConversion"/>
  </si>
  <si>
    <t>CHAMBER(SIDE PANEL) 2SP2/PL3*877*3482</t>
    <phoneticPr fontId="3" type="noConversion"/>
  </si>
  <si>
    <t>2SP2</t>
    <phoneticPr fontId="3" type="noConversion"/>
  </si>
  <si>
    <t>CHAMBER(SIDE PANEL) 2SP4/PL3*1170*3090</t>
    <phoneticPr fontId="3" type="noConversion"/>
  </si>
  <si>
    <t>2SP4</t>
    <phoneticPr fontId="3" type="noConversion"/>
  </si>
  <si>
    <t>CHAMBER(SIDE PANEL) 2SP5/PL3*1057*2272</t>
    <phoneticPr fontId="3" type="noConversion"/>
  </si>
  <si>
    <t>2SP5</t>
    <phoneticPr fontId="3" type="noConversion"/>
  </si>
  <si>
    <t>CHAMBER(SIDE PANEL) 2SP8/PL3*971*2511</t>
    <phoneticPr fontId="3" type="noConversion"/>
  </si>
  <si>
    <t>2SP8</t>
    <phoneticPr fontId="3" type="noConversion"/>
  </si>
  <si>
    <t>#4</t>
    <phoneticPr fontId="3" type="noConversion"/>
  </si>
  <si>
    <t>PGU-DE-044-FFC-033</t>
    <phoneticPr fontId="3" type="noConversion"/>
  </si>
  <si>
    <t>TOP BEAM 2TB5/H194*150*6*9*6090</t>
    <phoneticPr fontId="3" type="noConversion"/>
  </si>
  <si>
    <t>2TB5</t>
  </si>
  <si>
    <t>TOP BEAM 2TB7/H194*150*6*9*6090</t>
    <phoneticPr fontId="3" type="noConversion"/>
  </si>
  <si>
    <t>2TB7</t>
  </si>
  <si>
    <t>COLUMN 2CO3/H150*150*7*10*4168</t>
    <phoneticPr fontId="3" type="noConversion"/>
  </si>
  <si>
    <t>2CO3</t>
  </si>
  <si>
    <t>COLUMN 2CO5/H150*150*7*10*4480</t>
    <phoneticPr fontId="3" type="noConversion"/>
  </si>
  <si>
    <t>2CO5</t>
  </si>
  <si>
    <t>COLUMN 2CO7/H150*150*7*10*4480</t>
    <phoneticPr fontId="3" type="noConversion"/>
  </si>
  <si>
    <t>2CO7</t>
  </si>
  <si>
    <t>COLUMN 2CO10/H150*150*7*10*4168</t>
    <phoneticPr fontId="3" type="noConversion"/>
  </si>
  <si>
    <t>2CO10</t>
  </si>
  <si>
    <t>COLUMN 2CO12/H150*150*7*10*4168</t>
    <phoneticPr fontId="3" type="noConversion"/>
  </si>
  <si>
    <t>2CO12</t>
  </si>
  <si>
    <t>#23</t>
    <phoneticPr fontId="3" type="noConversion"/>
  </si>
  <si>
    <t>TOP BEAM &amp; CLOUMN</t>
    <phoneticPr fontId="3" type="noConversion"/>
  </si>
  <si>
    <t>PGU-DE-044-FFC-034</t>
    <phoneticPr fontId="3" type="noConversion"/>
  </si>
  <si>
    <t>VER.BRACE 2VB5/H125*125*6.5*9*4867</t>
    <phoneticPr fontId="3" type="noConversion"/>
  </si>
  <si>
    <t xml:space="preserve"> 2VB5             </t>
    <phoneticPr fontId="3" type="noConversion"/>
  </si>
  <si>
    <t>COLUMN 2CO1/H150*150*7*10*4168</t>
    <phoneticPr fontId="3" type="noConversion"/>
  </si>
  <si>
    <t>2CO1</t>
  </si>
  <si>
    <t>COLUMN</t>
    <phoneticPr fontId="3" type="noConversion"/>
  </si>
  <si>
    <t>COLUMN 2CO2/H150*150*7*10*4168</t>
    <phoneticPr fontId="3" type="noConversion"/>
  </si>
  <si>
    <t>2CO2</t>
  </si>
  <si>
    <t>COLUMN 2CO4/H150*150*7*10*4168</t>
    <phoneticPr fontId="3" type="noConversion"/>
  </si>
  <si>
    <t>2CO4</t>
  </si>
  <si>
    <t>COLUMN 2CO6/H150*150*7*10*4480</t>
    <phoneticPr fontId="3" type="noConversion"/>
  </si>
  <si>
    <t>2CO6</t>
  </si>
  <si>
    <t>COLUMN 2CO8/H150*150*7*10*4480</t>
    <phoneticPr fontId="3" type="noConversion"/>
  </si>
  <si>
    <t>2CO8</t>
  </si>
  <si>
    <t>COLUMN 2CO11/H150*150*7*10*4168</t>
    <phoneticPr fontId="3" type="noConversion"/>
  </si>
  <si>
    <t>2CO11</t>
    <phoneticPr fontId="3" type="noConversion"/>
  </si>
  <si>
    <t>#25</t>
    <phoneticPr fontId="3" type="noConversion"/>
  </si>
  <si>
    <t>PGU-DE-044-FFC-035</t>
    <phoneticPr fontId="3" type="noConversion"/>
  </si>
  <si>
    <t>VER.BRACE 2VB3/L90*90*7*2372</t>
    <phoneticPr fontId="3" type="noConversion"/>
  </si>
  <si>
    <t>2VB3</t>
    <phoneticPr fontId="3" type="noConversion"/>
  </si>
  <si>
    <t>VER.BRACE 2VB4/L90*90*7*2268</t>
    <phoneticPr fontId="3" type="noConversion"/>
  </si>
  <si>
    <t>2VB4</t>
  </si>
  <si>
    <t>COLUMN 2CO9/H150*150*7*10*4168</t>
    <phoneticPr fontId="3" type="noConversion"/>
  </si>
  <si>
    <t>2CO9</t>
  </si>
  <si>
    <t>#26</t>
    <phoneticPr fontId="3" type="noConversion"/>
  </si>
  <si>
    <t>PGU-DE-044-FFC-036</t>
    <phoneticPr fontId="3" type="noConversion"/>
  </si>
  <si>
    <t>HOR.BRACE 2HB2/L90*90*7*3181</t>
    <phoneticPr fontId="3" type="noConversion"/>
  </si>
  <si>
    <t>2HB2</t>
  </si>
  <si>
    <t>#28</t>
    <phoneticPr fontId="3" type="noConversion"/>
  </si>
  <si>
    <t>VER.BRACE &amp; HOR.BRACE</t>
    <phoneticPr fontId="3" type="noConversion"/>
  </si>
  <si>
    <t>PGU-DE-044-FFC-037</t>
    <phoneticPr fontId="3" type="noConversion"/>
  </si>
  <si>
    <t>DUCT SUPPORT 2DS2/H150*150*7*10*2300</t>
    <phoneticPr fontId="3" type="noConversion"/>
  </si>
  <si>
    <t>2DS2</t>
  </si>
  <si>
    <t>DUCT SUPPORT 2DS3/H150*150*7*10*615</t>
    <phoneticPr fontId="3" type="noConversion"/>
  </si>
  <si>
    <t>2DS3</t>
  </si>
  <si>
    <t>DUCT SUPPORT 2DS4/H150*150*7*10*1515</t>
    <phoneticPr fontId="3" type="noConversion"/>
  </si>
  <si>
    <t>2DS4</t>
  </si>
  <si>
    <t>DUCT SUPPORT 2DS5/H150*150*7*10*748</t>
    <phoneticPr fontId="3" type="noConversion"/>
  </si>
  <si>
    <t>2DS5</t>
  </si>
  <si>
    <t>PLATFORM SUPPORT 2PFS1/H150*150*7*10*1515</t>
    <phoneticPr fontId="3" type="noConversion"/>
  </si>
  <si>
    <t>2PFS1</t>
  </si>
  <si>
    <t>PLATFORM SUPPORT 2PFS2/H150*150*7*10*1120</t>
    <phoneticPr fontId="3" type="noConversion"/>
  </si>
  <si>
    <t>2PFS2</t>
  </si>
  <si>
    <t>PLATFORM SUPPORT 2PFS3/H150*150*7*10*2300</t>
    <phoneticPr fontId="3" type="noConversion"/>
  </si>
  <si>
    <t>2PFS3</t>
  </si>
  <si>
    <t>PLATFORM SUPPORT 2PFS4/H150*150*7*10*2300</t>
    <phoneticPr fontId="3" type="noConversion"/>
  </si>
  <si>
    <t>2PFS4</t>
  </si>
  <si>
    <t>PLATFORM SUPPORT 2PFS5/H150*150*7*10*1515</t>
    <phoneticPr fontId="3" type="noConversion"/>
  </si>
  <si>
    <t>2PFS5</t>
  </si>
  <si>
    <t>JB.SUPPORT 2JBS1/H150*150*7*10*1488</t>
    <phoneticPr fontId="3" type="noConversion"/>
  </si>
  <si>
    <t>2JBS1</t>
  </si>
  <si>
    <t>JBSUPPORT</t>
  </si>
  <si>
    <t>#31</t>
    <phoneticPr fontId="3" type="noConversion"/>
  </si>
  <si>
    <t>DUCT SUPPORT / PLATFORMSUPPORT / JBSUPPORT</t>
    <phoneticPr fontId="3" type="noConversion"/>
  </si>
  <si>
    <t>PGU-DE-044-FFC-038</t>
    <phoneticPr fontId="3" type="noConversion"/>
  </si>
  <si>
    <t>FAN GUARD 2FG1/Ø4*1844*4747</t>
    <phoneticPr fontId="3" type="noConversion"/>
  </si>
  <si>
    <t>2FG1</t>
  </si>
  <si>
    <t>FAN GUARD 2FG1/Ø4*380*1178</t>
    <phoneticPr fontId="3" type="noConversion"/>
  </si>
  <si>
    <t>#37</t>
    <phoneticPr fontId="3" type="noConversion"/>
  </si>
  <si>
    <t>PGU-DE-044-FFC-039</t>
    <phoneticPr fontId="3" type="noConversion"/>
  </si>
  <si>
    <t>FAN GUARD 2FG1/Ø4*460*1178</t>
    <phoneticPr fontId="3" type="noConversion"/>
  </si>
  <si>
    <t>FAN GUARD 2FG1/Ø4*600*1178</t>
    <phoneticPr fontId="3" type="noConversion"/>
  </si>
  <si>
    <t>FAN GUARD 2FG1/Ø4*875*1178</t>
    <phoneticPr fontId="3" type="noConversion"/>
  </si>
  <si>
    <t>FAN GUARD 2FG1/Ø4*350*1178</t>
    <phoneticPr fontId="3" type="noConversion"/>
  </si>
  <si>
    <t>SHIMPLATE 2SM1/PL6*150*700</t>
    <phoneticPr fontId="3" type="noConversion"/>
  </si>
  <si>
    <t>2SM1</t>
  </si>
  <si>
    <t>SHIMPLATE 2SM2/PL4.5*150*700</t>
    <phoneticPr fontId="3" type="noConversion"/>
  </si>
  <si>
    <t>2SM2</t>
  </si>
  <si>
    <t>SHIMPLATE 2SM3/PL3*150*700</t>
    <phoneticPr fontId="3" type="noConversion"/>
  </si>
  <si>
    <t>2SM3</t>
  </si>
  <si>
    <t>#52</t>
    <phoneticPr fontId="3" type="noConversion"/>
  </si>
  <si>
    <t>PGU-DE-044-FFC-040</t>
    <phoneticPr fontId="3" type="noConversion"/>
  </si>
  <si>
    <t>FAN RING 2FR1/PL3*700*3917</t>
    <phoneticPr fontId="3" type="noConversion"/>
  </si>
  <si>
    <t>2FR1</t>
  </si>
  <si>
    <t>FIXING PLATE 2FP1/PL4.5*100*709</t>
    <phoneticPr fontId="3" type="noConversion"/>
  </si>
  <si>
    <t>2FP1</t>
  </si>
  <si>
    <t>2IB1/16FEET</t>
    <phoneticPr fontId="3" type="noConversion"/>
  </si>
  <si>
    <t>2IB1</t>
  </si>
  <si>
    <t>#11</t>
    <phoneticPr fontId="3" type="noConversion"/>
  </si>
  <si>
    <t>PGU-DE-044-FFC-041</t>
    <phoneticPr fontId="3" type="noConversion"/>
  </si>
  <si>
    <t>#12</t>
    <phoneticPr fontId="3" type="noConversion"/>
  </si>
  <si>
    <t>PGU-DE-044-FFC-042</t>
    <phoneticPr fontId="3" type="noConversion"/>
  </si>
  <si>
    <t>GEAR BASE 2GB1/PL45*1000*1850</t>
    <phoneticPr fontId="3" type="noConversion"/>
  </si>
  <si>
    <t>2GB1</t>
  </si>
  <si>
    <t>#53</t>
    <phoneticPr fontId="3" type="noConversion"/>
  </si>
  <si>
    <t>PGU-DE-044-FFC-043</t>
    <phoneticPr fontId="3" type="noConversion"/>
  </si>
  <si>
    <t>#54</t>
    <phoneticPr fontId="3" type="noConversion"/>
  </si>
  <si>
    <t>PGU-DE-044-FFC-044</t>
    <phoneticPr fontId="3" type="noConversion"/>
  </si>
  <si>
    <t>#55</t>
    <phoneticPr fontId="3" type="noConversion"/>
  </si>
  <si>
    <t>PGU-DE-044-FFC-045</t>
    <phoneticPr fontId="3" type="noConversion"/>
  </si>
  <si>
    <t>GEAR BASE SUPPORT 2GBS1/H194*150*6*9*1214</t>
    <phoneticPr fontId="3" type="noConversion"/>
  </si>
  <si>
    <t>2GBS1</t>
  </si>
  <si>
    <t>HOR.BRACE 2HB1/L90*90*7*1767</t>
    <phoneticPr fontId="3" type="noConversion"/>
  </si>
  <si>
    <t>2HB1</t>
  </si>
  <si>
    <t>VER.BRACE 2VB1/L90*90*7*1908</t>
    <phoneticPr fontId="3" type="noConversion"/>
  </si>
  <si>
    <t>2VB1</t>
  </si>
  <si>
    <t>VER.BRACE 2VB2/L90*90*7*1342</t>
    <phoneticPr fontId="3" type="noConversion"/>
  </si>
  <si>
    <t>2VB2</t>
  </si>
  <si>
    <t>VER.BRACE 2VB6/L90*90*7*494</t>
    <phoneticPr fontId="3" type="noConversion"/>
  </si>
  <si>
    <t>2VB6</t>
  </si>
  <si>
    <t>#34</t>
    <phoneticPr fontId="3" type="noConversion"/>
  </si>
  <si>
    <t>GEAR BASE SUPPORT / HOR.BRACE / VER.BRACE</t>
    <phoneticPr fontId="3" type="noConversion"/>
  </si>
  <si>
    <t>PGU-DE-044-FFC-046</t>
    <phoneticPr fontId="3" type="noConversion"/>
  </si>
  <si>
    <t>GRATING 2GR2/GR32*965*780</t>
    <phoneticPr fontId="3" type="noConversion"/>
  </si>
  <si>
    <t>2GR2</t>
  </si>
  <si>
    <t>#40</t>
    <phoneticPr fontId="3" type="noConversion"/>
  </si>
  <si>
    <t>PGU-DE-044-FFC-047</t>
    <phoneticPr fontId="3" type="noConversion"/>
  </si>
  <si>
    <t>GRATING 2GR1/GR32*845*780</t>
    <phoneticPr fontId="3" type="noConversion"/>
  </si>
  <si>
    <t>2GR1</t>
    <phoneticPr fontId="3" type="noConversion"/>
  </si>
  <si>
    <t>GRATING 2GR3/GR32*815*780</t>
    <phoneticPr fontId="3" type="noConversion"/>
  </si>
  <si>
    <t>2GR3</t>
  </si>
  <si>
    <t>GRATING 2GR4/GR32*875*780</t>
    <phoneticPr fontId="3" type="noConversion"/>
  </si>
  <si>
    <t>2GR4</t>
  </si>
  <si>
    <t>#41</t>
    <phoneticPr fontId="3" type="noConversion"/>
  </si>
  <si>
    <t>PGU-DE-044-FFC-048</t>
    <phoneticPr fontId="3" type="noConversion"/>
  </si>
  <si>
    <t>HANDRAIL 2HR1/PIPE1-1/2"SCH40*1218</t>
    <phoneticPr fontId="3" type="noConversion"/>
  </si>
  <si>
    <t>2HR1</t>
  </si>
  <si>
    <t>HANDRAIL 2HR5/PIPE1-1/2"SCH40*1218</t>
    <phoneticPr fontId="3" type="noConversion"/>
  </si>
  <si>
    <t>2HR5</t>
  </si>
  <si>
    <t>HANDRAIL 2HR9/PIPE2"SCH40*4798</t>
    <phoneticPr fontId="3" type="noConversion"/>
  </si>
  <si>
    <t>2HR9</t>
  </si>
  <si>
    <t>HANDRAIL 2HR10/FB100*6*4639</t>
    <phoneticPr fontId="3" type="noConversion"/>
  </si>
  <si>
    <t>2HR10</t>
  </si>
  <si>
    <t>HANDRAIL 2HR11/FB100*6*4636</t>
    <phoneticPr fontId="3" type="noConversion"/>
  </si>
  <si>
    <t>2HR11</t>
  </si>
  <si>
    <t>#48</t>
    <phoneticPr fontId="3" type="noConversion"/>
  </si>
  <si>
    <t>PGU-DE-044-FFC-049</t>
    <phoneticPr fontId="3" type="noConversion"/>
  </si>
  <si>
    <t>HANDRAIL 2HR2/PIPE2"SCH40*2819</t>
    <phoneticPr fontId="3" type="noConversion"/>
  </si>
  <si>
    <t>2HR2</t>
  </si>
  <si>
    <t>HANDRAIL 2HR3/PIPE2"SCH40*3818</t>
    <phoneticPr fontId="3" type="noConversion"/>
  </si>
  <si>
    <t>2HR3</t>
  </si>
  <si>
    <t>HANDRAIL 2HR4/PIPE2"SCH40*2819</t>
    <phoneticPr fontId="3" type="noConversion"/>
  </si>
  <si>
    <t>2HR4</t>
  </si>
  <si>
    <t>HANDRAIL 2HR6/PIPE2"SCH40*3460</t>
    <phoneticPr fontId="3" type="noConversion"/>
  </si>
  <si>
    <t>2HR6</t>
  </si>
  <si>
    <t>HANDRAIL 2HR8/PIPE2"SCH40*3460</t>
    <phoneticPr fontId="3" type="noConversion"/>
  </si>
  <si>
    <t>2HR8</t>
  </si>
  <si>
    <t>SAFETY GATE 2SG1/PIPE1-1/2"SCH40*2682</t>
    <phoneticPr fontId="3" type="noConversion"/>
  </si>
  <si>
    <t>2SG1</t>
  </si>
  <si>
    <t>SAFETY GATE 2SG2/PIPE1-1/2"SCH40*2682</t>
    <phoneticPr fontId="3" type="noConversion"/>
  </si>
  <si>
    <t>2SG2</t>
    <phoneticPr fontId="3" type="noConversion"/>
  </si>
  <si>
    <t>#50</t>
    <phoneticPr fontId="3" type="noConversion"/>
  </si>
  <si>
    <t>PGU-DE-044-FFC-050</t>
    <phoneticPr fontId="3" type="noConversion"/>
  </si>
  <si>
    <t>LADDER 2LD1/FB65*12*5115</t>
    <phoneticPr fontId="3" type="noConversion"/>
  </si>
  <si>
    <t>2LD1</t>
  </si>
  <si>
    <t>LADDER SUPPOT 2LDS1/[150*75*6.5*10*775</t>
    <phoneticPr fontId="3" type="noConversion"/>
  </si>
  <si>
    <t>2LDS1</t>
  </si>
  <si>
    <t>#43</t>
    <phoneticPr fontId="3" type="noConversion"/>
  </si>
  <si>
    <t>PGU-DE-044-FFC-051</t>
    <phoneticPr fontId="3" type="noConversion"/>
  </si>
  <si>
    <t>#46</t>
    <phoneticPr fontId="3" type="noConversion"/>
  </si>
  <si>
    <t>PGU-DE-044-FFC-052</t>
    <phoneticPr fontId="3" type="noConversion"/>
  </si>
  <si>
    <t>MIDDLE BEAM 2MB1/H300*150*6.5*9*6880</t>
    <phoneticPr fontId="3" type="noConversion"/>
  </si>
  <si>
    <t>2MB1</t>
  </si>
  <si>
    <t>TOP BEAM 2TB6/H300*150*6.5*9*6880</t>
    <phoneticPr fontId="3" type="noConversion"/>
  </si>
  <si>
    <t>2TB6</t>
  </si>
  <si>
    <t>#18</t>
    <phoneticPr fontId="3" type="noConversion"/>
  </si>
  <si>
    <t>PGU-DE-044-FFC-053</t>
    <phoneticPr fontId="3" type="noConversion"/>
  </si>
  <si>
    <t>MACHINERY MOUNT 2MM1/H300*150*6.5*9*6090</t>
    <phoneticPr fontId="3" type="noConversion"/>
  </si>
  <si>
    <t>2MM1</t>
  </si>
  <si>
    <t>MACHINERY MOUNT 2MM2/H300*150*6.5*9*6090</t>
    <phoneticPr fontId="3" type="noConversion"/>
  </si>
  <si>
    <t>2MM2</t>
  </si>
  <si>
    <t>TOP BEAM 2TB2/H300*150*6.5*9*6085</t>
    <phoneticPr fontId="3" type="noConversion"/>
  </si>
  <si>
    <t>2TB2</t>
  </si>
  <si>
    <t>TOP BEAM 2TB8/H300*150*6.5*9*6085</t>
    <phoneticPr fontId="3" type="noConversion"/>
  </si>
  <si>
    <t>2TB8</t>
  </si>
  <si>
    <t>TOP BEAM 2TB9/H300*150*6.5*9*6085</t>
    <phoneticPr fontId="3" type="noConversion"/>
  </si>
  <si>
    <t>2TB9</t>
  </si>
  <si>
    <t>#13</t>
    <phoneticPr fontId="3" type="noConversion"/>
  </si>
  <si>
    <t>PGU-DE-044-FFC-054</t>
    <phoneticPr fontId="3" type="noConversion"/>
  </si>
  <si>
    <t>TOP BEAM 2TB3/H300*150*6.5*9*6085</t>
    <phoneticPr fontId="3" type="noConversion"/>
  </si>
  <si>
    <t>2TB3</t>
  </si>
  <si>
    <t>#14</t>
    <phoneticPr fontId="3" type="noConversion"/>
  </si>
  <si>
    <t>PGU-DE-044-FFC-055</t>
    <phoneticPr fontId="3" type="noConversion"/>
  </si>
  <si>
    <t>PLATFORM 2PF2/[200*80*7.5*11*7630</t>
    <phoneticPr fontId="3" type="noConversion"/>
  </si>
  <si>
    <t>2PF2</t>
  </si>
  <si>
    <t>PLATFORM 2PF5/[200*80*7.5*11*7035</t>
    <phoneticPr fontId="3" type="noConversion"/>
  </si>
  <si>
    <t>2PF5</t>
  </si>
  <si>
    <t>PLATFORM 2PF6/[200*80*7.5*11*7035</t>
    <phoneticPr fontId="3" type="noConversion"/>
  </si>
  <si>
    <t>2PF6</t>
  </si>
  <si>
    <t>PLATFORM 2PF8/[200*80*7.5*11*8535</t>
    <phoneticPr fontId="3" type="noConversion"/>
  </si>
  <si>
    <t>2PF8</t>
  </si>
  <si>
    <t>PLATFORM 2PF9/[200*80*7.5*11*7630</t>
    <phoneticPr fontId="3" type="noConversion"/>
  </si>
  <si>
    <t>2PF9</t>
  </si>
  <si>
    <t>#7</t>
    <phoneticPr fontId="3" type="noConversion"/>
  </si>
  <si>
    <t>PGU-DE-044-FFC-056</t>
    <phoneticPr fontId="3" type="noConversion"/>
  </si>
  <si>
    <t>PLATFORM 2PF1/[200*80*7.5*11*8535</t>
    <phoneticPr fontId="3" type="noConversion"/>
  </si>
  <si>
    <t>2PF1</t>
  </si>
  <si>
    <t>PLATFORM 2PF3/[200*80*7.5*11*8535</t>
    <phoneticPr fontId="3" type="noConversion"/>
  </si>
  <si>
    <t>2PF3</t>
  </si>
  <si>
    <t>PLATFORM 2PF4/[200*80*7.5*11*7035</t>
    <phoneticPr fontId="3" type="noConversion"/>
  </si>
  <si>
    <t>2PF4</t>
  </si>
  <si>
    <t>PLATFORM 2PF7/[200*80*7.5*11*7035</t>
    <phoneticPr fontId="3" type="noConversion"/>
  </si>
  <si>
    <t>2PF7</t>
  </si>
  <si>
    <t>PLATFORM 2PF10/[200*80*7.5*11*8535</t>
    <phoneticPr fontId="3" type="noConversion"/>
  </si>
  <si>
    <t>2PF10</t>
  </si>
  <si>
    <t>#8</t>
    <phoneticPr fontId="3" type="noConversion"/>
  </si>
  <si>
    <t>PGU-DE-044-FFC-057</t>
    <phoneticPr fontId="3" type="noConversion"/>
  </si>
  <si>
    <t>TOP BEAM 2TB1/H300*150*6.5*9*7240</t>
    <phoneticPr fontId="3" type="noConversion"/>
  </si>
  <si>
    <t>2TB1</t>
  </si>
  <si>
    <t>TOP BEAM 2TB10/H300*150*6.5*9*7240</t>
    <phoneticPr fontId="3" type="noConversion"/>
  </si>
  <si>
    <t>2TB10</t>
  </si>
  <si>
    <t>#20</t>
    <phoneticPr fontId="3" type="noConversion"/>
  </si>
  <si>
    <t>PGU-DE-044-FFC-058</t>
    <phoneticPr fontId="3" type="noConversion"/>
  </si>
  <si>
    <t>MIDDLE BEAM 2MB2/H300*150*6.5*9*6880</t>
    <phoneticPr fontId="3" type="noConversion"/>
  </si>
  <si>
    <t>2MB2</t>
  </si>
  <si>
    <t>MIDDLE BEAM 2MB3/H300*150*6.5*9*6880</t>
    <phoneticPr fontId="3" type="noConversion"/>
  </si>
  <si>
    <t>2MB3</t>
  </si>
  <si>
    <t>MIDDLE BEAM 2MB4/H300*150*6.5*9*6880</t>
    <phoneticPr fontId="3" type="noConversion"/>
  </si>
  <si>
    <t>2MB4</t>
  </si>
  <si>
    <t>MIDDLE BEAM 2MB5/H300*150*6.5*9*6880</t>
    <phoneticPr fontId="3" type="noConversion"/>
  </si>
  <si>
    <t>2MB5</t>
  </si>
  <si>
    <t>MIDDLE BEAM 2MB6/H300*150*6.5*9*6880</t>
    <phoneticPr fontId="3" type="noConversion"/>
  </si>
  <si>
    <t>2MB6</t>
  </si>
  <si>
    <t>MIDDLE BEAM 2MB7/H300*150*6.5*9*6880</t>
    <phoneticPr fontId="3" type="noConversion"/>
  </si>
  <si>
    <t>2MB7</t>
  </si>
  <si>
    <t>MIDDLE BEAM 2MB8/H300*150*6.5*9*6880</t>
    <phoneticPr fontId="3" type="noConversion"/>
  </si>
  <si>
    <t>2MB8</t>
  </si>
  <si>
    <t>#21</t>
    <phoneticPr fontId="3" type="noConversion"/>
  </si>
  <si>
    <t>PGU-DE-044-FFC-059</t>
    <phoneticPr fontId="3" type="noConversion"/>
  </si>
  <si>
    <t>TOP BEAM 2TB4/H194*150*6*9*3360</t>
    <phoneticPr fontId="3" type="noConversion"/>
  </si>
  <si>
    <t>2TB4</t>
  </si>
  <si>
    <t>GEAR BASE SUPPORT 2GBS2/H194*150*6*9*2050</t>
    <phoneticPr fontId="3" type="noConversion"/>
  </si>
  <si>
    <t>2GBS2</t>
  </si>
  <si>
    <t>GEAR BASE SUPPORT 2GBS3/H194*150*6*9*2050</t>
    <phoneticPr fontId="3" type="noConversion"/>
  </si>
  <si>
    <t>2GBS3</t>
  </si>
  <si>
    <t>GEAR BASE SUPPORT 2GBS4/H194*150*6*9*1214</t>
    <phoneticPr fontId="3" type="noConversion"/>
  </si>
  <si>
    <t>2GBS4</t>
  </si>
  <si>
    <t>DUCT SUPPORT 2DS1/H150*150*7*10*950</t>
    <phoneticPr fontId="3" type="noConversion"/>
  </si>
  <si>
    <t>2DS1</t>
  </si>
  <si>
    <t>#33</t>
    <phoneticPr fontId="3" type="noConversion"/>
  </si>
  <si>
    <t>DUCT SUPPORT / GEAR BASE SUPPORT / TOPBEAM</t>
    <phoneticPr fontId="3" type="noConversion"/>
  </si>
  <si>
    <t>PGU-DE-044-FFC-060</t>
    <phoneticPr fontId="3" type="noConversion"/>
  </si>
  <si>
    <t>#101</t>
    <phoneticPr fontId="3" type="noConversion"/>
  </si>
  <si>
    <t>BOLT,NUT,WASHER FOR STRUCTURE ASS'Y(BLOCK #2)</t>
    <phoneticPr fontId="3" type="noConversion"/>
  </si>
  <si>
    <t>PGU-DE-044-FFC-061</t>
    <phoneticPr fontId="3" type="noConversion"/>
  </si>
  <si>
    <t>PLUG BOLT/1-3/8"-12UNF 25L, SA105</t>
    <phoneticPr fontId="3" type="noConversion"/>
  </si>
  <si>
    <t>EA</t>
    <phoneticPr fontId="3" type="noConversion"/>
  </si>
  <si>
    <t>CCP-W-B182-09-ME-B40-0001</t>
    <phoneticPr fontId="3" type="noConversion"/>
  </si>
  <si>
    <t>No.7-1</t>
    <phoneticPr fontId="3" type="noConversion"/>
  </si>
  <si>
    <t>SPARE COMMISSIONING</t>
    <phoneticPr fontId="3" type="noConversion"/>
  </si>
  <si>
    <t>COMMON</t>
    <phoneticPr fontId="3" type="noConversion"/>
  </si>
  <si>
    <t>PLUG GASKET/1.5t*OD42*ID36, Soft iron</t>
    <phoneticPr fontId="3" type="noConversion"/>
  </si>
  <si>
    <t>No.7-2</t>
    <phoneticPr fontId="3" type="noConversion"/>
  </si>
  <si>
    <t>STUD B/2HN/5/8"-11UNC 90L, SA193-B7/SA194-2H</t>
    <phoneticPr fontId="3" type="noConversion"/>
  </si>
  <si>
    <t>No.N3-2</t>
    <phoneticPr fontId="3" type="noConversion"/>
  </si>
  <si>
    <t>NOZZLE GASKET/t4.5 2" ASME CL.150 RF., Spiral wound</t>
    <phoneticPr fontId="3" type="noConversion"/>
  </si>
  <si>
    <t>No.N3-3</t>
    <phoneticPr fontId="3" type="noConversion"/>
  </si>
  <si>
    <t>24</t>
  </si>
  <si>
    <t>Block1</t>
    <phoneticPr fontId="3" type="noConversion"/>
  </si>
  <si>
    <t>2</t>
  </si>
  <si>
    <t>3</t>
  </si>
  <si>
    <t>Block1</t>
  </si>
  <si>
    <t>11</t>
  </si>
  <si>
    <t>274</t>
  </si>
  <si>
    <t>10</t>
  </si>
  <si>
    <t>6</t>
  </si>
  <si>
    <t>5</t>
  </si>
  <si>
    <t>118</t>
  </si>
  <si>
    <t>44</t>
  </si>
  <si>
    <t>HEX.NUT /M20/A325-1</t>
  </si>
  <si>
    <t>RIVET/Ø4.8*16L/AL</t>
    <phoneticPr fontId="3" type="noConversion"/>
  </si>
  <si>
    <t>LOWER CLIP/MAKER STD</t>
    <phoneticPr fontId="3" type="noConversion"/>
  </si>
  <si>
    <t>SADDLE CLIP/MAKER STD</t>
    <phoneticPr fontId="3" type="noConversion"/>
  </si>
  <si>
    <t>HEX BOLT/NUT/M8*50L/A307-A FOR GRATING</t>
    <phoneticPr fontId="3" type="noConversion"/>
  </si>
  <si>
    <t>#102</t>
    <phoneticPr fontId="3" type="noConversion"/>
  </si>
  <si>
    <t>SPARE PART(COMMISSIONING)</t>
    <phoneticPr fontId="3" type="noConversion"/>
  </si>
  <si>
    <t>PGU-DE-044-FFC-062</t>
    <phoneticPr fontId="3" type="noConversion"/>
  </si>
  <si>
    <t>Block2</t>
    <phoneticPr fontId="3" type="noConversion"/>
  </si>
  <si>
    <t>Block2</t>
  </si>
  <si>
    <t>#103</t>
    <phoneticPr fontId="3" type="noConversion"/>
  </si>
  <si>
    <t>PGU-DE-044-FFC-063</t>
    <phoneticPr fontId="3" type="noConversion"/>
  </si>
  <si>
    <t>Torque wrench for Plug bolt/7500QLE-2(1,370mm), *1-3/8"(42mm)</t>
    <phoneticPr fontId="3" type="noConversion"/>
  </si>
  <si>
    <t>SPECIAL TOOL</t>
    <phoneticPr fontId="3" type="noConversion"/>
  </si>
  <si>
    <t>#104</t>
    <phoneticPr fontId="3" type="noConversion"/>
  </si>
  <si>
    <t>PGU-DE-044-FFC-064</t>
    <phoneticPr fontId="3" type="noConversion"/>
  </si>
  <si>
    <t>HANDRAIL 1HR7/PIPE2"SCH40*3818</t>
    <phoneticPr fontId="3" type="noConversion"/>
  </si>
  <si>
    <t xml:space="preserve"> 1HR7              </t>
  </si>
  <si>
    <t>#47-1</t>
    <phoneticPr fontId="3" type="noConversion"/>
  </si>
  <si>
    <t>PGU-DE-044-FFC-065</t>
    <phoneticPr fontId="3" type="noConversion"/>
  </si>
  <si>
    <t>HANDRAIL 2HR7/PIPE2"SCH40*3818</t>
    <phoneticPr fontId="3" type="noConversion"/>
  </si>
  <si>
    <t>2HR7</t>
  </si>
  <si>
    <t>#48-1</t>
    <phoneticPr fontId="3" type="noConversion"/>
  </si>
  <si>
    <t>PGU-DE-044-FFC-066</t>
    <phoneticPr fontId="3" type="noConversion"/>
  </si>
  <si>
    <t>VENT ELBOW NOZZLE 2"ASME CL.150</t>
    <phoneticPr fontId="3" type="noConversion"/>
  </si>
  <si>
    <t>VENT ELBOW NOZZLE</t>
    <phoneticPr fontId="3" type="noConversion"/>
  </si>
  <si>
    <t>VENT ELBOW NOZZLE &amp; STUD BOLT &amp; GASKET</t>
    <phoneticPr fontId="3" type="noConversion"/>
  </si>
  <si>
    <t>PGU-DE-044-FFC-067</t>
    <phoneticPr fontId="3" type="noConversion"/>
  </si>
  <si>
    <t>Tube Bundle B1-E-66001</t>
    <phoneticPr fontId="3" type="noConversion"/>
  </si>
  <si>
    <t>CCP-W-B182-09-ME-B01-0001</t>
    <phoneticPr fontId="3" type="noConversion"/>
  </si>
  <si>
    <t>B1-E-66001</t>
    <phoneticPr fontId="3" type="noConversion"/>
  </si>
  <si>
    <t>TUBE BUNDLE</t>
    <phoneticPr fontId="3" type="noConversion"/>
  </si>
  <si>
    <t>PGU-DE-044-FFC-068</t>
    <phoneticPr fontId="3" type="noConversion"/>
  </si>
  <si>
    <t>Tube Bundle B1-E-66002</t>
    <phoneticPr fontId="3" type="noConversion"/>
  </si>
  <si>
    <t>UNIT</t>
    <phoneticPr fontId="3" type="noConversion"/>
  </si>
  <si>
    <t>B1-E-66002</t>
    <phoneticPr fontId="3" type="noConversion"/>
  </si>
  <si>
    <t>PGU-DE-044-FFC-069</t>
    <phoneticPr fontId="3" type="noConversion"/>
  </si>
  <si>
    <t>Tube Bundle B1-E-66003</t>
    <phoneticPr fontId="3" type="noConversion"/>
  </si>
  <si>
    <t>CCP-W-B182-09-ME-B01-0001</t>
  </si>
  <si>
    <t>B1-E-66003</t>
    <phoneticPr fontId="3" type="noConversion"/>
  </si>
  <si>
    <t>PGU-DE-044-FFC-070</t>
    <phoneticPr fontId="3" type="noConversion"/>
  </si>
  <si>
    <t>Tube Bundle B1-E-66004</t>
    <phoneticPr fontId="3" type="noConversion"/>
  </si>
  <si>
    <t>B1-E-66004</t>
  </si>
  <si>
    <t>PGU-DE-044-FFC-071</t>
    <phoneticPr fontId="3" type="noConversion"/>
  </si>
  <si>
    <t>Tube Bundle B1-E-66005</t>
    <phoneticPr fontId="3" type="noConversion"/>
  </si>
  <si>
    <t>B1-E-66005</t>
  </si>
  <si>
    <t>PGU-DE-044-FFC-072</t>
    <phoneticPr fontId="3" type="noConversion"/>
  </si>
  <si>
    <t>Tube Bundle B1-E-66006</t>
    <phoneticPr fontId="3" type="noConversion"/>
  </si>
  <si>
    <t>B1-E-66006</t>
  </si>
  <si>
    <t>PGU-DE-044-FFC-073</t>
    <phoneticPr fontId="3" type="noConversion"/>
  </si>
  <si>
    <t>Tube Bundle B1-E-66007</t>
    <phoneticPr fontId="3" type="noConversion"/>
  </si>
  <si>
    <t>B1-E-66007</t>
  </si>
  <si>
    <t>TOTAL/ ИТОГО</t>
    <phoneticPr fontId="9" type="noConversion"/>
  </si>
  <si>
    <t>PGU-DE-044-FFC-074</t>
    <phoneticPr fontId="3" type="noConversion"/>
  </si>
  <si>
    <t>Tube Bundle B1-E-66008</t>
    <phoneticPr fontId="3" type="noConversion"/>
  </si>
  <si>
    <t>B1-E-66008</t>
  </si>
  <si>
    <t>PGU-DE-044-FFC-075</t>
    <phoneticPr fontId="3" type="noConversion"/>
  </si>
  <si>
    <t>Tube Bundle B1-E-66009</t>
    <phoneticPr fontId="3" type="noConversion"/>
  </si>
  <si>
    <t>B1-E-66009</t>
  </si>
  <si>
    <t>PGU-DE-044-FFC-076</t>
    <phoneticPr fontId="3" type="noConversion"/>
  </si>
  <si>
    <t>Tube Bundle B1-E-66010</t>
    <phoneticPr fontId="3" type="noConversion"/>
  </si>
  <si>
    <t>B1-E-66010</t>
  </si>
  <si>
    <t>PGU-DE-044-FFC-077</t>
    <phoneticPr fontId="3" type="noConversion"/>
  </si>
  <si>
    <t>Tube Bundle B1-E-66011</t>
    <phoneticPr fontId="3" type="noConversion"/>
  </si>
  <si>
    <t>B1-E-66011</t>
  </si>
  <si>
    <t>PGU-DE-044-FFC-078</t>
    <phoneticPr fontId="3" type="noConversion"/>
  </si>
  <si>
    <t>Tube Bundle B1-E-66012</t>
    <phoneticPr fontId="3" type="noConversion"/>
  </si>
  <si>
    <t>B1-E-66012</t>
  </si>
  <si>
    <t>PGU-DE-044-FFC-079</t>
    <phoneticPr fontId="3" type="noConversion"/>
  </si>
  <si>
    <t>Tube Bundle B2-E-66001</t>
  </si>
  <si>
    <t>B2-E-66001</t>
    <phoneticPr fontId="3" type="noConversion"/>
  </si>
  <si>
    <t>PGU-DE-044-FFC-080</t>
    <phoneticPr fontId="3" type="noConversion"/>
  </si>
  <si>
    <t>Tube Bundle B2-E-66002</t>
  </si>
  <si>
    <t>B2-E-66002</t>
    <phoneticPr fontId="3" type="noConversion"/>
  </si>
  <si>
    <t>PGU-DE-044-FFC-081</t>
    <phoneticPr fontId="3" type="noConversion"/>
  </si>
  <si>
    <t>Tube Bundle B2-E-66003</t>
  </si>
  <si>
    <t>B2-E-66003</t>
  </si>
  <si>
    <t>PGU-DE-044-FFC-082</t>
    <phoneticPr fontId="3" type="noConversion"/>
  </si>
  <si>
    <t>Tube Bundle B2-E-66004</t>
  </si>
  <si>
    <t>B2-E-66004</t>
  </si>
  <si>
    <t>PGU-DE-044-FFC-083</t>
    <phoneticPr fontId="3" type="noConversion"/>
  </si>
  <si>
    <t>Tube Bundle B2-E-66005</t>
  </si>
  <si>
    <t>B2-E-66005</t>
  </si>
  <si>
    <t>PGU-DE-044-FFC-084</t>
    <phoneticPr fontId="3" type="noConversion"/>
  </si>
  <si>
    <t>Tube Bundle B2-E-66006</t>
  </si>
  <si>
    <t>B2-E-66006</t>
  </si>
  <si>
    <t>PGU-DE-044-FFC-085</t>
    <phoneticPr fontId="3" type="noConversion"/>
  </si>
  <si>
    <t>Tube Bundle B2-E-66007</t>
  </si>
  <si>
    <t>B2-E-66007</t>
  </si>
  <si>
    <t>PGU-DE-044-FFC-086</t>
    <phoneticPr fontId="3" type="noConversion"/>
  </si>
  <si>
    <t>Tube Bundle B2-E-66008</t>
  </si>
  <si>
    <t>B2-E-66008</t>
  </si>
  <si>
    <t>PGU-DE-044-FFC-087</t>
    <phoneticPr fontId="3" type="noConversion"/>
  </si>
  <si>
    <t>Tube Bundle B2-E-66009</t>
  </si>
  <si>
    <t>B2-E-66009</t>
  </si>
  <si>
    <t>PGU-DE-044-FFC-088</t>
    <phoneticPr fontId="3" type="noConversion"/>
  </si>
  <si>
    <t>Tube Bundle B2-E-66010</t>
  </si>
  <si>
    <t>B2-E-66010</t>
  </si>
  <si>
    <t>PGU-DE-044-FFC-089</t>
    <phoneticPr fontId="3" type="noConversion"/>
  </si>
  <si>
    <t>Tube Bundle B2-E-66011</t>
  </si>
  <si>
    <t>B2-E-66011</t>
  </si>
  <si>
    <t>PGU-DE-044-FFC-090</t>
    <phoneticPr fontId="3" type="noConversion"/>
  </si>
  <si>
    <t>Tube Bundle B2-E-66012</t>
  </si>
  <si>
    <t>B2-E-66012</t>
  </si>
  <si>
    <t>TOTAL/ ИТОГО</t>
    <phoneticPr fontId="3" type="noConversion"/>
  </si>
  <si>
    <t>DOL MOTOR/45KW/380V/B1-C(M)-66001</t>
    <phoneticPr fontId="3" type="noConversion"/>
  </si>
  <si>
    <t>CCP-W-B182-09-ME-E26-0001</t>
  </si>
  <si>
    <t>B1-C(M)-66001</t>
    <phoneticPr fontId="3" type="noConversion"/>
  </si>
  <si>
    <t>DOL MOTOR/45KW/380V/B1-C(M)-66002</t>
  </si>
  <si>
    <t>B1-C(M)-66002</t>
  </si>
  <si>
    <t>PGU-DE-0139-FFC-ROT-002</t>
    <phoneticPr fontId="3" type="noConversion"/>
  </si>
  <si>
    <t>DOL MOTOR/45KW/380V/B1-C(M)-66003</t>
  </si>
  <si>
    <t>B1-C(M)-66003</t>
  </si>
  <si>
    <t>DOL MOTOR/45KW/380V/B1-C(M)-66004</t>
  </si>
  <si>
    <t>B1-C(M)-66004</t>
  </si>
  <si>
    <t>PGU-DE-0139-FFC-ROT-003</t>
    <phoneticPr fontId="3" type="noConversion"/>
  </si>
  <si>
    <t>DOL MOTOR/45KW/380V/B1-C(M)-66005</t>
  </si>
  <si>
    <t>B1-C(M)-66005</t>
  </si>
  <si>
    <t>DOL MOTOR/45KW/380V/B1-C(M)-66006</t>
  </si>
  <si>
    <t>B1-C(M)-66006</t>
  </si>
  <si>
    <t>PGU-DE-0139-FFC-ROT-004</t>
    <phoneticPr fontId="3" type="noConversion"/>
  </si>
  <si>
    <t>DOL MOTOR/45KW/380V/B1-C(M)-66007</t>
  </si>
  <si>
    <t>B1-C(M)-66007</t>
  </si>
  <si>
    <t>DOL MOTOR/45KW/380V/B1-C(M)-66008</t>
  </si>
  <si>
    <t>B1-C(M)-66008</t>
  </si>
  <si>
    <t>PGU-DE-0139-FFC-ROT-005</t>
    <phoneticPr fontId="3" type="noConversion"/>
  </si>
  <si>
    <t>DOL MOTOR/45KW/380V/B1-C(M)-66009</t>
  </si>
  <si>
    <t>B1-C(M)-66009</t>
  </si>
  <si>
    <t>DOL MOTOR/45KW/380V/B1-C(M)-66010</t>
  </si>
  <si>
    <t>B1-C(M)-66010</t>
  </si>
  <si>
    <t>PGU-DE-0139-FFC-ROT-006</t>
    <phoneticPr fontId="3" type="noConversion"/>
  </si>
  <si>
    <t>DOL MOTOR/45KW/380V/B1-C(M)-66011</t>
  </si>
  <si>
    <t>B1-C(M)-66011</t>
  </si>
  <si>
    <t>DOL MOTOR/45KW/380V/B1-C(M)-66012</t>
  </si>
  <si>
    <t>B1-C(M)-66012</t>
  </si>
  <si>
    <t>PGU-DE-0139-FFC-ROT-007</t>
    <phoneticPr fontId="3" type="noConversion"/>
  </si>
  <si>
    <t>DOL MOTOR/45KW/380V/B2-C(M)-66001</t>
    <phoneticPr fontId="3" type="noConversion"/>
  </si>
  <si>
    <t>B2-C(M)-66001</t>
    <phoneticPr fontId="3" type="noConversion"/>
  </si>
  <si>
    <t>DOL MOTOR/45KW/380V/B2-C(M)-66002</t>
  </si>
  <si>
    <t>B2-C(M)-66002</t>
  </si>
  <si>
    <t>PGU-DE-0139-FFC-ROT-008</t>
    <phoneticPr fontId="3" type="noConversion"/>
  </si>
  <si>
    <t>DOL MOTOR/45KW/380V/B2-C(M)-66003</t>
  </si>
  <si>
    <t>B2-C(M)-66003</t>
  </si>
  <si>
    <t>DOL MOTOR/45KW/380V/B2-C(M)-66004</t>
  </si>
  <si>
    <t>B2-C(M)-66004</t>
  </si>
  <si>
    <t>PGU-DE-0139-FFC-ROT-009</t>
    <phoneticPr fontId="3" type="noConversion"/>
  </si>
  <si>
    <t>DOL MOTOR/45KW/380V/B2-C(M)-66005</t>
  </si>
  <si>
    <t>B2-C(M)-66005</t>
  </si>
  <si>
    <t>DOL MOTOR/45KW/380V/B2-C(M)-66006</t>
  </si>
  <si>
    <t>B2-C(M)-66006</t>
  </si>
  <si>
    <t>PGU-DE-0139-FFC-ROT-010</t>
    <phoneticPr fontId="3" type="noConversion"/>
  </si>
  <si>
    <t>DOL MOTOR/45KW/380V/B2-C(M)-66007</t>
  </si>
  <si>
    <t>B2-C(M)-66007</t>
  </si>
  <si>
    <t>DOL MOTOR/45KW/380V/B2-C(M)-66008</t>
  </si>
  <si>
    <t>B2-C(M)-66008</t>
  </si>
  <si>
    <t>PGU-DE-0139-FFC-ROT-011</t>
    <phoneticPr fontId="3" type="noConversion"/>
  </si>
  <si>
    <t>DOL MOTOR/45KW/380V/B2-C(M)-66009</t>
  </si>
  <si>
    <t>B2-C(M)-66009</t>
  </si>
  <si>
    <t>DOL MOTOR/45KW/380V/B2-C(M)-66010</t>
  </si>
  <si>
    <t>B2-C(M)-66010</t>
  </si>
  <si>
    <t>PGU-DE-0139-FFC-ROT-012</t>
    <phoneticPr fontId="3" type="noConversion"/>
  </si>
  <si>
    <t>DOL MOTOR/45KW/380V/B2-C(M)-66011</t>
  </si>
  <si>
    <t>B2-C(M)-66011</t>
  </si>
  <si>
    <t>DOL MOTOR/45KW/380V/B2-C(M)-66012</t>
  </si>
  <si>
    <t>B2-C(M)-66012</t>
  </si>
  <si>
    <t>PGU-DE-0139-FFC-ROT-013</t>
    <phoneticPr fontId="3" type="noConversion"/>
  </si>
  <si>
    <t>FAN/16FT/6BLADE/B1-C-66001</t>
    <phoneticPr fontId="3" type="noConversion"/>
  </si>
  <si>
    <t>CCP-W-B182-09-ME-E24-0001</t>
  </si>
  <si>
    <t>B1-C-66001</t>
  </si>
  <si>
    <t>FAN/16FT/6BLADE/B1-C-66002</t>
  </si>
  <si>
    <t>B1-C-66002</t>
  </si>
  <si>
    <t>FAN/16FT/6BLADE/B1-C-66003</t>
  </si>
  <si>
    <t>B1-C-66003</t>
  </si>
  <si>
    <t>FAN/16FT/6BLADE/B1-C-66004</t>
  </si>
  <si>
    <t>B1-C-66004</t>
  </si>
  <si>
    <t>FAN/16FT/6BLADE/B1-C-66005</t>
  </si>
  <si>
    <t>B1-C-66005</t>
  </si>
  <si>
    <t>FAN/16FT/6BLADE/B1-C-66006</t>
  </si>
  <si>
    <t>B1-C-66006</t>
  </si>
  <si>
    <t>FAN/16FT/6BLADE/B1-C-66007</t>
  </si>
  <si>
    <t>B1-C-66007</t>
  </si>
  <si>
    <t>FAN/16FT/6BLADE/B1-C-66008</t>
  </si>
  <si>
    <t>B1-C-66008</t>
  </si>
  <si>
    <t>PGU-DE-0139-FFC-ROT-014</t>
    <phoneticPr fontId="3" type="noConversion"/>
  </si>
  <si>
    <t>FAN/16FT/6BLADE/B1-C-66009</t>
  </si>
  <si>
    <t>B1-C-66009</t>
  </si>
  <si>
    <t>FAN/16FT/6BLADE/B1-C-66010</t>
  </si>
  <si>
    <t>B1-C-66010</t>
  </si>
  <si>
    <t>FAN/16FT/6BLADE/B1-C-66011</t>
  </si>
  <si>
    <t>B1-C-66011</t>
  </si>
  <si>
    <t>FAN/16FT/6BLADE/B1-C-66012</t>
  </si>
  <si>
    <t>B1-C-66012</t>
  </si>
  <si>
    <t>FAN/16FT/6BLADE/B2-C-66001</t>
    <phoneticPr fontId="3" type="noConversion"/>
  </si>
  <si>
    <t>B2-C-66001</t>
    <phoneticPr fontId="3" type="noConversion"/>
  </si>
  <si>
    <t>FAN/16FT/6BLADE/B2-C-66002</t>
  </si>
  <si>
    <t>B2-C-66002</t>
  </si>
  <si>
    <t>FAN/16FT/6BLADE/B2-C-66003</t>
  </si>
  <si>
    <t>B2-C-66003</t>
  </si>
  <si>
    <t>FAN/16FT/6BLADE/B2-C-66004</t>
  </si>
  <si>
    <t>B2-C-66004</t>
  </si>
  <si>
    <t>PGU-DE-0139-FFC-ROT-015</t>
    <phoneticPr fontId="3" type="noConversion"/>
  </si>
  <si>
    <t>FAN/16FT/6BLADE/B2-C-66005</t>
  </si>
  <si>
    <t>B2-C-66005</t>
  </si>
  <si>
    <t>FAN/16FT/6BLADE/B2-C-66006</t>
  </si>
  <si>
    <t>B2-C-66006</t>
  </si>
  <si>
    <t>FAN/16FT/6BLADE/B2-C-66007</t>
  </si>
  <si>
    <t>B2-C-66007</t>
  </si>
  <si>
    <t>FAN/16FT/6BLADE/B2-C-66008</t>
  </si>
  <si>
    <t>B2-C-66008</t>
  </si>
  <si>
    <t>FAN/16FT/6BLADE/B2-C-66009</t>
  </si>
  <si>
    <t>B2-C-66009</t>
  </si>
  <si>
    <t>FAN/16FT/6BLADE/B2-C-66010</t>
  </si>
  <si>
    <t>B2-C-66010</t>
  </si>
  <si>
    <t>FAN/16FT/6BLADE/B2-C-66011</t>
  </si>
  <si>
    <t>B2-C-66011</t>
  </si>
  <si>
    <t>FAN/16FT/6BLADE/B2-C-66012</t>
  </si>
  <si>
    <t>B2-C-66012</t>
  </si>
  <si>
    <t>Hub(s) B3</t>
    <phoneticPr fontId="3" type="noConversion"/>
  </si>
  <si>
    <t xml:space="preserve">Disk(s) SDB600/1H Diameter 600 </t>
    <phoneticPr fontId="3" type="noConversion"/>
  </si>
  <si>
    <t>Hub Bolt Kit K/B3/SDM/2 INOX</t>
    <phoneticPr fontId="3" type="noConversion"/>
  </si>
  <si>
    <t>Hub Bolt Kit K/B3/UHVR/6P/3E INOX</t>
    <phoneticPr fontId="3" type="noConversion"/>
  </si>
  <si>
    <t>Disk spacer B3</t>
    <phoneticPr fontId="3" type="noConversion"/>
  </si>
  <si>
    <t>Washer(s) R/B3/100/10/1Z Hole 21</t>
    <phoneticPr fontId="3" type="noConversion"/>
  </si>
  <si>
    <t>PGU-DE-0139-FFC-ROT-016</t>
    <phoneticPr fontId="3" type="noConversion"/>
  </si>
  <si>
    <t>RIGHT GEAR/45KW/B1-C(G)-66001 with Coupling</t>
    <phoneticPr fontId="3" type="noConversion"/>
  </si>
  <si>
    <t>CCP-W-B182-09-ME-B18-0002</t>
  </si>
  <si>
    <t>B1-C(G)-66001</t>
  </si>
  <si>
    <t>RIGHT GEAR/45KW/B1-C(G)-66002 with Coupling</t>
  </si>
  <si>
    <t>B1-C(G)-66002</t>
  </si>
  <si>
    <t>RIGHT GEAR/45KW/B1-C(G)-66003 with Coupling</t>
  </si>
  <si>
    <t>B1-C(G)-66003</t>
  </si>
  <si>
    <t>RIGHT GEAR/45KW/B1-C(G)-66004 with Coupling</t>
  </si>
  <si>
    <t>B1-C(G)-66004</t>
  </si>
  <si>
    <t>RIGHT GEAR/45KW/B1-C(G)-66005 with Coupling</t>
  </si>
  <si>
    <t>B1-C(G)-66005</t>
  </si>
  <si>
    <t>RIGHT GEAR/45KW/B1-C(G)-66006 with Coupling</t>
  </si>
  <si>
    <t>B1-C(G)-66006</t>
  </si>
  <si>
    <t>PGU-DE-0139-FFC-ROT-017</t>
    <phoneticPr fontId="3" type="noConversion"/>
  </si>
  <si>
    <t>RIGHT GEAR/45KW/B1-C(G)-66007 with Coupling</t>
  </si>
  <si>
    <t>B1-C(G)-66007</t>
  </si>
  <si>
    <t>RIGHT GEAR/45KW/B1-C(G)-66008 with Coupling</t>
  </si>
  <si>
    <t>B1-C(G)-66008</t>
  </si>
  <si>
    <t>RIGHT GEAR/45KW/B1-C(G)-66009 with Coupling</t>
  </si>
  <si>
    <t>B1-C(G)-66009</t>
  </si>
  <si>
    <t>RIGHT GEAR/45KW/B1-C(G)-66010 with Coupling</t>
  </si>
  <si>
    <t>B1-C(G)-66010</t>
  </si>
  <si>
    <t>RIGHT GEAR/45KW/B1-C(G)-66011 with Coupling</t>
  </si>
  <si>
    <t>B1-C(G)-66011</t>
  </si>
  <si>
    <t>RIGHT GEAR/45KW/B1-C(G)-66012 with Coupling</t>
    <phoneticPr fontId="3" type="noConversion"/>
  </si>
  <si>
    <t>B1-C(G)-66012</t>
  </si>
  <si>
    <t>PGU-DE-0139-FFC-ROT-018</t>
    <phoneticPr fontId="3" type="noConversion"/>
  </si>
  <si>
    <t>RIGHT GEAR/45KW/B2-C(G)-66001 with Coupling</t>
    <phoneticPr fontId="3" type="noConversion"/>
  </si>
  <si>
    <t>B2-C(G)-66001</t>
    <phoneticPr fontId="3" type="noConversion"/>
  </si>
  <si>
    <t>RIGHT GEAR/45KW/B2-C(G)-66002 with Coupling</t>
  </si>
  <si>
    <t>B2-C(G)-66002</t>
  </si>
  <si>
    <t>RIGHT GEAR/45KW/B2-C(G)-66003 with Coupling</t>
  </si>
  <si>
    <t>B2-C(G)-66003</t>
  </si>
  <si>
    <t>RIGHT GEAR/45KW/B2-C(G)-66004 with Coupling</t>
    <phoneticPr fontId="3" type="noConversion"/>
  </si>
  <si>
    <t>B2-C(G)-66004</t>
  </si>
  <si>
    <t>RIGHT GEAR/45KW/B2-C(G)-66005 with Coupling</t>
  </si>
  <si>
    <t>B2-C(G)-66005</t>
  </si>
  <si>
    <t>RIGHT GEAR/45KW/B2-C(G)-66006 with Coupling</t>
  </si>
  <si>
    <t>B2-C(G)-66006</t>
  </si>
  <si>
    <t>PGU-DE-0139-FFC-ROT-019</t>
    <phoneticPr fontId="3" type="noConversion"/>
  </si>
  <si>
    <t>RIGHT GEAR/45KW/B2-C(G)-66007 with Coupling</t>
  </si>
  <si>
    <t>B2-C(G)-66007</t>
  </si>
  <si>
    <t>RIGHT GEAR/45KW/B2-C(G)-66008 with Coupling</t>
  </si>
  <si>
    <t>B2-C(G)-66008</t>
  </si>
  <si>
    <t>RIGHT GEAR/45KW/B2-C(G)-66009 with Coupling</t>
  </si>
  <si>
    <t>B2-C(G)-66009</t>
  </si>
  <si>
    <t>RIGHT GEAR/45KW/B2-C(G)-66010 with Coupling</t>
  </si>
  <si>
    <t>B2-C(G)-66010</t>
  </si>
  <si>
    <t>RIGHT GEAR/45KW/B2-C(G)-66011 with Coupling</t>
  </si>
  <si>
    <t>B2-C(G)-66011</t>
  </si>
  <si>
    <t>RIGHT GEAR/45KW/B2-C(G)-66012 with Coupling</t>
  </si>
  <si>
    <t>B2-C(G)-66012</t>
  </si>
  <si>
    <t>PGU-DE-0139-FFC-ROT-020</t>
    <phoneticPr fontId="3" type="noConversion"/>
  </si>
  <si>
    <t>PUMP/50Bar/132L/min/B1-P-66001</t>
    <phoneticPr fontId="3" type="noConversion"/>
  </si>
  <si>
    <t>CCP-W-B182-09-ME-B18-0004</t>
  </si>
  <si>
    <t>B1-P-66001</t>
    <phoneticPr fontId="3" type="noConversion"/>
  </si>
  <si>
    <t>PUMP/50Bar/132L/min/B1-P-66002</t>
  </si>
  <si>
    <t>B1-P-66002</t>
  </si>
  <si>
    <t>PGU-DE-0139-FFC-ROT-021</t>
    <phoneticPr fontId="3" type="noConversion"/>
  </si>
  <si>
    <t>PUMP/50Bar/132L/min/B2-P-66001</t>
    <phoneticPr fontId="3" type="noConversion"/>
  </si>
  <si>
    <t>B2-P-66001</t>
    <phoneticPr fontId="3" type="noConversion"/>
  </si>
  <si>
    <t>PUMP/50Bar/132L/min/B2-P-66002</t>
  </si>
  <si>
    <t>B2-P-66002</t>
  </si>
  <si>
    <t>PGU-DE-0139-FFC-ROT-022</t>
    <phoneticPr fontId="3" type="noConversion"/>
  </si>
  <si>
    <t>TANK with blind flange / B1-TK-66001</t>
    <phoneticPr fontId="3" type="noConversion"/>
  </si>
  <si>
    <t>CCP-W-B182-09-ME-B18-0003</t>
    <phoneticPr fontId="3" type="noConversion"/>
  </si>
  <si>
    <t>B1-TK-66001</t>
    <phoneticPr fontId="3" type="noConversion"/>
  </si>
  <si>
    <t>PGU-DE-0139-FFC-ROT-023</t>
    <phoneticPr fontId="3" type="noConversion"/>
  </si>
  <si>
    <t>TANK with blind flange / B2-TK-66001</t>
    <phoneticPr fontId="3" type="noConversion"/>
  </si>
  <si>
    <t>B2-TK-66001</t>
    <phoneticPr fontId="3" type="noConversion"/>
  </si>
  <si>
    <t>PGU-DE-0139-FFC-ROT-024</t>
    <phoneticPr fontId="3" type="noConversion"/>
  </si>
  <si>
    <t>B1-MV-66101~66148,FIN FAN COOLER INLET &amp; OUTLET,GATE VALVE 6 #150</t>
  </si>
  <si>
    <t>PGU-DE-0139-FFC-ROT-025</t>
    <phoneticPr fontId="3" type="noConversion"/>
  </si>
  <si>
    <t>PGU-DE-0139-FFC-ROT-026</t>
    <phoneticPr fontId="3" type="noConversion"/>
  </si>
  <si>
    <t>PGU-DE-0139-FFC-ROT-027</t>
    <phoneticPr fontId="3" type="noConversion"/>
  </si>
  <si>
    <t>PGU-DE-0139-FFC-ROT-028</t>
    <phoneticPr fontId="3" type="noConversion"/>
  </si>
  <si>
    <t>B2-MV-66101~66148,FIN FAN COOLER INLET &amp; OUTLET,GATE VALVE 6 #150</t>
    <phoneticPr fontId="3" type="noConversion"/>
  </si>
  <si>
    <t>PGU-DE-0139-FFC-ROT-029</t>
    <phoneticPr fontId="3" type="noConversion"/>
  </si>
  <si>
    <t>PGU-DE-0139-FFC-ROT-030</t>
    <phoneticPr fontId="3" type="noConversion"/>
  </si>
  <si>
    <t>PGU-DE-0139-FFC-ROT-031</t>
    <phoneticPr fontId="3" type="noConversion"/>
  </si>
  <si>
    <t>PGU-DE-0139-FFC-ROT-032</t>
    <phoneticPr fontId="3" type="noConversion"/>
  </si>
  <si>
    <t>B1-MV-66901~66924,FIN FAN COOLER VENT &amp; DRAIN,GATE VALVE 2 #150</t>
  </si>
  <si>
    <t>B1-MV-66925,CCW LINE VENT,GATE VALVE 1" #600</t>
  </si>
  <si>
    <t>B1-MV-66001~66003,DELUGE TANK MAKE UP LINE,GATE VALVE 2 #600</t>
  </si>
  <si>
    <t>B1-MV-66500,DELUGE TANK VENT NOZZLE,GATE VALVE 2 #150</t>
  </si>
  <si>
    <t>B1-MV-66505,DELUGE TANK DRAIN NOZZLE,GATE VALVE 2 #150</t>
  </si>
  <si>
    <t>B1-MV-66501~66502,DELUGE TANK LEVEL GAUGE NOZZLE,GATE VALVE 2 #150</t>
  </si>
  <si>
    <t>B1-MV-66503~66504,DELUGE TANK LEVEL TRANS. NOZZLE,GATE VALVE 3 #150</t>
  </si>
  <si>
    <t>B1-STR-66001~66002,DELUGE SPRAY PUMP STRAINER,STRAINER VALVE 2 #150</t>
  </si>
  <si>
    <t>B2-MV-66901~66924,FIN FAN COOLER VENT &amp; DRAIN,GATE VALVE 2 #150</t>
  </si>
  <si>
    <t>B2-MV-66925,CCW LINE VENT,GATE VALVE 1" #600</t>
  </si>
  <si>
    <t>B2-MV-66001~66003,DELUGE TANK MAKE UP LINE,GATE VALVE 2 #600</t>
  </si>
  <si>
    <t>B2-MV-66500,DELUGE TANK VENT NOZZLE,GATE VALVE 2 #150</t>
  </si>
  <si>
    <t>B2-MV-66505,DELUGE TANK DRAIN NOZZLE,GATE VALVE 2 #150</t>
  </si>
  <si>
    <t>B2-MV-66501~66502,DELUGE TANK LEVEL GAUGE NOZZLE,GATE VALVE 2 #150</t>
  </si>
  <si>
    <t>B2-MV-66503~66504,DELUGE TANK LEVEL TRANS. NOZZLE,GATE VALVE 3 #150</t>
  </si>
  <si>
    <t>B2-STR-66001~66002,DELUGE SPRAY PUMP STRAINER,STRAINER VALVE 2 #150</t>
  </si>
  <si>
    <t>BLOCK 1,STUD B/2HHN,1/2"13UNC*65L,SA193-B7/SA194-2H</t>
    <phoneticPr fontId="3" type="noConversion"/>
  </si>
  <si>
    <t>BLOCK 1,STUD B/2HHN,5/8"11UNC*100L,SA193-B7/SA194-2H</t>
    <phoneticPr fontId="3" type="noConversion"/>
  </si>
  <si>
    <t>BLOCK 1,STUD B/2HHN,5/8"*11UNC*90L,SA193-B7/SA194-2H</t>
    <phoneticPr fontId="3" type="noConversion"/>
  </si>
  <si>
    <t>BLOCK 1,STUD B/2HHN,5/8"*11UNC*115L,SA193-B7/SA194-2H</t>
    <phoneticPr fontId="3" type="noConversion"/>
  </si>
  <si>
    <t>BLOCK 1,STUD B/2HHN,3/4"*10UNC*110L,SA193-B7/SA194-2H</t>
    <phoneticPr fontId="3" type="noConversion"/>
  </si>
  <si>
    <t>BLOCK 1,STUD B/2HHN,1-1/8"*8UN*170L,SA193-B7/SA194-2H</t>
    <phoneticPr fontId="3" type="noConversion"/>
  </si>
  <si>
    <t>BLOCK 1,STUD B/2HHN,5/8"*11UNC*90L,SA193-B8/SA194-8</t>
    <phoneticPr fontId="3" type="noConversion"/>
  </si>
  <si>
    <t>BLOCK 2,STUD B/2HHN,1/2"13UNC*65L,SA193-B7/SA194-2H</t>
    <phoneticPr fontId="3" type="noConversion"/>
  </si>
  <si>
    <t>BLOCK 2,STUD B/2HHN,5/8"11UNC*100L,SA193-B7/SA194-2H</t>
    <phoneticPr fontId="3" type="noConversion"/>
  </si>
  <si>
    <t>BLOCK 2,STUD B/2HHN,5/8"*11UNC*90L,SA193-B7/SA194-2H</t>
    <phoneticPr fontId="3" type="noConversion"/>
  </si>
  <si>
    <t>BLOCK 2,STUD B/2HHN,5/8"*11UNC*115L,SA193-B7/SA194-2H</t>
    <phoneticPr fontId="3" type="noConversion"/>
  </si>
  <si>
    <t>BLOCK 2,STUD B/2HHN,3/4"*10UNC*110L,SA193-B7/SA194-2H</t>
    <phoneticPr fontId="3" type="noConversion"/>
  </si>
  <si>
    <t>BLOCK 2,STUD B/2HHN,1-1/8"*8UN*170L,SA193-B7/SA194-2H</t>
    <phoneticPr fontId="3" type="noConversion"/>
  </si>
  <si>
    <t>BLOCK 2,STUD B/2HHN,5/8"*11UNC*90L,SA193-B8/SA194-8</t>
    <phoneticPr fontId="3" type="noConversion"/>
  </si>
  <si>
    <t>BLOCK 1,SPIRAL WOUND GASKET,4.5T, 1/2" ASME CL.150 RF</t>
    <phoneticPr fontId="3" type="noConversion"/>
  </si>
  <si>
    <t>BLOCK 1,SPIRAL WOUND GASKET,4.5T, 1" ASME CL.600 RF</t>
    <phoneticPr fontId="3" type="noConversion"/>
  </si>
  <si>
    <t>BLOCK 1,SPIRAL WOUND GASKET,4.5T, 2" ASME CL.150 RF</t>
    <phoneticPr fontId="3" type="noConversion"/>
  </si>
  <si>
    <t>BLOCK 1,SPIRAL WOUND GASKET,4.5T, 2" ASME CL.600 RF</t>
    <phoneticPr fontId="3" type="noConversion"/>
  </si>
  <si>
    <t>BLOCK 1,SPIRAL WOUND GASKET,4.5T, 6" ASME CL.150 RF</t>
    <phoneticPr fontId="3" type="noConversion"/>
  </si>
  <si>
    <t>BLOCK 1,SPIRAL WOUND GASKET,4.5T, 20" ASME CL.150 RF</t>
    <phoneticPr fontId="3" type="noConversion"/>
  </si>
  <si>
    <t>BLOCK 2,SPIRAL WOUND GASKET,4.5T, 1/2" ASME CL.150 RF</t>
    <phoneticPr fontId="3" type="noConversion"/>
  </si>
  <si>
    <t>BLOCK 2,SPIRAL WOUND GASKET,4.5T, 1" ASME CL.600 RF</t>
    <phoneticPr fontId="3" type="noConversion"/>
  </si>
  <si>
    <t>BLOCK 2,SPIRAL WOUND GASKET,4.5T, 2" ASME CL.150 RF</t>
    <phoneticPr fontId="3" type="noConversion"/>
  </si>
  <si>
    <t>BLOCK 2,SPIRAL WOUND GASKET,4.5T, 2" ASME CL.600 RF</t>
    <phoneticPr fontId="3" type="noConversion"/>
  </si>
  <si>
    <t>BLOCK 2,SPIRAL WOUND GASKET,4.5T, 6" ASME CL.150 RF</t>
    <phoneticPr fontId="3" type="noConversion"/>
  </si>
  <si>
    <t>BLOCK 2,SPIRAL WOUND GASKET,4.5T, 20" ASME CL.150 RF</t>
    <phoneticPr fontId="3" type="noConversion"/>
  </si>
  <si>
    <t>U-BOLT/4N , 1-1/2" x M10 (C TYPE)</t>
    <phoneticPr fontId="3" type="noConversion"/>
  </si>
  <si>
    <t>CCP-W-B182-09-ME-P14-0002</t>
  </si>
  <si>
    <t>U-BOLT/4N , 2" x M10 (C TYPE)</t>
    <phoneticPr fontId="3" type="noConversion"/>
  </si>
  <si>
    <t>BLOCK 1,ANCHOR BOLT/N/PW, A307, M16*150L</t>
    <phoneticPr fontId="3" type="noConversion"/>
  </si>
  <si>
    <t>BLOCK 1,ANCHOR BOLT/N/PW, A307, M20*200L</t>
    <phoneticPr fontId="3" type="noConversion"/>
  </si>
  <si>
    <t>BLOCK 1,HEX.B/N/2PW, A307, M12*50L</t>
    <phoneticPr fontId="3" type="noConversion"/>
  </si>
  <si>
    <t>BLOCK 2,HEX.B/N/2PW, A307, M12*50L</t>
    <phoneticPr fontId="3" type="noConversion"/>
  </si>
  <si>
    <t>TAG PLATE, 3T*50*140 (FOR GEAR, PUMP,FAN,MOTOR)</t>
    <phoneticPr fontId="3" type="noConversion"/>
  </si>
  <si>
    <t>WIRE, 1.5SQ*20000mm</t>
    <phoneticPr fontId="3" type="noConversion"/>
  </si>
  <si>
    <t>SLEEVE RING TERMINAL, 2SQ</t>
    <phoneticPr fontId="3" type="noConversion"/>
  </si>
  <si>
    <t>NAME PLATE 150x50x3T, SUS316 ( For VS, TT, LIT, PG, LG, MOV )</t>
  </si>
  <si>
    <t>WIRE 1.5 SQ, 12000mm, SUS316 (spare : 1500mm)</t>
  </si>
  <si>
    <t>SLEEVE RING TERMINAL 2 SQ, SUS316 ( spare: 4EA)</t>
  </si>
  <si>
    <t>NAME PLATE 150x50x3T, SUS316 (For PIT)</t>
  </si>
  <si>
    <t>RIVETS D:4.8mm, L:16mm, SUS (spare : 2EA)</t>
  </si>
  <si>
    <t>TAG PLATE 150x50x3T, SS316 (For TT , LIT )</t>
    <phoneticPr fontId="3" type="noConversion"/>
  </si>
  <si>
    <t>WIRE 1.5SQ, 2000mm, SS316</t>
    <phoneticPr fontId="3" type="noConversion"/>
  </si>
  <si>
    <t>SLEEVE RING TERMINAL 2SQ, SS316</t>
  </si>
  <si>
    <t>TAG PLATE 150x50x3T, SS316 (For PIT)</t>
    <phoneticPr fontId="3" type="noConversion"/>
  </si>
  <si>
    <t>RIVETS D:4.8mm, L:16mm, SUS</t>
  </si>
  <si>
    <t>TAG PLATE 150x50x3T, SUS316 (For JUNCTION BOX)</t>
    <phoneticPr fontId="3" type="noConversion"/>
  </si>
  <si>
    <t>SUS WIRE 1.5SQ, SUS304</t>
  </si>
  <si>
    <t>SLEEVE TERMINAL 2.0SQ x 25cm, 8m,  Maker STD</t>
  </si>
  <si>
    <t>SUS TUBE 1/2''O.D x 0.065 THK, 6m(1PCS), SS316</t>
  </si>
  <si>
    <t>MALE CONNECTOR 1/2''NPT(M)x1/2''O.D,3000LB, Compression Fitting(Double Ferrules), SS316</t>
  </si>
  <si>
    <t>PIPE END CONNECTOR 1/2''Pipe End - Compression Fitting(Double Ferrules),3000LB, SS316</t>
  </si>
  <si>
    <t>SUS TUBE CONNECTOR SUS TUBE SIZE: 1/2''OD x 0.065 THK, SS316/3000LB</t>
  </si>
  <si>
    <t>PGU-DE-0139-FFC-ROT-033</t>
    <phoneticPr fontId="3" type="noConversion"/>
  </si>
  <si>
    <t>AIR COMPRESSOR/SA39-40-3.5 with Air hose &amp; Air Gun</t>
    <phoneticPr fontId="3" type="noConversion"/>
  </si>
  <si>
    <t>CCP-W-B182-09-ME-B18-0005</t>
  </si>
  <si>
    <t>PGU-DE-0139-FFC-ROT-034</t>
    <phoneticPr fontId="3" type="noConversion"/>
  </si>
  <si>
    <t>MOVABLE PLATFORM/BIG3-TAF-3</t>
    <phoneticPr fontId="3" type="noConversion"/>
  </si>
  <si>
    <t>INCLINOMETER for Fan</t>
    <phoneticPr fontId="3" type="noConversion"/>
  </si>
  <si>
    <t>PLUG WRENCH for Fan</t>
    <phoneticPr fontId="3" type="noConversion"/>
  </si>
  <si>
    <t>PGU-DE-0139-FFC-ROT-035</t>
    <phoneticPr fontId="3" type="noConversion"/>
  </si>
  <si>
    <t>BLOCK 1,MINERAL WOOL 50T*20"(120K*50T*1M*4M)</t>
    <phoneticPr fontId="3" type="noConversion"/>
  </si>
  <si>
    <t>PGU-DE-0139-FFC-ROT-036</t>
    <phoneticPr fontId="3" type="noConversion"/>
  </si>
  <si>
    <t>PGU-DE-0139-FFC-ROT-037</t>
    <phoneticPr fontId="3" type="noConversion"/>
  </si>
  <si>
    <t>BLOCK 2,MINERAL WOOL 50T*20"(120K*50T*1M*4M)</t>
    <phoneticPr fontId="3" type="noConversion"/>
  </si>
  <si>
    <t>PGU-DE-0139-FFC-ROT-038</t>
    <phoneticPr fontId="3" type="noConversion"/>
  </si>
  <si>
    <t>PGU-DE-0139-FFC-ROT-039</t>
    <phoneticPr fontId="3" type="noConversion"/>
  </si>
  <si>
    <t>BLOCK 1,MINERAL WOOL COVER 6"*30T*1M</t>
    <phoneticPr fontId="3" type="noConversion"/>
  </si>
  <si>
    <t>BLOCK 1,MINERAL WOOL COVER  3/4"*30T*1M</t>
    <phoneticPr fontId="3" type="noConversion"/>
  </si>
  <si>
    <t>ㅎ</t>
    <phoneticPr fontId="3" type="noConversion"/>
  </si>
  <si>
    <t>BLOCK 1,MINERAL WOOL COVER 1-1/2"*30T*1M</t>
    <phoneticPr fontId="3" type="noConversion"/>
  </si>
  <si>
    <t>BLOCK 1,MINERAL WOOL COVER 2-1/2"*30T*1M</t>
    <phoneticPr fontId="3" type="noConversion"/>
  </si>
  <si>
    <t>BLOCK 1,AL A/3003 0.6T*1M*1M</t>
    <phoneticPr fontId="3" type="noConversion"/>
  </si>
  <si>
    <t>BLOCK 1,SS BAND 13MM 5KG</t>
    <phoneticPr fontId="3" type="noConversion"/>
  </si>
  <si>
    <t>BLOCK 1,SS WIRE Φ1.2 5KG</t>
    <phoneticPr fontId="3" type="noConversion"/>
  </si>
  <si>
    <t>BLOCK 1,TAPPING SCREW Φ4*16L</t>
    <phoneticPr fontId="3" type="noConversion"/>
  </si>
  <si>
    <t>BLOCK 1,SS CLIP 13MM</t>
    <phoneticPr fontId="3" type="noConversion"/>
  </si>
  <si>
    <t>BLOCK 1,SS BAND 19MM*760M</t>
    <phoneticPr fontId="3" type="noConversion"/>
  </si>
  <si>
    <t>BLOCK 1,SS WIRE Φ1.6 25KG</t>
    <phoneticPr fontId="3" type="noConversion"/>
  </si>
  <si>
    <t>BLOCK 1,SS CLIP 19MM</t>
    <phoneticPr fontId="3" type="noConversion"/>
  </si>
  <si>
    <t>COMMON, CERAK WOOL 50T 1BOX</t>
    <phoneticPr fontId="3" type="noConversion"/>
  </si>
  <si>
    <t>COMMON, BAND 13MM 5KG</t>
    <phoneticPr fontId="3" type="noConversion"/>
  </si>
  <si>
    <t>COMMON, CLIP 13MM</t>
    <phoneticPr fontId="3" type="noConversion"/>
  </si>
  <si>
    <t>PGU-DE-0139-FFC-ROT-040</t>
    <phoneticPr fontId="3" type="noConversion"/>
  </si>
  <si>
    <t>BLOCK 2,MINERAL WOOL COVER 6"*30T*1M</t>
    <phoneticPr fontId="3" type="noConversion"/>
  </si>
  <si>
    <t>BLOCK 2,MINERAL WOOL COVER  3/4"*30T*1M</t>
    <phoneticPr fontId="3" type="noConversion"/>
  </si>
  <si>
    <t>BLOCK 2,MINERAL WOOL COVER 1-1/2"*30T*1M</t>
    <phoneticPr fontId="3" type="noConversion"/>
  </si>
  <si>
    <t>BLOCK 2,MINERAL WOOL COVER 2-1/2"*30T*1M</t>
    <phoneticPr fontId="3" type="noConversion"/>
  </si>
  <si>
    <t>BLOCK 2,AL A/3003 0.6T*1M*1M</t>
    <phoneticPr fontId="3" type="noConversion"/>
  </si>
  <si>
    <t>BLOCK 2,SS BAND 13MM 5KG</t>
    <phoneticPr fontId="3" type="noConversion"/>
  </si>
  <si>
    <t>BLOCK 2,SS WIRE Φ1.2 5KG</t>
    <phoneticPr fontId="3" type="noConversion"/>
  </si>
  <si>
    <t>BLOCK 2,TAPPING SCREW Φ4*16L</t>
    <phoneticPr fontId="3" type="noConversion"/>
  </si>
  <si>
    <t>BLOCK 2,SS CLIP 13MM</t>
    <phoneticPr fontId="3" type="noConversion"/>
  </si>
  <si>
    <t>BLOCK 2,SS BAND 19MM*760M</t>
    <phoneticPr fontId="3" type="noConversion"/>
  </si>
  <si>
    <t>BLOCK 2,SS WIRE Φ1.6 25KG</t>
    <phoneticPr fontId="3" type="noConversion"/>
  </si>
  <si>
    <t>BLOCK 2,SS CLIP 19MM</t>
    <phoneticPr fontId="3" type="noConversion"/>
  </si>
  <si>
    <t>PGU-DE-0139-FFC-ROT-041</t>
    <phoneticPr fontId="3" type="noConversion"/>
  </si>
  <si>
    <t>BLOCK 1,ISOLATION KIT, 4.5T, 2" ASME #150 RF</t>
    <phoneticPr fontId="3" type="noConversion"/>
  </si>
  <si>
    <t>BLOCK 2,ISOLATION KIT, 4.5T, 2" ASME #150 RF</t>
    <phoneticPr fontId="3" type="noConversion"/>
  </si>
  <si>
    <t>VIBRATION SWITCH IP66, 3/4''NPT, PT500-021-01, Dry Contact, Maker STD</t>
    <phoneticPr fontId="3" type="noConversion"/>
  </si>
  <si>
    <t>TEMPERATURE TRANSMITTER R911&amp;TTH-300, IP67, 3/4''NPT(F)(W/ SUN SHADE 230x370x125 1set)</t>
    <phoneticPr fontId="3" type="noConversion"/>
  </si>
  <si>
    <t>PRESSURE TRANSMITTER Cerabar PMP71B, IP66/68, 100bar, M20*3/4''NPT(W/ SUN SHADE 230x370x125 1set)</t>
    <phoneticPr fontId="3" type="noConversion"/>
  </si>
  <si>
    <t>2WAY MANIFOLD 1EA , ADAPTOR 2EA FOR PRESSURE TRANSMITTER</t>
    <phoneticPr fontId="3" type="noConversion"/>
  </si>
  <si>
    <t>LEVEL TRANSMITTER Deltabar PMD78B, IP66, 500mbar, M20*3/4''NPT(W/ SUN SHADE 230x370x125 1set)</t>
    <phoneticPr fontId="3" type="noConversion"/>
  </si>
  <si>
    <t>LEVEL GAUGE L300, 316SS, Titanium, S.W.4.5T, Aluminum</t>
    <phoneticPr fontId="3" type="noConversion"/>
  </si>
  <si>
    <t>PRESSURE GAUGE 325P, 2-Way Valve, 316/316LSS, 1/2''NPT(F)*1/2''NPT(M)</t>
    <phoneticPr fontId="3" type="noConversion"/>
  </si>
  <si>
    <t>2WAY MANIFOLD FOR  PRESSURE GAUGE</t>
    <phoneticPr fontId="3" type="noConversion"/>
  </si>
  <si>
    <t>BLIND FLANGE 1/2''BLIND FLANGE+1/2''NPT(Center  Thread), 150LB, SS316  FOR  PRESSURE GAUGE</t>
    <phoneticPr fontId="3" type="noConversion"/>
  </si>
  <si>
    <t>TEMPERATURE GAUGE(FOR REDUCER OIL HEATER) T190, 100mm, 304SS(Case&amp;cover), 35L</t>
    <phoneticPr fontId="3" type="noConversion"/>
  </si>
  <si>
    <t>PULL BOX 800 x 800 x 800, 3T  , C.S+H.D.G</t>
    <phoneticPr fontId="3" type="noConversion"/>
  </si>
  <si>
    <t>CROSS CLAMP Vertical: 1-1/4", Horizontal: 1-1/4'', Maker STD</t>
    <phoneticPr fontId="3" type="noConversion"/>
  </si>
  <si>
    <t>WALL 90(ACCESSORY-MOUNT BRACKET WITH FIXING BOLT) Wall mount 45º, Maker Standard</t>
    <phoneticPr fontId="3" type="noConversion"/>
  </si>
  <si>
    <t>HANDRAIL STANCHION
(ACCESSORY-MOUNT BRACKET WITH FIXING BOLT) Handrail Stanchion, Maker Standard</t>
    <phoneticPr fontId="3" type="noConversion"/>
  </si>
  <si>
    <t>CONVENIENCE RECEPTACLE 230V 16A, 3P, 3/4''NPT(F), IP65, Maker Standard</t>
    <phoneticPr fontId="3" type="noConversion"/>
  </si>
  <si>
    <t>SUPPORT FOR SOCKET Type for Convenience, Maker Standard</t>
    <phoneticPr fontId="3" type="noConversion"/>
  </si>
  <si>
    <t>HANDRAIL STANCHION
(ACCESSORY-MOUNT BRACKET WITH FIXING BOLT) Maker STD</t>
    <phoneticPr fontId="3" type="noConversion"/>
  </si>
  <si>
    <t>COUNTER BRACKET Wall 45 Type/150x150x5T Welding with Wall, H.D.G</t>
    <phoneticPr fontId="3" type="noConversion"/>
  </si>
  <si>
    <t>COUNTER BRACKET Handrail Type/150x150x5T Welding with Wall, H.D.G</t>
    <phoneticPr fontId="3" type="noConversion"/>
  </si>
  <si>
    <t>CROSS CLAMP(ACCESORY - SETTING BOLT) Vertical: 1-1/4", Horizontal: 2''SCH40, Maker STD</t>
    <phoneticPr fontId="3" type="noConversion"/>
  </si>
  <si>
    <t>JUNCTION BOX(FOR ANALOGUE JB) IP65, SS316 WITH COVER</t>
    <phoneticPr fontId="3" type="noConversion"/>
  </si>
  <si>
    <t>JUNCTION BOX(FOR DIGITAL SIGNAL JB) IP65, SS316 WITH COVER</t>
    <phoneticPr fontId="3" type="noConversion"/>
  </si>
  <si>
    <t>BLOCK 1,SPRAY NOZZLE, 1/4" B14NN-SS2</t>
    <phoneticPr fontId="3" type="noConversion"/>
  </si>
  <si>
    <t>B1-MOV-66001,MOV FOR DELUGE TANK,MOV 2 #600</t>
    <phoneticPr fontId="3" type="noConversion"/>
  </si>
  <si>
    <t>B2-MOV-66001,MOV FOR DELUGE TANK,MOV 2 #600</t>
    <phoneticPr fontId="3" type="noConversion"/>
  </si>
  <si>
    <t>COUPLING FOR RIGHTING GEAR</t>
    <phoneticPr fontId="3" type="noConversion"/>
  </si>
  <si>
    <t>PGU-DE-0139-FFC-ROT-042</t>
    <phoneticPr fontId="3" type="noConversion"/>
  </si>
  <si>
    <t>PDP PANEL(FOR SINGLE POWER) 380V, 3Ph, 4Wire, SUS316, IP65</t>
  </si>
  <si>
    <t>PGU-DE-0139-FFC-ROT-043</t>
    <phoneticPr fontId="3" type="noConversion"/>
  </si>
  <si>
    <t>RIGID STEEL CONDUIT 3/4'', H.D.G, NPT, 3m SPAN</t>
    <phoneticPr fontId="3" type="noConversion"/>
  </si>
  <si>
    <t>RIGID STEEL CONDUIT 1'', H.D.G, NPT, 3m SPAN</t>
    <phoneticPr fontId="3" type="noConversion"/>
  </si>
  <si>
    <t>RIGID STEEL CONDUIT 1-1/2'', H.D.G, NPT, 3m SPAN</t>
    <phoneticPr fontId="3" type="noConversion"/>
  </si>
  <si>
    <t>RIGID STEEL CONDUIT 2'', H.D.G, NPT, 3m SPAN</t>
    <phoneticPr fontId="3" type="noConversion"/>
  </si>
  <si>
    <t>RIGID STEEL CONDUIT 3'', H.D.G, NPT, 3m SPAN</t>
    <phoneticPr fontId="3" type="noConversion"/>
  </si>
  <si>
    <t>PGU-DE-0139-FFC-ROT-044</t>
    <phoneticPr fontId="3" type="noConversion"/>
  </si>
  <si>
    <t>NORMAL BEND 1-1/2'', H.D.G</t>
    <phoneticPr fontId="3" type="noConversion"/>
  </si>
  <si>
    <t>NORMAL BEND 2'', H.D.G</t>
    <phoneticPr fontId="3" type="noConversion"/>
  </si>
  <si>
    <t>NORMAL BEND 3'', H.D.G</t>
    <phoneticPr fontId="3" type="noConversion"/>
  </si>
  <si>
    <t>PGU-DE-0139-FFC-ROT-045</t>
    <phoneticPr fontId="3" type="noConversion"/>
  </si>
  <si>
    <t>STRAIGHT(LADDER) W100 x H100 x 2.0T, H.D.G, With Cover, 3m SPAN</t>
    <phoneticPr fontId="3" type="noConversion"/>
  </si>
  <si>
    <t>NO.2,NO.3</t>
    <phoneticPr fontId="3" type="noConversion"/>
  </si>
  <si>
    <t>STRAIGHT(LADDER) W450 x H100 x 2.0T, H.D.G, With Cover, 3m SPAN</t>
    <phoneticPr fontId="3" type="noConversion"/>
  </si>
  <si>
    <t>NO.6,NO.7</t>
    <phoneticPr fontId="3" type="noConversion"/>
  </si>
  <si>
    <t>STRAIGHT(PERFORATED) W300 x H100 x 2.0T, H.D.G, With Cover, 3m SPAN</t>
    <phoneticPr fontId="3" type="noConversion"/>
  </si>
  <si>
    <t>NO.10,NO.11</t>
    <phoneticPr fontId="3" type="noConversion"/>
  </si>
  <si>
    <t>UNISTRUT U-CHANNEL SINGLE 41 x 41 x 2.5T, H.D.G</t>
    <phoneticPr fontId="3" type="noConversion"/>
  </si>
  <si>
    <t>NO,14</t>
    <phoneticPr fontId="3" type="noConversion"/>
  </si>
  <si>
    <t>UNISTRUT U-CHANNEL DOUBLE(FOR CABLE TRAY) 41 x 41 x 2.5T x 2, H.D.G</t>
    <phoneticPr fontId="3" type="noConversion"/>
  </si>
  <si>
    <t>NO,.15</t>
    <phoneticPr fontId="3" type="noConversion"/>
  </si>
  <si>
    <t>PGU-DE-0139-FFC-ROT-046</t>
    <phoneticPr fontId="3" type="noConversion"/>
  </si>
  <si>
    <t>STRAIGHT(LADDER) W300 x H100 x 2.0T, H.D.G, With Cover, 3m SPAN</t>
    <phoneticPr fontId="3" type="noConversion"/>
  </si>
  <si>
    <t>NO.4,NO.5</t>
    <phoneticPr fontId="3" type="noConversion"/>
  </si>
  <si>
    <t>STRAIGHT(PERFORATED) W100 x H100 x 2.0T, H.D.G, With Cover, 3m SPAN</t>
    <phoneticPr fontId="3" type="noConversion"/>
  </si>
  <si>
    <t>NO.8,NO.9</t>
    <phoneticPr fontId="3" type="noConversion"/>
  </si>
  <si>
    <t>NO.12,13</t>
    <phoneticPr fontId="3" type="noConversion"/>
  </si>
  <si>
    <t>PGU-DE-0139-FFC-ROT-047</t>
    <phoneticPr fontId="3" type="noConversion"/>
  </si>
  <si>
    <t>HORIZONTAL ELBOW(LADDER) W100 x H100 x 2.0T, H.D.G, With Cover</t>
    <phoneticPr fontId="3" type="noConversion"/>
  </si>
  <si>
    <t>NO.1</t>
    <phoneticPr fontId="3" type="noConversion"/>
  </si>
  <si>
    <t>VERTICAL ELBOW(LADDER) INSIDE, W100 x H100 x 2.0T, H.D.G, With Cover</t>
    <phoneticPr fontId="3" type="noConversion"/>
  </si>
  <si>
    <t>VERTICAL ELBOW(LADDER) OUTSIDE, W100 x H100 x 2.0T, H.D.G, With Cover</t>
    <phoneticPr fontId="3" type="noConversion"/>
  </si>
  <si>
    <t>VERTICAL TEE(LADDER) W100 x H100 x 2.0T, H.D.G, With Cover</t>
    <phoneticPr fontId="3" type="noConversion"/>
  </si>
  <si>
    <t>VERTICAL TEE(LADDER) W450 x H100 x 2.0T, H.D.G, With Cover</t>
    <phoneticPr fontId="3" type="noConversion"/>
  </si>
  <si>
    <t>REDUCER(LEFT, LADDER) W450 - 300 x 2.0T, H.D.G, With Cover</t>
    <phoneticPr fontId="3" type="noConversion"/>
  </si>
  <si>
    <t>REDUCER(RIGHT, LADDER) W300 - 100 x 2.0T, H.D.G, With Cover</t>
    <phoneticPr fontId="3" type="noConversion"/>
  </si>
  <si>
    <t>REDUCER(RIGHT, LADDER) W450 - 300 x 2.0T, H.D.G, With Cover</t>
    <phoneticPr fontId="3" type="noConversion"/>
  </si>
  <si>
    <t>HORIZONTAL ELBOW(PERFORATED) W100 x H100 x 2.0T, H.D.G, With Cover</t>
    <phoneticPr fontId="3" type="noConversion"/>
  </si>
  <si>
    <t>VERTICAL ELBOW(PERFORATED) INSIDE, W100 x H100 x 2.0T, H.D.G, With Cover</t>
    <phoneticPr fontId="3" type="noConversion"/>
  </si>
  <si>
    <t>VERTICAL ELBOW(PERFORATED) OUTSIDE, W100 x H100 x 2.0T, H.D.G, With Cover</t>
    <phoneticPr fontId="3" type="noConversion"/>
  </si>
  <si>
    <t>VERTICAL TEE(PERFORATED) W100 x H100 x 2.0T, H.D.G, With Cover</t>
    <phoneticPr fontId="3" type="noConversion"/>
  </si>
  <si>
    <t>VERTICAL TEE(PERFORATED) W300 x H100 x 2.0T, H.D.G, With Cover</t>
    <phoneticPr fontId="3" type="noConversion"/>
  </si>
  <si>
    <t>REDUCER(RIGHT, PERFORATED) W300 - 100 x 2.0T, H.D.G, With Cover</t>
    <phoneticPr fontId="3" type="noConversion"/>
  </si>
  <si>
    <t>COVER CLAMP W100 x H100 x 4.5T, H.D.G</t>
    <phoneticPr fontId="3" type="noConversion"/>
  </si>
  <si>
    <t>NO.17</t>
    <phoneticPr fontId="3" type="noConversion"/>
  </si>
  <si>
    <t>COVER CLAMP W300 x H100 x 4.5T, H.D.G</t>
    <phoneticPr fontId="3" type="noConversion"/>
  </si>
  <si>
    <t>COVER CLAMP W450 x H100 x 4.5T, H.D.G</t>
    <phoneticPr fontId="3" type="noConversion"/>
  </si>
  <si>
    <t>BLIND END PLATE W100 x H100 x 2.0T, H.D.G</t>
    <phoneticPr fontId="3" type="noConversion"/>
  </si>
  <si>
    <t>NO.16</t>
    <phoneticPr fontId="3" type="noConversion"/>
  </si>
  <si>
    <t>BLIND END PLATE W300 x H100 x 2.0T, H.D.G</t>
    <phoneticPr fontId="3" type="noConversion"/>
  </si>
  <si>
    <t>BLIND END PLATE W450 x H100 x 2.0T, H.D.G</t>
    <phoneticPr fontId="3" type="noConversion"/>
  </si>
  <si>
    <t>ADJUSTABLE HORIZONTAL CONNECTOR
(FOR CABLE TRAY) H100 x 2.3T</t>
    <phoneticPr fontId="3" type="noConversion"/>
  </si>
  <si>
    <t>HOLD DOWN CLAMP(FOR CABLE TRAY) 60 x 40 x 2.6T</t>
    <phoneticPr fontId="3" type="noConversion"/>
  </si>
  <si>
    <t>JOINT CONNECTOR(FOR CABLE TRAY) H100 x 2.3T</t>
    <phoneticPr fontId="3" type="noConversion"/>
  </si>
  <si>
    <t>EXPANSION CONNECTOR(FOR CABLE TRAY) H100 x 2.3T</t>
    <phoneticPr fontId="3" type="noConversion"/>
  </si>
  <si>
    <t>BONDING JUMPER(FOR CABLE TRAY) 16sq.mm x 250L, TINNED COPPER BRAID</t>
    <phoneticPr fontId="3" type="noConversion"/>
  </si>
  <si>
    <t>3-HOLE ANGLE(FOR CABLE TRAY) 105 x 42</t>
    <phoneticPr fontId="3" type="noConversion"/>
  </si>
  <si>
    <t>TRAY TO BOX ANGLE CONNECTOR(FOR CABLE TRAY) 100 x 25, H.D.G</t>
    <phoneticPr fontId="3" type="noConversion"/>
  </si>
  <si>
    <t>ROUND HEAD BOLT WITH WASHERS(FOR CABLE TRAY) M6 x 25L, H.D.G</t>
    <phoneticPr fontId="3" type="noConversion"/>
  </si>
  <si>
    <t>ROUND HEAD BOLT WITH WASHERS(FOR CABLE TRAY) M10 x 25L, H.D.G</t>
    <phoneticPr fontId="3" type="noConversion"/>
  </si>
  <si>
    <t>HEX HEAD BOLT WITH WASHERS(FOR CABLE TRAY) M12 x 30L, H.D.G</t>
    <phoneticPr fontId="3" type="noConversion"/>
  </si>
  <si>
    <t>SPRING NUTS(FOR CABLE TRAY) M6, H.D.G</t>
    <phoneticPr fontId="3" type="noConversion"/>
  </si>
  <si>
    <t>SPRING NUTS(FOR CABLE TRAY) M10 , H.D.G</t>
    <phoneticPr fontId="3" type="noConversion"/>
  </si>
  <si>
    <t>SPRING NUTS(FOR CABLE TRAY) M12, H.D.G</t>
    <phoneticPr fontId="3" type="noConversion"/>
  </si>
  <si>
    <t>SET ANCHOR BOLT M12 x 100L, H.D.G</t>
    <phoneticPr fontId="3" type="noConversion"/>
  </si>
  <si>
    <t>SHANK BOLT &amp; NUT(FOR CABLE TRAY) M10 x 19L, H.D.G</t>
    <phoneticPr fontId="3" type="noConversion"/>
  </si>
  <si>
    <t>HEX HEAD BOLT &amp; NUT(FOR CABLE TRAY) M8 x 28L, H.D.G</t>
    <phoneticPr fontId="3" type="noConversion"/>
  </si>
  <si>
    <t>PGU-DE-0139-FFC-ROT-048</t>
    <phoneticPr fontId="3" type="noConversion"/>
  </si>
  <si>
    <t>ROUND BOX(FOR REDUCER OIL HEATER) 3 Way Round Box, Maker STD</t>
    <phoneticPr fontId="3" type="noConversion"/>
  </si>
  <si>
    <t>SETTING BOLT(FOR REDUCER OIL HEATER) For bracket 10T, SUS316</t>
    <phoneticPr fontId="3" type="noConversion"/>
  </si>
  <si>
    <t>FLEXIBLE CONDUIT 3/4'', WEATHER PROOF, 224m</t>
    <phoneticPr fontId="3" type="noConversion"/>
  </si>
  <si>
    <t>FLEXIBLE CONDUIT 1'', WEATHER PROOF, 4m</t>
    <phoneticPr fontId="3" type="noConversion"/>
  </si>
  <si>
    <t>FLEXIBLE CONDUIT 1-1/2'', WEATHER PROOF, 6m</t>
    <phoneticPr fontId="3" type="noConversion"/>
  </si>
  <si>
    <t>FLEXIBLE CONDUIT 2'', WEATHER PROOF, 8m</t>
    <phoneticPr fontId="3" type="noConversion"/>
  </si>
  <si>
    <t>FLEXIBLE CONDUIT 3'', WEATHER PROOF, 24m</t>
    <phoneticPr fontId="3" type="noConversion"/>
  </si>
  <si>
    <t>FLEXIBLE CONDUIT CONNECTOR 3/4'', WEATHER PROOF</t>
    <phoneticPr fontId="3" type="noConversion"/>
  </si>
  <si>
    <t>FLEXIBLE CONDUIT CONNECTOR 1'', WEATHER PROOF</t>
    <phoneticPr fontId="3" type="noConversion"/>
  </si>
  <si>
    <t>FLEXIBLE CONDUIT CONNECTOR 1-1/2'', WEATHER PROOF</t>
    <phoneticPr fontId="3" type="noConversion"/>
  </si>
  <si>
    <t>FLEXIBLE CONDUIT CONNECTOR 2'', WEATHER PROOF</t>
    <phoneticPr fontId="3" type="noConversion"/>
  </si>
  <si>
    <t>FLEXIBLE CONDUIT CONNECTOR 3'', WEATHER PROOF</t>
    <phoneticPr fontId="3" type="noConversion"/>
  </si>
  <si>
    <t>NORMAL BEND 2'', HI-PVC</t>
    <phoneticPr fontId="3" type="noConversion"/>
  </si>
  <si>
    <t>NORMAL BEND 4'', HI-PVC</t>
    <phoneticPr fontId="3" type="noConversion"/>
  </si>
  <si>
    <t>LOCKNUT &amp; EARTHED BUSHING 3/4''</t>
    <phoneticPr fontId="3" type="noConversion"/>
  </si>
  <si>
    <t>LOCKNUT &amp; EARTHED BUSHING 1''</t>
    <phoneticPr fontId="3" type="noConversion"/>
  </si>
  <si>
    <t>LOCKNUT &amp; EARTHED BUSHING 1-1/2''</t>
    <phoneticPr fontId="3" type="noConversion"/>
  </si>
  <si>
    <t>LOCKNUT &amp; EARTHED BUSHING 2''</t>
    <phoneticPr fontId="3" type="noConversion"/>
  </si>
  <si>
    <t>LOCKNUT &amp; EARTHED BUSHING 3''</t>
    <phoneticPr fontId="3" type="noConversion"/>
  </si>
  <si>
    <t>CONDUIT CLAMP (W/BOLT &amp; NUT) 3/4'', H.D.G</t>
    <phoneticPr fontId="3" type="noConversion"/>
  </si>
  <si>
    <t>CONDUIT CLAMP (W/BOLT &amp; NUT) 1'', H.D.G</t>
    <phoneticPr fontId="3" type="noConversion"/>
  </si>
  <si>
    <t>CONDUIT CLAMP (W/BOLT &amp; NUT) 1-1/2'', H.D.G</t>
    <phoneticPr fontId="3" type="noConversion"/>
  </si>
  <si>
    <t>CONDUIT CLAMP (W/BOLT &amp; NUT) 2'', H.D.G</t>
    <phoneticPr fontId="3" type="noConversion"/>
  </si>
  <si>
    <t>CONDUIT CLAMP (W/BOLT &amp; NUT) 3'', H.D.G</t>
    <phoneticPr fontId="3" type="noConversion"/>
  </si>
  <si>
    <t>CONDUIT REDUCER 1''&lt;&gt;1-1/2'', H.D.G</t>
    <phoneticPr fontId="3" type="noConversion"/>
  </si>
  <si>
    <t>STEEL PLATE 150 x 150 x 6T, H.D.G</t>
    <phoneticPr fontId="3" type="noConversion"/>
  </si>
  <si>
    <t>STEEL PLATE 150 x 250 x 6T, H.D.G</t>
    <phoneticPr fontId="3" type="noConversion"/>
  </si>
  <si>
    <t>STEEL PLATE 200 x 200 x 6T, H.D.G</t>
    <phoneticPr fontId="3" type="noConversion"/>
  </si>
  <si>
    <r>
      <t xml:space="preserve">"C'' CHANNEL 100 x 50 x 5T, </t>
    </r>
    <r>
      <rPr>
        <sz val="12"/>
        <color rgb="FFFF0000"/>
        <rFont val="Calibri"/>
        <family val="2"/>
      </rPr>
      <t>5m</t>
    </r>
    <r>
      <rPr>
        <sz val="12"/>
        <color indexed="8"/>
        <rFont val="Calibri"/>
        <family val="2"/>
      </rPr>
      <t xml:space="preserve"> SPAN, H.D.G</t>
    </r>
    <phoneticPr fontId="3" type="noConversion"/>
  </si>
  <si>
    <t>CABLE TIE 200mm, STEEL, NO COATING, SUS 316</t>
    <phoneticPr fontId="3" type="noConversion"/>
  </si>
  <si>
    <t>FORM SPRAY 450ml, POLYURETHANE</t>
    <phoneticPr fontId="3" type="noConversion"/>
  </si>
  <si>
    <t>TOUSH-UP PAINT 450ml, ZINC PRIMER SPRAY, SILVER(317)</t>
    <phoneticPr fontId="3" type="noConversion"/>
  </si>
  <si>
    <t>PVC CONDUIT 2'', 4m SPAN, HI-PVC, With Coupling</t>
    <phoneticPr fontId="3" type="noConversion"/>
  </si>
  <si>
    <t>PVC CONDUIT 4'', 4m SPAN, HI-PVC, With Coupling</t>
    <phoneticPr fontId="3" type="noConversion"/>
  </si>
  <si>
    <t>U-BOLT &amp; NUT 1-1/4''</t>
    <phoneticPr fontId="3" type="noConversion"/>
  </si>
  <si>
    <t>PVC CONDUIT CONNECTOR 2'', HI-PVC WITH COUPLING 2EA</t>
    <phoneticPr fontId="3" type="noConversion"/>
  </si>
  <si>
    <t>TERMINAL LUG ''O''TYPE 1sqmm x M4, No INSULATION, THIND COOPER</t>
    <phoneticPr fontId="3" type="noConversion"/>
  </si>
  <si>
    <t>TERMINAL LUG ''Y''TYPE 1sqmm x M3, No INSULATION, THIND COOPER</t>
    <phoneticPr fontId="3" type="noConversion"/>
  </si>
  <si>
    <t>TERMINAL LUG ''O''TYPE 4sqmm x M5, No INSULATION, THIND COOPER</t>
    <phoneticPr fontId="3" type="noConversion"/>
  </si>
  <si>
    <t>TERMINAL LUG ''O''TYPE 4sqmm x M6, No INSULATION, THIND COOPER</t>
    <phoneticPr fontId="3" type="noConversion"/>
  </si>
  <si>
    <t>TERMINAL LUG ''O''TYPE 25sqmm, No INSULATION, THIND COOPER</t>
    <phoneticPr fontId="3" type="noConversion"/>
  </si>
  <si>
    <t>TERMINAL LUG ''O''TYPE 50sqmm, No INSULATION, THIND COOPER</t>
    <phoneticPr fontId="3" type="noConversion"/>
  </si>
  <si>
    <t>TERMINAL LUG ''O''TYPE 95sqmm, No INSULATION, THIND COOPER</t>
    <phoneticPr fontId="3" type="noConversion"/>
  </si>
  <si>
    <t>CONTRACTING TUBE(BLACK) 2mm, Maker Standard, 30m</t>
    <phoneticPr fontId="3" type="noConversion"/>
  </si>
  <si>
    <t>CONTRACTING TUBE(WHITE) 2mm, Maker Standard, 30m</t>
    <phoneticPr fontId="3" type="noConversion"/>
  </si>
  <si>
    <t>CONTRACTING TUBE(YELLOW/GREEN) 2mm, Maker Standard, 100m(50m+50m)</t>
    <phoneticPr fontId="3" type="noConversion"/>
  </si>
  <si>
    <t>CONTRACTING TUBE(YELLOW) 5mm, Maker Standard, 30m (15m+15m)</t>
    <phoneticPr fontId="3" type="noConversion"/>
  </si>
  <si>
    <t>CONTRACTING TUBE(GREEN) 5mm, Maker Standard, 30m</t>
    <phoneticPr fontId="3" type="noConversion"/>
  </si>
  <si>
    <t>CONTRACTING TUBE(RED) 5mm, Maker Standard, 30m</t>
    <phoneticPr fontId="3" type="noConversion"/>
  </si>
  <si>
    <t>CONTRACTING TUBE(BLUE) 5mm, Maker Standard, 30m</t>
    <phoneticPr fontId="3" type="noConversion"/>
  </si>
  <si>
    <t>CONTRACTING TUBE(YELLOW/GREEN) 5mm, Maker Standard, 30m</t>
    <phoneticPr fontId="3" type="noConversion"/>
  </si>
  <si>
    <t>CONTRACTING TUBE(YELLOW/GREEN) 18mm, Maker Standard, 30m</t>
    <phoneticPr fontId="3" type="noConversion"/>
  </si>
  <si>
    <t>CABLE MARKERS CARRIER 110mm, PVC</t>
    <phoneticPr fontId="3" type="noConversion"/>
  </si>
  <si>
    <t>CABLE MARKERS "0" 10mm, PVC</t>
    <phoneticPr fontId="3" type="noConversion"/>
  </si>
  <si>
    <t>CABLE MARKERS "1" 10mm, PVC</t>
    <phoneticPr fontId="3" type="noConversion"/>
  </si>
  <si>
    <t>CABLE MARKERS "2" 10mm, PVC</t>
    <phoneticPr fontId="3" type="noConversion"/>
  </si>
  <si>
    <t>CABLE MARKERS "3" 10mm, PVC</t>
    <phoneticPr fontId="3" type="noConversion"/>
  </si>
  <si>
    <t>CABLE MARKERS "4" 10mm, PVC</t>
    <phoneticPr fontId="3" type="noConversion"/>
  </si>
  <si>
    <t>CABLE MARKERS "5" 10mm, PVC</t>
    <phoneticPr fontId="3" type="noConversion"/>
  </si>
  <si>
    <t>CABLE MARKERS "6" 10mm, PVC</t>
    <phoneticPr fontId="3" type="noConversion"/>
  </si>
  <si>
    <t>CABLE MARKERS "7" 10mm, PVC</t>
    <phoneticPr fontId="3" type="noConversion"/>
  </si>
  <si>
    <t>CABLE MARKERS "8" 10mm, PVC</t>
    <phoneticPr fontId="3" type="noConversion"/>
  </si>
  <si>
    <t>CABLE MARKERS "9" 10mm, PVC</t>
    <phoneticPr fontId="3" type="noConversion"/>
  </si>
  <si>
    <t>CABLE MARKERS "B" 10mm, PVC</t>
    <phoneticPr fontId="3" type="noConversion"/>
  </si>
  <si>
    <t>CABLE MARKERS "C" 10mm, PVC</t>
    <phoneticPr fontId="3" type="noConversion"/>
  </si>
  <si>
    <t>CABLE MARKERS "E" 10mm, PVC</t>
    <phoneticPr fontId="3" type="noConversion"/>
  </si>
  <si>
    <t>CABLE MARKERS "H" 10mm, PVC</t>
    <phoneticPr fontId="3" type="noConversion"/>
  </si>
  <si>
    <t>CABLE MARKERS "L" 10mm, PVC</t>
    <phoneticPr fontId="3" type="noConversion"/>
  </si>
  <si>
    <t>CABLE MARKERS "M" 10mm, PVC</t>
    <phoneticPr fontId="3" type="noConversion"/>
  </si>
  <si>
    <t>CABLE MARKERS "N" 10mm, PVC</t>
    <phoneticPr fontId="3" type="noConversion"/>
  </si>
  <si>
    <t>CABLE MARKERS "O" 10mm, PVC</t>
    <phoneticPr fontId="3" type="noConversion"/>
  </si>
  <si>
    <t>CABLE MARKERS "P" 10mm, PVC</t>
    <phoneticPr fontId="3" type="noConversion"/>
  </si>
  <si>
    <t>CABLE MARKERS "S" 10mm, PVC</t>
    <phoneticPr fontId="3" type="noConversion"/>
  </si>
  <si>
    <t>CABLE MARKERS "T" 10mm, PVC</t>
    <phoneticPr fontId="3" type="noConversion"/>
  </si>
  <si>
    <t>CABLE MARKERS "V" 10mm, PVC</t>
    <phoneticPr fontId="3" type="noConversion"/>
  </si>
  <si>
    <t>CABLE MARKERS "-" 10mm, PVC</t>
    <phoneticPr fontId="3" type="noConversion"/>
  </si>
  <si>
    <t>TERMINAL LUG 70 mm2 x M12"O"type, TINNED COPPER</t>
    <phoneticPr fontId="3" type="noConversion"/>
  </si>
  <si>
    <t>CC TYPE SLEEVE CONNECTOR R70 mm2 x T70 mm2, COPPER</t>
    <phoneticPr fontId="3" type="noConversion"/>
  </si>
  <si>
    <t>CC TYPE SLEEVE CONNECTOR R70 mm2 x T16 mm2, COPPER</t>
    <phoneticPr fontId="3" type="noConversion"/>
  </si>
  <si>
    <t>BUS BAR(FOR EQUIPMENT) W50 x 4HOLE(M12) x 2HOLE(M12-SUPPORT)</t>
    <phoneticPr fontId="3" type="noConversion"/>
  </si>
  <si>
    <t>HEX. INSULATION SUPPORT 40 x 40 3/8'', Bolt set , CERAMIC</t>
    <phoneticPr fontId="3" type="noConversion"/>
  </si>
  <si>
    <t>CABLE GLAND Cable O.D 10mm x 1/2''NPT, Nickel Plated Brass</t>
    <phoneticPr fontId="3" type="noConversion"/>
  </si>
  <si>
    <t>HEX. BOLT/N/2W M10 x 30L, H.D.G , A307</t>
    <phoneticPr fontId="3" type="noConversion"/>
  </si>
  <si>
    <t>HEX. BOLT/N/2W M10 x 50L, H.D.G , A307</t>
    <phoneticPr fontId="3" type="noConversion"/>
  </si>
  <si>
    <t>HEX B/N/2PW/SW M8 x 40L / H.D.G , A307</t>
    <phoneticPr fontId="3" type="noConversion"/>
  </si>
  <si>
    <t>HEX B/2N/2PW/SW M10 x 70L / H.D.G, A307</t>
    <phoneticPr fontId="3" type="noConversion"/>
  </si>
  <si>
    <t>STANCHION 1500mm , A36</t>
    <phoneticPr fontId="3" type="noConversion"/>
  </si>
  <si>
    <t>ANGLE 50 x 50 x 6T x 1M / H.D.G, A36</t>
    <phoneticPr fontId="3" type="noConversion"/>
  </si>
  <si>
    <t>STEEL ANGLE(FOR SUPPORT) 40 x 40 x 4T, H.D.G, 1M, A36</t>
    <phoneticPr fontId="3" type="noConversion"/>
  </si>
  <si>
    <t>BLOCK1,RIVET/Ø4.8*16L/AL</t>
    <phoneticPr fontId="3" type="noConversion"/>
  </si>
  <si>
    <t>BLOCK2,RIVET/Ø4.8*16L/AL</t>
    <phoneticPr fontId="3" type="noConversion"/>
  </si>
  <si>
    <t>BLOCK 1,SHIM PLATE, 0.1T*50*65</t>
    <phoneticPr fontId="3" type="noConversion"/>
  </si>
  <si>
    <t>BLOCK 1,SHIM PLATE, 0.2T*50*65</t>
    <phoneticPr fontId="3" type="noConversion"/>
  </si>
  <si>
    <t>BLOCK 1,SHIM PLATE, 0.5T*50*65</t>
    <phoneticPr fontId="3" type="noConversion"/>
  </si>
  <si>
    <t>BLOCK 1,SHIM PLATE, 1.0T*50*65</t>
    <phoneticPr fontId="3" type="noConversion"/>
  </si>
  <si>
    <t>BLOCK 1,SHIM PLATE, 2.5T*50*65</t>
    <phoneticPr fontId="3" type="noConversion"/>
  </si>
  <si>
    <t>BLOCK 2,SHIM PLATE, 0.1T*50*65</t>
    <phoneticPr fontId="3" type="noConversion"/>
  </si>
  <si>
    <t>BLOCK 2,SHIM PLATE, 0.2T*50*65</t>
    <phoneticPr fontId="3" type="noConversion"/>
  </si>
  <si>
    <t>BLOCK 2,SHIM PLATE, 0.5T*50*65</t>
    <phoneticPr fontId="3" type="noConversion"/>
  </si>
  <si>
    <t>BLOCK 2,SHIM PLATE, 1.0T*50*65</t>
    <phoneticPr fontId="3" type="noConversion"/>
  </si>
  <si>
    <t>BLOCK 2,SHIM PLATE, 2.5T*50*65</t>
    <phoneticPr fontId="3" type="noConversion"/>
  </si>
  <si>
    <t>BLOCK 1,SHIM PLATE, SS304, 1.6T*280*280</t>
    <phoneticPr fontId="3" type="noConversion"/>
  </si>
  <si>
    <t>BLOCK 1,SHIM PLATE, A36, 3.2T*280*280</t>
    <phoneticPr fontId="3" type="noConversion"/>
  </si>
  <si>
    <t>BLOCK 1,SHIM PLATE, A36, 4.5T*280*280</t>
    <phoneticPr fontId="3" type="noConversion"/>
  </si>
  <si>
    <t>BLOCK 1,SHIM PLATE, A36, 6T*280*280</t>
    <phoneticPr fontId="3" type="noConversion"/>
  </si>
  <si>
    <t>BLOCK 1,SHIM PLATE, SS304, 1.6T*250*250</t>
    <phoneticPr fontId="3" type="noConversion"/>
  </si>
  <si>
    <t>BLOCK 2,SHIM PLATE, A36, 3.2T*250*250</t>
    <phoneticPr fontId="3" type="noConversion"/>
  </si>
  <si>
    <t>BLOCK 2,SHIM PLATE, SS304, 1.6T*280*280</t>
    <phoneticPr fontId="3" type="noConversion"/>
  </si>
  <si>
    <t>BLOCK 2,SHIM PLATE, A36, 3.2T*280*280</t>
    <phoneticPr fontId="3" type="noConversion"/>
  </si>
  <si>
    <t>BLOCK 2,SHIM PLATE, A36, 4.5T*280*280</t>
    <phoneticPr fontId="3" type="noConversion"/>
  </si>
  <si>
    <t>BLOCK 2,SHIM PLATE, A36, 6T*280*280</t>
    <phoneticPr fontId="3" type="noConversion"/>
  </si>
  <si>
    <t>PGU-DE-0139-FFC-ROT-049</t>
    <phoneticPr fontId="3" type="noConversion"/>
  </si>
  <si>
    <t>8BTV2-CT 68m</t>
    <phoneticPr fontId="3" type="noConversion"/>
  </si>
  <si>
    <t>20QTVR2-CT 1500m</t>
    <phoneticPr fontId="3" type="noConversion"/>
  </si>
  <si>
    <t>REDUCER M25 Male * 3/4" Female</t>
    <phoneticPr fontId="3" type="noConversion"/>
  </si>
  <si>
    <t>JBS-100-E POWER CONNECTION KIT</t>
    <phoneticPr fontId="3" type="noConversion"/>
  </si>
  <si>
    <t>E-100-A END SEAL KIT</t>
    <phoneticPr fontId="3" type="noConversion"/>
  </si>
  <si>
    <t>GT-66 280R/L GLASS TAPE</t>
    <phoneticPr fontId="3" type="noConversion"/>
  </si>
  <si>
    <t>PS-03 PIPE STRAP</t>
    <phoneticPr fontId="3" type="noConversion"/>
  </si>
  <si>
    <t>PS-10 PIPE STRAP</t>
    <phoneticPr fontId="3" type="noConversion"/>
  </si>
  <si>
    <t>PS-12 PIPE STRAP</t>
    <phoneticPr fontId="3" type="noConversion"/>
  </si>
  <si>
    <t>RAYSTAT-EX-02 With UMB</t>
    <phoneticPr fontId="3" type="noConversion"/>
  </si>
  <si>
    <t>PGU-DE-0139-FFC-ROT-050</t>
    <phoneticPr fontId="3" type="noConversion"/>
  </si>
  <si>
    <t>POWER CABLE 0.6/1kv CU/XLPE/FR-PVC, 2C+E 4sqmm, 3000m(324m Margin)</t>
    <phoneticPr fontId="3" type="noConversion"/>
  </si>
  <si>
    <t>EARTH CABLE 0.6/1kv CU/FR-PVC, Y/G 70sqmm, 250m(40m Margin)</t>
    <phoneticPr fontId="3" type="noConversion"/>
  </si>
  <si>
    <t>EARTH CABLE 0.6/1kv CU/FR-PVC, Y/G 16sqmm, 110m(10m Margin)</t>
    <phoneticPr fontId="3" type="noConversion"/>
  </si>
  <si>
    <t>SIGNAL CABLE 0.6/1kv T-CU/PVC/AMS/FRLS-PVC, 1Px1.0sqmm, 1500m(79m Margin)</t>
    <phoneticPr fontId="3" type="noConversion"/>
  </si>
  <si>
    <t>ELECTRIC POWER CABLE(SINGLE-PHASE POWER CABLE, FOR REDUCER OIL HEATER) 0.6/1kv CU/XLPE/FR-PVC, 2C+E 4sqmm, 500m, Maker STD</t>
    <phoneticPr fontId="3" type="noConversion"/>
  </si>
  <si>
    <t>PGU-DE-0139-FFC-ROT-051</t>
    <phoneticPr fontId="3" type="noConversion"/>
  </si>
  <si>
    <t>1-1/2"-UW-B1-66/004-DK1-NR, DELUGE SPRAY PUMP-A DISCHARGE (01 OF 01) -1</t>
    <phoneticPr fontId="3" type="noConversion"/>
  </si>
  <si>
    <t>CCP-W-B182-09-ME-P16-0001</t>
  </si>
  <si>
    <t>1-1/2"-UW-B1-66/004-DK1-NR, DELUGE SPRAY PUMP-A DISCHARGE (01 OF 01) -2</t>
    <phoneticPr fontId="3" type="noConversion"/>
  </si>
  <si>
    <t>1-1/2"-UW-B1-66/004-DK1-NR, DELUGE SPRAY PUMP-A DISCHARGE (01 OF 01) -3</t>
    <phoneticPr fontId="3" type="noConversion"/>
  </si>
  <si>
    <t>1-1/2"-UW-B1-66/004-DK1-NR, DELUGE SPRAY PUMP-A DISCHARGE (01 OF 01) -4</t>
    <phoneticPr fontId="3" type="noConversion"/>
  </si>
  <si>
    <t>1-1/2"-UW-B1-66/005-DK1-NR, DELUGE SPRAY PUMP-B DISCHARGE (01 OF 01) -1</t>
    <phoneticPr fontId="3" type="noConversion"/>
  </si>
  <si>
    <t>1-1/2"-UW-B1-66/005-DK1-NR, DELUGE SPRAY PUMP-B DISCHARGE (01 OF 01) -2</t>
    <phoneticPr fontId="3" type="noConversion"/>
  </si>
  <si>
    <t>1-1/2"-UW-B1-66/005-DK1-NR, DELUGE SPRAY PUMP-B DISCHARGE (01 OF 01) -3</t>
    <phoneticPr fontId="3" type="noConversion"/>
  </si>
  <si>
    <t>1-1/2"-UW-B1-66/005-DK1-NR, DELUGE SPRAY PUMP-B DISCHARGE (01 OF 01) -4</t>
    <phoneticPr fontId="3" type="noConversion"/>
  </si>
  <si>
    <t>1-1/2"-UW-B1-66/005-DK1-NR, DELUGE SPRAY PUMP-B DISCHARGE (01 OF 01) -5</t>
    <phoneticPr fontId="3" type="noConversion"/>
  </si>
  <si>
    <t>1-1/2"-UW-B2-66/004-DK1-NR, DELUGE SPRAY PUMP-A DISCHARGE (01 OF 01) -1</t>
    <phoneticPr fontId="3" type="noConversion"/>
  </si>
  <si>
    <t>1-1/2"-UW-B2-66/004-DK1-NR, DELUGE SPRAY PUMP-A DISCHARGE (01 OF 01) -2</t>
    <phoneticPr fontId="3" type="noConversion"/>
  </si>
  <si>
    <t>1-1/2"-UW-B2-66/004-DK1-NR, DELUGE SPRAY PUMP-A DISCHARGE (01 OF 01) -3</t>
    <phoneticPr fontId="3" type="noConversion"/>
  </si>
  <si>
    <t>1-1/2"-UW-B2-66/004-DK1-NR, DELUGE SPRAY PUMP-A DISCHARGE (01 OF 01) -4</t>
    <phoneticPr fontId="3" type="noConversion"/>
  </si>
  <si>
    <t>1-1/2"-UW-B2-66/005-DK1-NR, DELUGE SPRAY PUMP-B DISCHARGE (01 OF 01) -1</t>
    <phoneticPr fontId="3" type="noConversion"/>
  </si>
  <si>
    <t>1-1/2"-UW-B2-66/005-DK1-NR, DELUGE SPRAY PUMP-B DISCHARGE (01 OF 01) -2</t>
    <phoneticPr fontId="3" type="noConversion"/>
  </si>
  <si>
    <t>1-1/2"-UW-B2-66/005-DK1-NR, DELUGE SPRAY PUMP-B DISCHARGE (01 OF 01) -3</t>
    <phoneticPr fontId="3" type="noConversion"/>
  </si>
  <si>
    <t>1-1/2"-UW-B2-66/005-DK1-NR, DELUGE SPRAY PUMP-B DISCHARGE (01 OF 01) -4</t>
    <phoneticPr fontId="3" type="noConversion"/>
  </si>
  <si>
    <t>1-1/2"-UW-B2-66/005-DK1-NR, DELUGE SPRAY PUMP-B DISCHARGE (01 OF 01) -5</t>
    <phoneticPr fontId="3" type="noConversion"/>
  </si>
  <si>
    <t>1-1/2"-UW-B1-66/006-DK1-NR, SPRAY NOZZLE LINE (01 OF 15) -1</t>
    <phoneticPr fontId="3" type="noConversion"/>
  </si>
  <si>
    <t>1-1/2"-UW-B1-66/006-DK1-NR, SPRAY NOZZLE LINE (01 OF 15) -2</t>
    <phoneticPr fontId="3" type="noConversion"/>
  </si>
  <si>
    <t>1-1/2"-UW-B1-66/006-DK1-NR, SPRAY NOZZLE LINE (01 OF 15) -3</t>
    <phoneticPr fontId="3" type="noConversion"/>
  </si>
  <si>
    <t>1-1/2"-UW-B1-66/006-DK1-NR, SPRAY NOZZLE LINE (01 OF 15) -4</t>
    <phoneticPr fontId="3" type="noConversion"/>
  </si>
  <si>
    <t>1-1/2"-UW-B1-66/006-DK1-NR, SPRAY NOZZLE LINE (01 OF 15) -5</t>
    <phoneticPr fontId="3" type="noConversion"/>
  </si>
  <si>
    <t>1-1/2"-UW-B1-66/006-DK1-NR, SPRAY NOZZLE LINE (02 OF 15) -1</t>
    <phoneticPr fontId="3" type="noConversion"/>
  </si>
  <si>
    <t>1-1/2"-UW-B1-66/006-DK1-NR, SPRAY NOZZLE LINE (02 OF 15) -2</t>
    <phoneticPr fontId="3" type="noConversion"/>
  </si>
  <si>
    <t>1-1/2"-UW-B1-66/006-DK1-NR, SPRAY NOZZLE LINE (02 OF 15) -3</t>
    <phoneticPr fontId="3" type="noConversion"/>
  </si>
  <si>
    <t>1-1/2"-UW-B1-66/006-DK1-NR, SPRAY NOZZLE LINE (02 OF 15) -4</t>
    <phoneticPr fontId="3" type="noConversion"/>
  </si>
  <si>
    <t>1-1/2"-UW-B1-66/006-DK1-NR, SPRAY NOZZLE LINE (03 OF 15) -1</t>
    <phoneticPr fontId="3" type="noConversion"/>
  </si>
  <si>
    <t>1-1/2"-UW-B1-66/006-DK1-NR, SPRAY NOZZLE LINE (03 OF 15) -2</t>
    <phoneticPr fontId="3" type="noConversion"/>
  </si>
  <si>
    <t>1-1/2"-UW-B1-66/006-DK1-NR, SPRAY NOZZLE LINE (03 OF 15) -3</t>
    <phoneticPr fontId="3" type="noConversion"/>
  </si>
  <si>
    <t>1-1/2"-UW-B1-66/006-DK1-NR, SPRAY NOZZLE LINE (03 OF 15) -4</t>
    <phoneticPr fontId="3" type="noConversion"/>
  </si>
  <si>
    <t>1-1/2"-UW-B1-66/006-DK1-NR, SPRAY NOZZLE LINE (03 OF 15) -5</t>
    <phoneticPr fontId="3" type="noConversion"/>
  </si>
  <si>
    <t>1-1/2"-UW-B1-66/006-DK1-NR, SPRAY NOZZLE LINE (04 OF 15) -1</t>
    <phoneticPr fontId="3" type="noConversion"/>
  </si>
  <si>
    <t>1-1/2"-UW-B1-66/006-DK1-NR, SPRAY NOZZLE LINE (04 OF 15) -2</t>
    <phoneticPr fontId="3" type="noConversion"/>
  </si>
  <si>
    <t>1-1/2"-UW-B1-66/006-DK1-NR, SPRAY NOZZLE LINE (04 OF 15) -3</t>
    <phoneticPr fontId="3" type="noConversion"/>
  </si>
  <si>
    <t>1-1/2"-UW-B1-66/006-DK1-NR, SPRAY NOZZLE LINE (05 OF 15) -1</t>
    <phoneticPr fontId="3" type="noConversion"/>
  </si>
  <si>
    <t>1-1/2"-UW-B1-66/006-DK1-NR, SPRAY NOZZLE LINE (05 OF 15) -2</t>
    <phoneticPr fontId="3" type="noConversion"/>
  </si>
  <si>
    <t>1-1/2"-UW-B1-66/006-DK1-NR, SPRAY NOZZLE LINE (05 OF 15) -3</t>
    <phoneticPr fontId="3" type="noConversion"/>
  </si>
  <si>
    <t>1-1/2"-UW-B1-66/006-DK1-NR, SPRAY NOZZLE LINE (06 OF 15) -1</t>
    <phoneticPr fontId="3" type="noConversion"/>
  </si>
  <si>
    <t>1-1/2"-UW-B1-66/006-DK1-NR, SPRAY NOZZLE LINE (06 OF 15) -2</t>
    <phoneticPr fontId="3" type="noConversion"/>
  </si>
  <si>
    <t>1-1/2"-UW-B1-66/006-DK1-NR, SPRAY NOZZLE LINE (06 OF 15) -3</t>
    <phoneticPr fontId="3" type="noConversion"/>
  </si>
  <si>
    <t>1-1/2"-UW-B1-66/006-DK1-NR, SPRAY NOZZLE LINE (07 OF 15) -1</t>
    <phoneticPr fontId="3" type="noConversion"/>
  </si>
  <si>
    <t>1-1/2"-UW-B1-66/006-DK1-NR, SPRAY NOZZLE LINE (07 OF 15) -2</t>
    <phoneticPr fontId="3" type="noConversion"/>
  </si>
  <si>
    <t>1-1/2"-UW-B1-66/006-DK1-NR, SPRAY NOZZLE LINE (07 OF 15) -3</t>
    <phoneticPr fontId="3" type="noConversion"/>
  </si>
  <si>
    <t>1-1/2"-UW-B1-66/006-DK1-NR, SPRAY NOZZLE LINE (08 OF 15) -1</t>
    <phoneticPr fontId="3" type="noConversion"/>
  </si>
  <si>
    <t>1-1/2"-UW-B1-66/006-DK1-NR, SPRAY NOZZLE LINE (08 OF 15) -2</t>
    <phoneticPr fontId="3" type="noConversion"/>
  </si>
  <si>
    <t>1-1/2"-UW-B1-66/006-DK1-NR, SPRAY NOZZLE LINE (08 OF 15) -3</t>
    <phoneticPr fontId="3" type="noConversion"/>
  </si>
  <si>
    <t>1-1/2"-UW-B1-66/006-DK1-NR, SPRAY NOZZLE LINE (09 OF 15) -1</t>
    <phoneticPr fontId="3" type="noConversion"/>
  </si>
  <si>
    <t>1-1/2"-UW-B1-66/006-DK1-NR, SPRAY NOZZLE LINE (09 OF 15) -2</t>
    <phoneticPr fontId="3" type="noConversion"/>
  </si>
  <si>
    <t>1-1/2"-UW-B1-66/006-DK1-NR, SPRAY NOZZLE LINE (09 OF 15) -3</t>
    <phoneticPr fontId="3" type="noConversion"/>
  </si>
  <si>
    <t>1-1/2"-UW-B1-66/006-DK1-NR, SPRAY NOZZLE LINE (10 OF 15) -1</t>
    <phoneticPr fontId="3" type="noConversion"/>
  </si>
  <si>
    <t>1-1/2"-UW-B1-66/006-DK1-NR, SPRAY NOZZLE LINE (10 OF 15) -2</t>
    <phoneticPr fontId="3" type="noConversion"/>
  </si>
  <si>
    <t>1-1/2"-UW-B1-66/006-DK1-NR, SPRAY NOZZLE LINE (10 OF 15) -3</t>
    <phoneticPr fontId="3" type="noConversion"/>
  </si>
  <si>
    <t>1-1/2"-UW-B1-66/006-DK1-NR, SPRAY NOZZLE LINE (11 OF 15) -1</t>
    <phoneticPr fontId="3" type="noConversion"/>
  </si>
  <si>
    <t>1-1/2"-UW-B1-66/006-DK1-NR, SPRAY NOZZLE LINE (11 OF 15) -2</t>
    <phoneticPr fontId="3" type="noConversion"/>
  </si>
  <si>
    <t>1-1/2"-UW-B1-66/006-DK1-NR, SPRAY NOZZLE LINE (11 OF 15) -3</t>
    <phoneticPr fontId="3" type="noConversion"/>
  </si>
  <si>
    <t>1-1/2"-UW-B1-66/006-DK1-NR, SPRAY NOZZLE LINE (12 OF 15) -1</t>
    <phoneticPr fontId="3" type="noConversion"/>
  </si>
  <si>
    <t>1-1/2"-UW-B1-66/006-DK1-NR, SPRAY NOZZLE LINE (12 OF 15) -2</t>
    <phoneticPr fontId="3" type="noConversion"/>
  </si>
  <si>
    <t>1-1/2"-UW-B1-66/006-DK1-NR, SPRAY NOZZLE LINE (12 OF 15) -3</t>
    <phoneticPr fontId="3" type="noConversion"/>
  </si>
  <si>
    <t>1-1/2"-UW-B1-66/006-DK1-NR, SPRAY NOZZLE LINE (13 OF 15) -1</t>
    <phoneticPr fontId="3" type="noConversion"/>
  </si>
  <si>
    <t>1-1/2"-UW-B1-66/006-DK1-NR, SPRAY NOZZLE LINE (13 OF 15) -2</t>
    <phoneticPr fontId="3" type="noConversion"/>
  </si>
  <si>
    <t>1-1/2"-UW-B1-66/006-DK1-NR, SPRAY NOZZLE LINE (13 OF 15) -3</t>
    <phoneticPr fontId="3" type="noConversion"/>
  </si>
  <si>
    <t>1-1/2"-UW-B1-66/006-DK1-NR, SPRAY NOZZLE LINE (14 OF 15) -1</t>
    <phoneticPr fontId="3" type="noConversion"/>
  </si>
  <si>
    <t>1-1/2"-UW-B1-66/006-DK1-NR, SPRAY NOZZLE LINE (14 OF 15) -2</t>
    <phoneticPr fontId="3" type="noConversion"/>
  </si>
  <si>
    <t>1-1/2"-UW-B1-66/006-DK1-NR, SPRAY NOZZLE LINE (14 OF 15) -3</t>
    <phoneticPr fontId="3" type="noConversion"/>
  </si>
  <si>
    <t>1-1/2"-UW-B1-66/006-DK1-NR, SPRAY NOZZLE LINE (15 OF 15) -1</t>
    <phoneticPr fontId="3" type="noConversion"/>
  </si>
  <si>
    <t>1-1/2"-UW-B1-66/006-DK1-NR, SPRAY NOZZLE LINE (15 OF 15) -2</t>
    <phoneticPr fontId="3" type="noConversion"/>
  </si>
  <si>
    <t>1-1/2"-UW-B1-66/006-DK1-NR, SPRAY NOZZLE LINE (15 OF 15) -3</t>
    <phoneticPr fontId="3" type="noConversion"/>
  </si>
  <si>
    <t>1-1/2"-UW-B2-66/006-DK1-NR, SPRAY NOZZLE LINE (01 OF 15) -1</t>
    <phoneticPr fontId="3" type="noConversion"/>
  </si>
  <si>
    <t>1-1/2"-UW-B2-66/006-DK1-NR, SPRAY NOZZLE LINE (01 OF 15) -2</t>
    <phoneticPr fontId="3" type="noConversion"/>
  </si>
  <si>
    <t>1-1/2"-UW-B2-66/006-DK1-NR, SPRAY NOZZLE LINE (01 OF 15) -3</t>
    <phoneticPr fontId="3" type="noConversion"/>
  </si>
  <si>
    <t>1-1/2"-UW-B2-66/006-DK1-NR, SPRAY NOZZLE LINE (01 OF 15) -4</t>
    <phoneticPr fontId="3" type="noConversion"/>
  </si>
  <si>
    <t>1-1/2"-UW-B2-66/006-DK1-NR, SPRAY NOZZLE LINE (01 OF 15) -5</t>
    <phoneticPr fontId="3" type="noConversion"/>
  </si>
  <si>
    <t>1-1/2"-UW-B2-66/006-DK1-NR, SPRAY NOZZLE LINE (02 OF 15) -1</t>
    <phoneticPr fontId="3" type="noConversion"/>
  </si>
  <si>
    <t>1-1/2"-UW-B2-66/006-DK1-NR, SPRAY NOZZLE LINE (02 OF 15) -2</t>
    <phoneticPr fontId="3" type="noConversion"/>
  </si>
  <si>
    <t>1-1/2"-UW-B2-66/006-DK1-NR, SPRAY NOZZLE LINE (02 OF 15) -3</t>
    <phoneticPr fontId="3" type="noConversion"/>
  </si>
  <si>
    <t>1-1/2"-UW-B2-66/006-DK1-NR, SPRAY NOZZLE LINE (02 OF 15) -4</t>
    <phoneticPr fontId="3" type="noConversion"/>
  </si>
  <si>
    <t>1-1/2"-UW-B2-66/006-DK1-NR, SPRAY NOZZLE LINE (03 OF 15) -1</t>
    <phoneticPr fontId="3" type="noConversion"/>
  </si>
  <si>
    <t>1-1/2"-UW-B2-66/006-DK1-NR, SPRAY NOZZLE LINE (03 OF 15) -2</t>
    <phoneticPr fontId="3" type="noConversion"/>
  </si>
  <si>
    <t>1-1/2"-UW-B2-66/006-DK1-NR, SPRAY NOZZLE LINE (03 OF 15) -3</t>
    <phoneticPr fontId="3" type="noConversion"/>
  </si>
  <si>
    <t>1-1/2"-UW-B2-66/006-DK1-NR, SPRAY NOZZLE LINE (03 OF 15) -4</t>
    <phoneticPr fontId="3" type="noConversion"/>
  </si>
  <si>
    <t>1-1/2"-UW-B2-66/006-DK1-NR, SPRAY NOZZLE LINE (03 OF 15) -5</t>
    <phoneticPr fontId="3" type="noConversion"/>
  </si>
  <si>
    <t>1-1/2"-UW-B2-66/006-DK1-NR, SPRAY NOZZLE LINE (04 OF 15) -1</t>
    <phoneticPr fontId="3" type="noConversion"/>
  </si>
  <si>
    <t>1-1/2"-UW-B2-66/006-DK1-NR, SPRAY NOZZLE LINE (04 OF 15) -2</t>
    <phoneticPr fontId="3" type="noConversion"/>
  </si>
  <si>
    <t>1-1/2"-UW-B2-66/006-DK1-NR, SPRAY NOZZLE LINE (04 OF 15) -3</t>
    <phoneticPr fontId="3" type="noConversion"/>
  </si>
  <si>
    <t>1-1/2"-UW-B2-66/006-DK1-NR, SPRAY NOZZLE LINE (05 OF 15) -1</t>
    <phoneticPr fontId="3" type="noConversion"/>
  </si>
  <si>
    <t>1-1/2"-UW-B2-66/006-DK1-NR, SPRAY NOZZLE LINE (05 OF 15) -2</t>
    <phoneticPr fontId="3" type="noConversion"/>
  </si>
  <si>
    <t>1-1/2"-UW-B2-66/006-DK1-NR, SPRAY NOZZLE LINE (05 OF 15) -3</t>
    <phoneticPr fontId="3" type="noConversion"/>
  </si>
  <si>
    <t>1-1/2"-UW-B2-66/006-DK1-NR, SPRAY NOZZLE LINE (06 OF 15) -1</t>
    <phoneticPr fontId="3" type="noConversion"/>
  </si>
  <si>
    <t>1-1/2"-UW-B2-66/006-DK1-NR, SPRAY NOZZLE LINE (06 OF 15) -2</t>
    <phoneticPr fontId="3" type="noConversion"/>
  </si>
  <si>
    <t>1-1/2"-UW-B2-66/006-DK1-NR, SPRAY NOZZLE LINE (06 OF 15) -3</t>
    <phoneticPr fontId="3" type="noConversion"/>
  </si>
  <si>
    <t>1-1/2"-UW-B2-66/006-DK1-NR, SPRAY NOZZLE LINE (07 OF 15) -1</t>
    <phoneticPr fontId="3" type="noConversion"/>
  </si>
  <si>
    <t>1-1/2"-UW-B2-66/006-DK1-NR, SPRAY NOZZLE LINE (07 OF 15) -2</t>
    <phoneticPr fontId="3" type="noConversion"/>
  </si>
  <si>
    <t>1-1/2"-UW-B2-66/006-DK1-NR, SPRAY NOZZLE LINE (07 OF 15) -3</t>
    <phoneticPr fontId="3" type="noConversion"/>
  </si>
  <si>
    <t>1-1/2"-UW-B2-66/006-DK1-NR, SPRAY NOZZLE LINE (08 OF 15) -1</t>
    <phoneticPr fontId="3" type="noConversion"/>
  </si>
  <si>
    <t>1-1/2"-UW-B2-66/006-DK1-NR, SPRAY NOZZLE LINE (08 OF 15) -2</t>
    <phoneticPr fontId="3" type="noConversion"/>
  </si>
  <si>
    <t>1-1/2"-UW-B2-66/006-DK1-NR, SPRAY NOZZLE LINE (08 OF 15) -3</t>
    <phoneticPr fontId="3" type="noConversion"/>
  </si>
  <si>
    <t>1-1/2"-UW-B2-66/006-DK1-NR, SPRAY NOZZLE LINE (09 OF 15) -1</t>
    <phoneticPr fontId="3" type="noConversion"/>
  </si>
  <si>
    <t>1-1/2"-UW-B2-66/006-DK1-NR, SPRAY NOZZLE LINE (09 OF 15) -2</t>
    <phoneticPr fontId="3" type="noConversion"/>
  </si>
  <si>
    <t>1-1/2"-UW-B2-66/006-DK1-NR, SPRAY NOZZLE LINE (09 OF 15) -3</t>
    <phoneticPr fontId="3" type="noConversion"/>
  </si>
  <si>
    <t>1-1/2"-UW-B2-66/006-DK1-NR, SPRAY NOZZLE LINE (10 OF 15) -1</t>
    <phoneticPr fontId="3" type="noConversion"/>
  </si>
  <si>
    <t>1-1/2"-UW-B2-66/006-DK1-NR, SPRAY NOZZLE LINE (10 OF 15) -2</t>
    <phoneticPr fontId="3" type="noConversion"/>
  </si>
  <si>
    <t>1-1/2"-UW-B2-66/006-DK1-NR, SPRAY NOZZLE LINE (10 OF 15) -3</t>
    <phoneticPr fontId="3" type="noConversion"/>
  </si>
  <si>
    <t>1-1/2"-UW-B2-66/006-DK1-NR, SPRAY NOZZLE LINE (11 OF 15) -1</t>
    <phoneticPr fontId="3" type="noConversion"/>
  </si>
  <si>
    <t>1-1/2"-UW-B2-66/006-DK1-NR, SPRAY NOZZLE LINE (11 OF 15) -2</t>
    <phoneticPr fontId="3" type="noConversion"/>
  </si>
  <si>
    <t>1-1/2"-UW-B2-66/006-DK1-NR, SPRAY NOZZLE LINE (11 OF 15) -3</t>
    <phoneticPr fontId="3" type="noConversion"/>
  </si>
  <si>
    <t>1-1/2"-UW-B2-66/006-DK1-NR, SPRAY NOZZLE LINE (12 OF 15) -1</t>
    <phoneticPr fontId="3" type="noConversion"/>
  </si>
  <si>
    <t>1-1/2"-UW-B2-66/006-DK1-NR, SPRAY NOZZLE LINE (12 OF 15) -2</t>
    <phoneticPr fontId="3" type="noConversion"/>
  </si>
  <si>
    <t>1-1/2"-UW-B2-66/006-DK1-NR, SPRAY NOZZLE LINE (12 OF 15) -3</t>
    <phoneticPr fontId="3" type="noConversion"/>
  </si>
  <si>
    <t>1-1/2"-UW-B2-66/006-DK1-NR, SPRAY NOZZLE LINE (13 OF 15) -1</t>
    <phoneticPr fontId="3" type="noConversion"/>
  </si>
  <si>
    <t>1-1/2"-UW-B2-66/006-DK1-NR, SPRAY NOZZLE LINE (13 OF 15) -2</t>
    <phoneticPr fontId="3" type="noConversion"/>
  </si>
  <si>
    <t>1-1/2"-UW-B2-66/006-DK1-NR, SPRAY NOZZLE LINE (13 OF 15) -3</t>
    <phoneticPr fontId="3" type="noConversion"/>
  </si>
  <si>
    <t>1-1/2"-UW-B2-66/006-DK1-NR, SPRAY NOZZLE LINE (14 OF 15) -1</t>
    <phoneticPr fontId="3" type="noConversion"/>
  </si>
  <si>
    <t>1-1/2"-UW-B2-66/006-DK1-NR, SPRAY NOZZLE LINE (14 OF 15) -2</t>
    <phoneticPr fontId="3" type="noConversion"/>
  </si>
  <si>
    <t>1-1/2"-UW-B2-66/006-DK1-NR, SPRAY NOZZLE LINE (14 OF 15) -3</t>
    <phoneticPr fontId="3" type="noConversion"/>
  </si>
  <si>
    <t>1-1/2"-UW-B2-66/006-DK1-NR, SPRAY NOZZLE LINE (15 OF 15) -1</t>
    <phoneticPr fontId="3" type="noConversion"/>
  </si>
  <si>
    <t>1-1/2"-UW-B2-66/006-DK1-NR, SPRAY NOZZLE LINE (15 OF 15) -2</t>
    <phoneticPr fontId="3" type="noConversion"/>
  </si>
  <si>
    <t>1-1/2"-UW-B2-66/006-DK1-NR, SPRAY NOZZLE LINE (15 OF 15) -3</t>
    <phoneticPr fontId="3" type="noConversion"/>
  </si>
  <si>
    <t>2"-UW-B1-66/001-GB1-HT, DELUGE SYSTEM MAKE UP WAYER (01 OF 01) -1</t>
    <phoneticPr fontId="3" type="noConversion"/>
  </si>
  <si>
    <t>2"-UW-B1-66/001-GB1-HT, DELUGE SYSTEM MAKE UP WAYER (01 OF 01) -2</t>
    <phoneticPr fontId="3" type="noConversion"/>
  </si>
  <si>
    <t>2"-UW-B1-66/001-GB1-HT, DELUGE SYSTEM MAKE UP WAYER (01 OF 01) -3</t>
    <phoneticPr fontId="3" type="noConversion"/>
  </si>
  <si>
    <t>2"-UW-B1-66/001-GB1-HT, DELUGE SYSTEM MAKE UP WAYER (01 OF 01) -4</t>
    <phoneticPr fontId="3" type="noConversion"/>
  </si>
  <si>
    <t>2"-UW-B1-66/001-GB1-HT, DELUGE SYSTEM MAKE UP WAYER (01 OF 01) -5</t>
    <phoneticPr fontId="3" type="noConversion"/>
  </si>
  <si>
    <t>2"-UW-B1-66/001-GB1-HT, DELUGE SYSTEM MAKE UP WAYER (01 OF 01) -6</t>
    <phoneticPr fontId="3" type="noConversion"/>
  </si>
  <si>
    <t>2"-UW-B1-66/001-GB1-HT, DELUGE SYSTEM MAKE UP WAYER (01 OF 01) -7</t>
    <phoneticPr fontId="3" type="noConversion"/>
  </si>
  <si>
    <t>2"-UW-B1-66/001-GB1-HT, DELUGE SYSTEM MAKE UP WAYER (01 OF 01) -8</t>
    <phoneticPr fontId="3" type="noConversion"/>
  </si>
  <si>
    <t>2"-UW-B1-66/001-GB1-HT, DELUGE SYSTEM MAKE UP WAYER (01 OF 01) -9</t>
    <phoneticPr fontId="3" type="noConversion"/>
  </si>
  <si>
    <t>2"-UW-B2-66/001-GB1-HT, DELUGE SYSTEM MAKE UP WAYER (01 OF 01) -1</t>
    <phoneticPr fontId="3" type="noConversion"/>
  </si>
  <si>
    <t>2"-UW-B2-66/001-GB1-HT, DELUGE SYSTEM MAKE UP WAYER (01 OF 01) -2</t>
    <phoneticPr fontId="3" type="noConversion"/>
  </si>
  <si>
    <t>2"-UW-B2-66/001-GB1-HT, DELUGE SYSTEM MAKE UP WAYER (01 OF 01) -3</t>
    <phoneticPr fontId="3" type="noConversion"/>
  </si>
  <si>
    <t>2"-UW-B2-66/001-GB1-HT, DELUGE SYSTEM MAKE UP WAYER (01 OF 01) -4</t>
    <phoneticPr fontId="3" type="noConversion"/>
  </si>
  <si>
    <t>2"-UW-B2-66/001-GB1-HT, DELUGE SYSTEM MAKE UP WAYER (01 OF 01) -5</t>
    <phoneticPr fontId="3" type="noConversion"/>
  </si>
  <si>
    <t>2"-UW-B2-66/001-GB1-HT, DELUGE SYSTEM MAKE UP WAYER (01 OF 01) -6</t>
    <phoneticPr fontId="3" type="noConversion"/>
  </si>
  <si>
    <t>2"-UW-B2-66/001-GB1-HT, DELUGE SYSTEM MAKE UP WAYER (01 OF 01) -7</t>
    <phoneticPr fontId="3" type="noConversion"/>
  </si>
  <si>
    <t>2"-UW-B2-66/001-GB1-HT, DELUGE SYSTEM MAKE UP WAYER (01 OF 01) -8</t>
    <phoneticPr fontId="3" type="noConversion"/>
  </si>
  <si>
    <t>2"-UW-B2-66/001-GB1-HT, DELUGE SYSTEM MAKE UP WAYER (01 OF 01) -9</t>
    <phoneticPr fontId="3" type="noConversion"/>
  </si>
  <si>
    <t>2"-UW-B1-66/002-GK1-NR, DELUGE PUMP SUCTION LINE (01 OF 01) -1</t>
    <phoneticPr fontId="3" type="noConversion"/>
  </si>
  <si>
    <t>2"-UW-B1-66/002-GK1-NR, DELUGE PUMP SUCTION LINE (01 OF 01) -2</t>
    <phoneticPr fontId="3" type="noConversion"/>
  </si>
  <si>
    <t>2"-UW-B1-66/002-GK1-NR, DELUGE PUMP SUCTION LINE (01 OF 01) -3</t>
    <phoneticPr fontId="3" type="noConversion"/>
  </si>
  <si>
    <t>2"-UW-B1-66/002-GK1-NR, DELUGE PUMP SUCTION LINE (01 OF 01) -4</t>
    <phoneticPr fontId="3" type="noConversion"/>
  </si>
  <si>
    <t>2"-UW-B2-66/002-GK1-NR, DELUGE PUMP SUCTION LINE (01 OF 01) -1</t>
    <phoneticPr fontId="3" type="noConversion"/>
  </si>
  <si>
    <t>2"-UW-B2-66/002-GK1-NR, DELUGE PUMP SUCTION LINE (01 OF 01) -2</t>
    <phoneticPr fontId="3" type="noConversion"/>
  </si>
  <si>
    <t>2"-UW-B2-66/002-GK1-NR, DELUGE PUMP SUCTION LINE (01 OF 01) -3</t>
    <phoneticPr fontId="3" type="noConversion"/>
  </si>
  <si>
    <t>2"-UW-B2-66/002-GK1-NR, DELUGE PUMP SUCTION LINE (01 OF 01) -4</t>
    <phoneticPr fontId="3" type="noConversion"/>
  </si>
  <si>
    <t>2"-UW-B1-66/003-GK1-NR, DELUGE PUMP RETURN LINE (01 OF 01) -1</t>
    <phoneticPr fontId="3" type="noConversion"/>
  </si>
  <si>
    <t>2"-UW-B1-66/003-GK1-NR, DELUGE PUMP RETURN LINE (01 OF 01) -2</t>
    <phoneticPr fontId="3" type="noConversion"/>
  </si>
  <si>
    <t>2"-UW-B1-66/003-GK1-NR, DELUGE PUMP RETURN LINE (01 OF 01) -3</t>
    <phoneticPr fontId="3" type="noConversion"/>
  </si>
  <si>
    <t>2"-UW-B1-66/003-GK1-NR, DELUGE PUMP RETURN LINE (01 OF 01) -4</t>
    <phoneticPr fontId="3" type="noConversion"/>
  </si>
  <si>
    <t>2"-UW-B1-66/003-GK1-NR, DELUGE PUMP RETURN LINE (01 OF 01) -5</t>
    <phoneticPr fontId="3" type="noConversion"/>
  </si>
  <si>
    <t>2"-UW-B1-66/003-GK1-NR, DELUGE PUMP RETURN LINE (01 OF 01) -6</t>
    <phoneticPr fontId="3" type="noConversion"/>
  </si>
  <si>
    <t>2"-UW-B1-66/003-GK1-NR, DELUGE PUMP RETURN LINE (01 OF 01) -7</t>
    <phoneticPr fontId="3" type="noConversion"/>
  </si>
  <si>
    <t>2"-UW-B2-66/003-GK1-NR, DELUGE PUMP RETURN LINE (01 OF 01) -1</t>
    <phoneticPr fontId="3" type="noConversion"/>
  </si>
  <si>
    <t>2"-UW-B2-66/003-GK1-NR, DELUGE PUMP RETURN LINE (01 OF 01) -2</t>
    <phoneticPr fontId="3" type="noConversion"/>
  </si>
  <si>
    <t>2"-UW-B2-66/003-GK1-NR, DELUGE PUMP RETURN LINE (01 OF 01) -3</t>
    <phoneticPr fontId="3" type="noConversion"/>
  </si>
  <si>
    <t>2"-UW-B2-66/003-GK1-NR, DELUGE PUMP RETURN LINE (01 OF 01) -4</t>
    <phoneticPr fontId="3" type="noConversion"/>
  </si>
  <si>
    <t>2"-UW-B2-66/003-GK1-NR, DELUGE PUMP RETURN LINE (01 OF 01) -5</t>
    <phoneticPr fontId="3" type="noConversion"/>
  </si>
  <si>
    <t>2"-UW-B2-66/003-GK1-NR, DELUGE PUMP RETURN LINE (01 OF 01) -6</t>
    <phoneticPr fontId="3" type="noConversion"/>
  </si>
  <si>
    <t>2"-UW-B2-66/003-GK1-NR, DELUGE PUMP RETURN LINE (01 OF 01) -7</t>
    <phoneticPr fontId="3" type="noConversion"/>
  </si>
  <si>
    <t>2"-UW-B1-66/007-GB1-NR, TUBE DRAIN LINE (01 OF 02) -1</t>
    <phoneticPr fontId="3" type="noConversion"/>
  </si>
  <si>
    <t>2"-UW-B1-66/007-GB1-NR, TUBE DRAIN LINE (01 OF 02) -2</t>
    <phoneticPr fontId="3" type="noConversion"/>
  </si>
  <si>
    <t>2"-UW-B1-66/007-GB1-NR, TUBE DRAIN LINE (01 OF 02) -3</t>
    <phoneticPr fontId="3" type="noConversion"/>
  </si>
  <si>
    <t>2"-UW-B1-66/007-GB1-NR, TUBE DRAIN LINE (01 OF 02) -4</t>
    <phoneticPr fontId="3" type="noConversion"/>
  </si>
  <si>
    <t>2"-UW-B1-66/007-GB1-NR, TUBE DRAIN LINE (01 OF 02) -5</t>
    <phoneticPr fontId="3" type="noConversion"/>
  </si>
  <si>
    <t>2"-UW-B1-66/007-GB1-NR, TUBE DRAIN LINE (01 OF 02) -6</t>
    <phoneticPr fontId="3" type="noConversion"/>
  </si>
  <si>
    <t>2"-UW-B1-66/007-GB1-NR, TUBE DRAIN LINE (01 OF 02) -7</t>
    <phoneticPr fontId="3" type="noConversion"/>
  </si>
  <si>
    <t>2"-UW-B1-66/007-GB1-NR, TUBE DRAIN LINE (02 OF 02) -1</t>
    <phoneticPr fontId="3" type="noConversion"/>
  </si>
  <si>
    <t>2"-UW-B1-66/007-GB1-NR, TUBE DRAIN LINE (02 OF 02) -2</t>
    <phoneticPr fontId="3" type="noConversion"/>
  </si>
  <si>
    <t>2"-UW-B1-66/007-GB1-NR, TUBE DRAIN LINE (02 OF 02) -3</t>
    <phoneticPr fontId="3" type="noConversion"/>
  </si>
  <si>
    <t>2"-UW-B1-66/007-GB1-NR, TUBE DRAIN LINE (02 OF 02) -4</t>
    <phoneticPr fontId="3" type="noConversion"/>
  </si>
  <si>
    <t>2"-UW-B1-66/007-GB1-NR, TUBE DRAIN LINE (02 OF 02) -5</t>
    <phoneticPr fontId="3" type="noConversion"/>
  </si>
  <si>
    <t>2"-UW-B1-66/007-GB1-NR, TUBE DRAIN LINE (02 OF 02) -6</t>
    <phoneticPr fontId="3" type="noConversion"/>
  </si>
  <si>
    <t>2"-UW-B2-66/007-GK1-NR, TUBE DRAIN LINE (01 OF 02) -1</t>
    <phoneticPr fontId="3" type="noConversion"/>
  </si>
  <si>
    <t>2"-UW-B2-66/007-GK1-NR, TUBE DRAIN LINE (01 OF 02) -2</t>
    <phoneticPr fontId="3" type="noConversion"/>
  </si>
  <si>
    <t>2"-UW-B2-66/007-GK1-NR, TUBE DRAIN LINE (01 OF 02) -3</t>
    <phoneticPr fontId="3" type="noConversion"/>
  </si>
  <si>
    <t>2"-UW-B2-66/007-GK1-NR, TUBE DRAIN LINE (01 OF 02) -4</t>
    <phoneticPr fontId="3" type="noConversion"/>
  </si>
  <si>
    <t>2"-UW-B2-66/007-GK1-NR, TUBE DRAIN LINE (01 OF 02) -5</t>
    <phoneticPr fontId="3" type="noConversion"/>
  </si>
  <si>
    <t>2"-UW-B2-66/007-GK1-NR, TUBE DRAIN LINE (01 OF 02) -6</t>
    <phoneticPr fontId="3" type="noConversion"/>
  </si>
  <si>
    <t>2"-UW-B2-66/007-GK1-NR, TUBE DRAIN LINE (01 OF 02) -7</t>
    <phoneticPr fontId="3" type="noConversion"/>
  </si>
  <si>
    <t>2"-UW-B2-66/007-GK1-NR, TUBE DRAIN LINE (02 OF 02) -1</t>
    <phoneticPr fontId="3" type="noConversion"/>
  </si>
  <si>
    <t>2"-UW-B2-66/007-GK1-NR, TUBE DRAIN LINE (02 OF 02) -2</t>
    <phoneticPr fontId="3" type="noConversion"/>
  </si>
  <si>
    <t>2"-UW-B2-66/007-GK1-NR, TUBE DRAIN LINE (02 OF 02) -3</t>
    <phoneticPr fontId="3" type="noConversion"/>
  </si>
  <si>
    <t>2"-UW-B2-66/007-GK1-NR, TUBE DRAIN LINE (02 OF 02) -4</t>
    <phoneticPr fontId="3" type="noConversion"/>
  </si>
  <si>
    <t>2"-UW-B2-66/007-GK1-NR, TUBE DRAIN LINE (02 OF 02) -5</t>
    <phoneticPr fontId="3" type="noConversion"/>
  </si>
  <si>
    <t>2"-UW-B2-66/007-GK1-NR, TUBE DRAIN LINE (02 OF 02) -6</t>
    <phoneticPr fontId="3" type="noConversion"/>
  </si>
  <si>
    <t>20"-CWS-B1-66/101-GB1-HT, CCW INLET (03 OF 03) -4</t>
    <phoneticPr fontId="3" type="noConversion"/>
  </si>
  <si>
    <t>20"-CWS-B2-66/101-GB1-HT, CCW INLET (03 OF 03) -4</t>
    <phoneticPr fontId="3" type="noConversion"/>
  </si>
  <si>
    <t>PGU-DE-0139-FFC-ROT-052</t>
    <phoneticPr fontId="3" type="noConversion"/>
  </si>
  <si>
    <t>20"-CWS-B2-66/101-GB1-HT, CCW INLET (01 OF 03) -1</t>
    <phoneticPr fontId="3" type="noConversion"/>
  </si>
  <si>
    <r>
      <t xml:space="preserve">SP1 </t>
    </r>
    <r>
      <rPr>
        <sz val="12"/>
        <color theme="1"/>
        <rFont val="돋움"/>
        <family val="3"/>
        <charset val="129"/>
      </rPr>
      <t>일자</t>
    </r>
    <phoneticPr fontId="3" type="noConversion"/>
  </si>
  <si>
    <t>20"-CWS-B2-66/101-GB1-HT, CCW INLET (01 OF 03) -2</t>
    <phoneticPr fontId="3" type="noConversion"/>
  </si>
  <si>
    <r>
      <t xml:space="preserve">SP5 </t>
    </r>
    <r>
      <rPr>
        <sz val="12"/>
        <color theme="1"/>
        <rFont val="돋움"/>
        <family val="3"/>
        <charset val="129"/>
      </rPr>
      <t>일자</t>
    </r>
    <phoneticPr fontId="3" type="noConversion"/>
  </si>
  <si>
    <t>20"-CWS-B2-66/101-GB1-HT, CCW INLET (02 OF 03) -3</t>
    <phoneticPr fontId="3" type="noConversion"/>
  </si>
  <si>
    <t xml:space="preserve">SP9 </t>
    <phoneticPr fontId="3" type="noConversion"/>
  </si>
  <si>
    <t>20"-CWS-B2-66/101-GB1-HT, CCW INLET (03 OF 03) -1</t>
    <phoneticPr fontId="3" type="noConversion"/>
  </si>
  <si>
    <t>SP1</t>
    <phoneticPr fontId="3" type="noConversion"/>
  </si>
  <si>
    <t>20"-CWS-B2-66/102-GB1-HT, CCW OUTLET (03 OF 05) -2</t>
    <phoneticPr fontId="3" type="noConversion"/>
  </si>
  <si>
    <t>SP6</t>
    <phoneticPr fontId="3" type="noConversion"/>
  </si>
  <si>
    <t>20"-CWS-B2-66/102-GB1-HT, CCW OUTLET (04 OF 05) -1</t>
    <phoneticPr fontId="3" type="noConversion"/>
  </si>
  <si>
    <t>20"-CWS-B2-66/102-GB1-HT, CCW OUTLET (05 OF 05) -2</t>
    <phoneticPr fontId="3" type="noConversion"/>
  </si>
  <si>
    <t>SP5</t>
    <phoneticPr fontId="3" type="noConversion"/>
  </si>
  <si>
    <t>20"-CWS-B2-66/102-GB1-HT, CCW OUTLET (04 OF 05) -2</t>
    <phoneticPr fontId="3" type="noConversion"/>
  </si>
  <si>
    <t>PGU-DE-0139-FFC-ROT-053</t>
    <phoneticPr fontId="3" type="noConversion"/>
  </si>
  <si>
    <t>20"-CWS-B1-66/101-GB1-HT, CCW INLET (02 OF 03) -2</t>
    <phoneticPr fontId="3" type="noConversion"/>
  </si>
  <si>
    <t>20"-CWS-B1-66/101-GB1-HT, CCW INLET (02 OF 03) -3</t>
    <phoneticPr fontId="3" type="noConversion"/>
  </si>
  <si>
    <t>20"-CWS-B1-66/101-GB1-HT, CCW INLET (03 OF 03) -1</t>
    <phoneticPr fontId="3" type="noConversion"/>
  </si>
  <si>
    <t>20"-CWS-B1-66/101-GB1-HT, CCW INLET (03 OF 03) -3</t>
    <phoneticPr fontId="3" type="noConversion"/>
  </si>
  <si>
    <t>20"-CWS-B1-66/102-GB1-HT, CCW OUTLET (02 OF 05) -1</t>
    <phoneticPr fontId="3" type="noConversion"/>
  </si>
  <si>
    <t>20"-CWS-B1-66/102-GB1-HT, CCW OUTLET (03 OF 05) -2</t>
    <phoneticPr fontId="3" type="noConversion"/>
  </si>
  <si>
    <t>20"-CWS-B1-66/102-GB1-HT, CCW OUTLET (04 OF 05) -2</t>
    <phoneticPr fontId="3" type="noConversion"/>
  </si>
  <si>
    <t>20"-CWS-B1-66/102-GB1-HT, CCW OUTLET (05 OF 05) -2</t>
    <phoneticPr fontId="3" type="noConversion"/>
  </si>
  <si>
    <t>PGU-DE-0139-FFC-ROT-054</t>
    <phoneticPr fontId="3" type="noConversion"/>
  </si>
  <si>
    <t>20"-CWS-B1-66/101-GB1-HT, CCW INLET (01 OF 03) -1</t>
    <phoneticPr fontId="3" type="noConversion"/>
  </si>
  <si>
    <t>20"-CWS-B1-66/101-GB1-HT, CCW INLET (01 OF 03) -2</t>
    <phoneticPr fontId="3" type="noConversion"/>
  </si>
  <si>
    <t>20"-CWS-B1-66/101-GB1-HT, CCW INLET (02 OF 03) -1</t>
    <phoneticPr fontId="3" type="noConversion"/>
  </si>
  <si>
    <t>20"-CWS-B1-66/101-GB1-HT, CCW INLET (03 OF 03) -2</t>
    <phoneticPr fontId="3" type="noConversion"/>
  </si>
  <si>
    <t>20"-CWS-B1-66/102-GB1-HT, CCW OUTLET (02 OF 05) -2</t>
    <phoneticPr fontId="3" type="noConversion"/>
  </si>
  <si>
    <t>SP4</t>
    <phoneticPr fontId="3" type="noConversion"/>
  </si>
  <si>
    <t>20"-CWS-B1-66/102-GB1-HT, CCW OUTLET (03 OF 05) -1</t>
    <phoneticPr fontId="3" type="noConversion"/>
  </si>
  <si>
    <t>20"-CWS-B1-66/102-GB1-HT, CCW OUTLET (04 OF 05) -1</t>
    <phoneticPr fontId="3" type="noConversion"/>
  </si>
  <si>
    <t>20"-CWS-B1-66/102-GB1-HT, CCW OUTLET (05 OF 05) -1</t>
    <phoneticPr fontId="3" type="noConversion"/>
  </si>
  <si>
    <t>PGU-DE-0139-FFC-ROT-055</t>
    <phoneticPr fontId="3" type="noConversion"/>
  </si>
  <si>
    <t>20"-CWS-B2-66/101-GB1-HT, CCW INLET (02 OF 03) -1</t>
    <phoneticPr fontId="3" type="noConversion"/>
  </si>
  <si>
    <t>20"-CWS-B2-66/101-GB1-HT, CCW INLET (02 OF 03) -2</t>
    <phoneticPr fontId="3" type="noConversion"/>
  </si>
  <si>
    <t>20"-CWS-B2-66/101-GB1-HT, CCW INLET (03 OF 03) -2</t>
    <phoneticPr fontId="3" type="noConversion"/>
  </si>
  <si>
    <t>20"-CWS-B2-66/101-GB1-HT, CCW INLET (03 OF 03) -3</t>
    <phoneticPr fontId="3" type="noConversion"/>
  </si>
  <si>
    <t>20"-CWS-B2-66/102-GB1-HT, CCW OUTLET (02 OF 05) -1</t>
    <phoneticPr fontId="3" type="noConversion"/>
  </si>
  <si>
    <t>20"-CWS-B2-66/102-GB1-HT, CCW OUTLET (02 OF 05) -2</t>
    <phoneticPr fontId="3" type="noConversion"/>
  </si>
  <si>
    <t>20"-CWS-B2-66/102-GB1-HT, CCW OUTLET (03 OF 05) -1</t>
    <phoneticPr fontId="3" type="noConversion"/>
  </si>
  <si>
    <t>20"-CWS-B2-66/102-GB1-HT, CCW OUTLET (05 OF 05) -1</t>
    <phoneticPr fontId="3" type="noConversion"/>
  </si>
  <si>
    <t>PGU-DE-0139-FFC-ROT-056</t>
    <phoneticPr fontId="3" type="noConversion"/>
  </si>
  <si>
    <t>20"-CWS-B1-66/101-GB1-HT, CCW INLET (01 OF 03) -3</t>
    <phoneticPr fontId="3" type="noConversion"/>
  </si>
  <si>
    <t>20"-CWS-B1-66/101-GB1-HT, CCW INLET (01 OF 03) -4</t>
    <phoneticPr fontId="3" type="noConversion"/>
  </si>
  <si>
    <t>20"-CWS-B1-66/101-GB1-HT, CCW INLET (01 OF 03) -5</t>
    <phoneticPr fontId="3" type="noConversion"/>
  </si>
  <si>
    <t>20"-CWS-B1-66/102-GB1-HT, CCW OUTLET (01 OF 05) -1</t>
    <phoneticPr fontId="3" type="noConversion"/>
  </si>
  <si>
    <t>20"-CWS-B1-66/102-GB1-HT, CCW OUTLET (01 OF 05) -2</t>
    <phoneticPr fontId="3" type="noConversion"/>
  </si>
  <si>
    <t>20"-CWS-B1-66/102-GB1-HT, CCW OUTLET (01 OF 05) -3</t>
    <phoneticPr fontId="3" type="noConversion"/>
  </si>
  <si>
    <t>PGU-DE-0139-FFC-ROT-057</t>
    <phoneticPr fontId="3" type="noConversion"/>
  </si>
  <si>
    <t>20"-CWS-B2-66/101-GB1-HT, CCW INLET (01 OF 03) -3</t>
    <phoneticPr fontId="3" type="noConversion"/>
  </si>
  <si>
    <t>20"-CWS-B2-66/101-GB1-HT, CCW INLET (01 OF 03) -4</t>
    <phoneticPr fontId="3" type="noConversion"/>
  </si>
  <si>
    <t>20"-CWS-B2-66/101-GB1-HT, CCW INLET (01 OF 03) -5</t>
    <phoneticPr fontId="3" type="noConversion"/>
  </si>
  <si>
    <t>20"-CWS-B2-66/102-GB1-HT, CCW OUTLET (01 OF 05) -1</t>
    <phoneticPr fontId="3" type="noConversion"/>
  </si>
  <si>
    <t>20"-CWS-B2-66/102-GB1-HT, CCW OUTLET (01 OF 05) -2</t>
    <phoneticPr fontId="3" type="noConversion"/>
  </si>
  <si>
    <t>20"-CWS-B2-66/102-GB1-HT, CCW OUTLET (01 OF 05) -3</t>
    <phoneticPr fontId="3" type="noConversion"/>
  </si>
  <si>
    <t>PGU-DE-0139-FFC-ROT-058</t>
    <phoneticPr fontId="3" type="noConversion"/>
  </si>
  <si>
    <t>PIPE SUPPORT SPT1/326.5*200*371</t>
    <phoneticPr fontId="3" type="noConversion"/>
  </si>
  <si>
    <t>CCP-W-B182-09-ME-P14-0002</t>
    <phoneticPr fontId="3" type="noConversion"/>
  </si>
  <si>
    <t>L65*65*6</t>
    <phoneticPr fontId="3" type="noConversion"/>
  </si>
  <si>
    <t>PIPE SUPPORT SPT2/200*200*386</t>
    <phoneticPr fontId="3" type="noConversion"/>
  </si>
  <si>
    <t>PIPE SUPPORT SPT3/270.5*200*265</t>
    <phoneticPr fontId="3" type="noConversion"/>
  </si>
  <si>
    <t>PIPE SUPPORT SPT4/270.5*200*130</t>
    <phoneticPr fontId="3" type="noConversion"/>
  </si>
  <si>
    <t>PIPE SUPPORT SPT5/270.5*200*265</t>
    <phoneticPr fontId="3" type="noConversion"/>
  </si>
  <si>
    <t>PIPE SUPPORT SPT6/883*200*265</t>
    <phoneticPr fontId="3" type="noConversion"/>
  </si>
  <si>
    <t>PIPE SUPPORT SPT7-1/330*70*44</t>
    <phoneticPr fontId="3" type="noConversion"/>
  </si>
  <si>
    <t>PIPE SUPPORT SPT7-2/330*70*50</t>
    <phoneticPr fontId="3" type="noConversion"/>
  </si>
  <si>
    <t>PIPE SUPPORT SPT7-3/330*70*56</t>
    <phoneticPr fontId="3" type="noConversion"/>
  </si>
  <si>
    <t>PIPE SUPPORT SPT7-4/330*70*63</t>
    <phoneticPr fontId="3" type="noConversion"/>
  </si>
  <si>
    <t>PIPE SUPPORT SPT7-5/330*70*69</t>
    <phoneticPr fontId="3" type="noConversion"/>
  </si>
  <si>
    <t>PIPE SUPPORT SPT7-6/330*70*75</t>
    <phoneticPr fontId="3" type="noConversion"/>
  </si>
  <si>
    <t>PIPE SUPPORT SPT8-1/340*65*92</t>
    <phoneticPr fontId="3" type="noConversion"/>
  </si>
  <si>
    <t>PIPE SUPPORT SPT8-2/340*65*97</t>
    <phoneticPr fontId="3" type="noConversion"/>
  </si>
  <si>
    <t>PIPE SUPPORT SPT8-3/340*65*104</t>
    <phoneticPr fontId="3" type="noConversion"/>
  </si>
  <si>
    <t>PIPE SUPPORT SPT8-4/340*65*111</t>
    <phoneticPr fontId="3" type="noConversion"/>
  </si>
  <si>
    <t>PIPE SUPPORT SPT8-5/340*65*117</t>
    <phoneticPr fontId="3" type="noConversion"/>
  </si>
  <si>
    <t>PIPE SUPPORT SPT8-6/340*65*123</t>
    <phoneticPr fontId="3" type="noConversion"/>
  </si>
  <si>
    <t>PIPE SUPPORT SPT8-7/340*65*130</t>
    <phoneticPr fontId="3" type="noConversion"/>
  </si>
  <si>
    <t>PIPE SUPPORT SPT8-8/340*65*136</t>
    <phoneticPr fontId="3" type="noConversion"/>
  </si>
  <si>
    <t>PIPE SUPPORT SPT8-9/340*65*143</t>
    <phoneticPr fontId="3" type="noConversion"/>
  </si>
  <si>
    <t>PIPE SUPPORT SPT8-10/340*65*149</t>
    <phoneticPr fontId="3" type="noConversion"/>
  </si>
  <si>
    <t>PIPE SUPPORT SPT8-11/340*65*155</t>
    <phoneticPr fontId="3" type="noConversion"/>
  </si>
  <si>
    <t>PIPE SUPPORT SPT8-12/340*65*162</t>
    <phoneticPr fontId="3" type="noConversion"/>
  </si>
  <si>
    <t>PIPE SUPPORT SPT8-13/340*65*168</t>
    <phoneticPr fontId="3" type="noConversion"/>
  </si>
  <si>
    <t>PIPE SUPPORT SPT8-14/340*65*174</t>
    <phoneticPr fontId="3" type="noConversion"/>
  </si>
  <si>
    <t>PIPE SUPPORT SPT8-15/340*65*181</t>
    <phoneticPr fontId="3" type="noConversion"/>
  </si>
  <si>
    <t>PIPE SUPPORT SPT8-16/340*65*187</t>
    <phoneticPr fontId="3" type="noConversion"/>
  </si>
  <si>
    <t>PIPE SUPPORT SPT8-17/340*65*193</t>
    <phoneticPr fontId="3" type="noConversion"/>
  </si>
  <si>
    <t>PIPE SUPPORT SPT8-18/340*65*200</t>
    <phoneticPr fontId="3" type="noConversion"/>
  </si>
  <si>
    <t>PIPE SUPPORT SPT8-19/340*65*206</t>
    <phoneticPr fontId="3" type="noConversion"/>
  </si>
  <si>
    <t>PIPE SUPPORT SPT8-20/340*65*212</t>
    <phoneticPr fontId="3" type="noConversion"/>
  </si>
  <si>
    <t>PIPE SUPPORT SPT8-21/340*65*219</t>
    <phoneticPr fontId="3" type="noConversion"/>
  </si>
  <si>
    <t>PIPE SUPPORT SPT8-22/340*65*225</t>
    <phoneticPr fontId="3" type="noConversion"/>
  </si>
  <si>
    <t>PIPE SUPPORT SPT8-23/340*65*231</t>
    <phoneticPr fontId="3" type="noConversion"/>
  </si>
  <si>
    <t>PIPE SUPPORT SPT8-24/340*65*238</t>
    <phoneticPr fontId="3" type="noConversion"/>
  </si>
  <si>
    <t>PIPE SUPPORT SPT8-25/340*65*244</t>
    <phoneticPr fontId="3" type="noConversion"/>
  </si>
  <si>
    <t>PIPE SUPPORT SPT8-26/340*65*250</t>
    <phoneticPr fontId="3" type="noConversion"/>
  </si>
  <si>
    <t>PIPE SUPPORT SPT8-27/340*65*257</t>
    <phoneticPr fontId="3" type="noConversion"/>
  </si>
  <si>
    <t>PIPE SUPPORT SPT8-28/340*65*259</t>
    <phoneticPr fontId="3" type="noConversion"/>
  </si>
  <si>
    <t>PIPE SUPPORT SPT9/50*50*287</t>
    <phoneticPr fontId="3" type="noConversion"/>
  </si>
  <si>
    <t>PIPE SUPPORT SPT8-4/340*65*110</t>
    <phoneticPr fontId="3" type="noConversion"/>
  </si>
  <si>
    <t>Technical Description</t>
    <phoneticPr fontId="3" type="noConversion"/>
  </si>
  <si>
    <t>№</t>
    <phoneticPr fontId="3" type="noConversion"/>
  </si>
  <si>
    <t>Name</t>
    <phoneticPr fontId="3" type="noConversion"/>
  </si>
  <si>
    <t>Q-ty</t>
    <phoneticPr fontId="3" type="noConversion"/>
  </si>
  <si>
    <t>Model-Part No.</t>
  </si>
  <si>
    <t>Kind of material</t>
    <phoneticPr fontId="3" type="noConversion"/>
  </si>
  <si>
    <t>Size/specification/ Usage</t>
  </si>
  <si>
    <t>Photo</t>
  </si>
  <si>
    <t xml:space="preserve">Manufacturer / Origin </t>
  </si>
  <si>
    <t>HS Code</t>
    <phoneticPr fontId="3" type="noConversion"/>
  </si>
  <si>
    <t>A36</t>
    <phoneticPr fontId="3" type="noConversion"/>
  </si>
  <si>
    <t>PL3*877*3482</t>
    <phoneticPr fontId="3" type="noConversion"/>
  </si>
  <si>
    <t>(유)근영하이테크/KOREA</t>
    <phoneticPr fontId="3" type="noConversion"/>
  </si>
  <si>
    <t>PL3*1057*2272</t>
    <phoneticPr fontId="3" type="noConversion"/>
  </si>
  <si>
    <t>S275J2</t>
    <phoneticPr fontId="3" type="noConversion"/>
  </si>
  <si>
    <t>H150*150*7/10*4168</t>
    <phoneticPr fontId="3" type="noConversion"/>
  </si>
  <si>
    <t>(유)만성스틸/KOREA</t>
    <phoneticPr fontId="3" type="noConversion"/>
  </si>
  <si>
    <t>H150*150*7/10*748</t>
    <phoneticPr fontId="3" type="noConversion"/>
  </si>
  <si>
    <t>H150*150*7/10*615</t>
    <phoneticPr fontId="3" type="noConversion"/>
  </si>
  <si>
    <t>Ø4*1844*4747</t>
  </si>
  <si>
    <t>PL3*700*3917</t>
  </si>
  <si>
    <t>㈜해성/KOREA</t>
    <phoneticPr fontId="3" type="noConversion"/>
  </si>
  <si>
    <t>PL45*1000*1850</t>
  </si>
  <si>
    <t>H194*150*6*9*1214</t>
  </si>
  <si>
    <t>GR32*845*780</t>
  </si>
  <si>
    <t>수림산업/KOREA</t>
    <phoneticPr fontId="3" type="noConversion"/>
  </si>
  <si>
    <t>L90*90*7*1767, L90*90*7*3181</t>
    <phoneticPr fontId="3" type="noConversion"/>
  </si>
  <si>
    <t>A53B</t>
    <phoneticPr fontId="3" type="noConversion"/>
  </si>
  <si>
    <t>PIPE2"SCH40*3818 etc..</t>
    <phoneticPr fontId="3" type="noConversion"/>
  </si>
  <si>
    <t>FRP</t>
    <phoneticPr fontId="3" type="noConversion"/>
  </si>
  <si>
    <t>16FT</t>
    <phoneticPr fontId="3" type="noConversion"/>
  </si>
  <si>
    <t>FB65*12*5115 etc..</t>
    <phoneticPr fontId="3" type="noConversion"/>
  </si>
  <si>
    <t>A36, S275J2</t>
    <phoneticPr fontId="3" type="noConversion"/>
  </si>
  <si>
    <t>H150*150*7*10*1488</t>
  </si>
  <si>
    <t>H300*150*6.5*9*6880</t>
  </si>
  <si>
    <t>H300*150*6.5*9*6090</t>
  </si>
  <si>
    <t>[200*80*7.5*11*8535 etc..</t>
    <phoneticPr fontId="3" type="noConversion"/>
  </si>
  <si>
    <t>H150*150*7*10*2300 etc..</t>
    <phoneticPr fontId="3" type="noConversion"/>
  </si>
  <si>
    <t>H300*150*6.5*9*7240 / 6085</t>
    <phoneticPr fontId="3" type="noConversion"/>
  </si>
  <si>
    <t>H300*150*6.5*9*6085 /3360</t>
    <phoneticPr fontId="3" type="noConversion"/>
  </si>
  <si>
    <t>H300*150*6.5*9*3360</t>
    <phoneticPr fontId="3" type="noConversion"/>
  </si>
  <si>
    <t>H300*150*6.5*9*6090 / 6880</t>
    <phoneticPr fontId="3" type="noConversion"/>
  </si>
  <si>
    <t>H300*150*6.5*9*6090 / 6085</t>
    <phoneticPr fontId="3" type="noConversion"/>
  </si>
  <si>
    <t>L90*90*7*1908 etc..</t>
    <phoneticPr fontId="3" type="noConversion"/>
  </si>
  <si>
    <t>A325M-1
A307-A</t>
    <phoneticPr fontId="3" type="noConversion"/>
  </si>
  <si>
    <t>HEX.B/N/2PW/SW : M12*45L(A307-A) etc..</t>
    <phoneticPr fontId="3" type="noConversion"/>
  </si>
  <si>
    <t>신진볼텍/KOREA</t>
    <phoneticPr fontId="3" type="noConversion"/>
  </si>
  <si>
    <t>A325M-1</t>
    <phoneticPr fontId="3" type="noConversion"/>
  </si>
  <si>
    <t>SA516-70N
A36</t>
    <phoneticPr fontId="3" type="noConversion"/>
  </si>
  <si>
    <t>L1350*W360*H130</t>
    <phoneticPr fontId="3" type="noConversion"/>
  </si>
  <si>
    <t>DTS/KOREA</t>
    <phoneticPr fontId="3" type="noConversion"/>
  </si>
  <si>
    <t>N/A</t>
    <phoneticPr fontId="3" type="noConversion"/>
  </si>
  <si>
    <t>SHIPPING MARK
ГРУЗОВАЯ МАРКИРОВКА</t>
    <phoneticPr fontId="5" type="noConversion"/>
  </si>
  <si>
    <r>
      <rPr>
        <b/>
        <sz val="16"/>
        <rFont val="Segoe UI Symbol"/>
        <family val="3"/>
      </rPr>
      <t>●</t>
    </r>
    <r>
      <rPr>
        <b/>
        <sz val="16"/>
        <rFont val="Calibri"/>
        <family val="2"/>
      </rPr>
      <t xml:space="preserve"> NAME OF THE PROJECT</t>
    </r>
    <phoneticPr fontId="5" type="noConversion"/>
  </si>
  <si>
    <t xml:space="preserve">: </t>
    <phoneticPr fontId="5" type="noConversion"/>
  </si>
  <si>
    <t xml:space="preserve">Construction of a 1000 MW CCGT Power Plant in the Sairam District of the </t>
    <phoneticPr fontId="3" type="noConversion"/>
  </si>
  <si>
    <t xml:space="preserve">    НАЗВАНИЕ ПРОЕКТА</t>
    <phoneticPr fontId="5" type="noConversion"/>
  </si>
  <si>
    <t>Turkistan Region, Main Site. Without External Engineering Networks</t>
    <phoneticPr fontId="3" type="noConversion"/>
  </si>
  <si>
    <r>
      <rPr>
        <b/>
        <sz val="16"/>
        <rFont val="맑은 고딕"/>
        <family val="3"/>
        <charset val="129"/>
      </rPr>
      <t>●</t>
    </r>
    <r>
      <rPr>
        <b/>
        <sz val="16"/>
        <rFont val="Calibri"/>
        <family val="2"/>
      </rPr>
      <t xml:space="preserve"> CONSIGNEE</t>
    </r>
    <phoneticPr fontId="5" type="noConversion"/>
  </si>
  <si>
    <t xml:space="preserve">    ГРУЗОПОЛУЧАТЕЛЬ</t>
    <phoneticPr fontId="5" type="noConversion"/>
  </si>
  <si>
    <r>
      <rPr>
        <b/>
        <sz val="16"/>
        <rFont val="맑은 고딕"/>
        <family val="3"/>
        <charset val="129"/>
      </rPr>
      <t>●</t>
    </r>
    <r>
      <rPr>
        <b/>
        <sz val="16"/>
        <rFont val="Calibri"/>
        <family val="2"/>
      </rPr>
      <t xml:space="preserve"> Shipper/Exporter</t>
    </r>
    <phoneticPr fontId="5" type="noConversion"/>
  </si>
  <si>
    <t>: Doosan Enerbility Co., LTD</t>
    <phoneticPr fontId="5" type="noConversion"/>
  </si>
  <si>
    <t xml:space="preserve">     Грузоотправитель/Экспортер</t>
    <phoneticPr fontId="5" type="noConversion"/>
  </si>
  <si>
    <t xml:space="preserve">  22, Doosan Volvo-ro, Sengsan-gu, Changwon, Gyeongnam, South Korea</t>
    <phoneticPr fontId="5" type="noConversion"/>
  </si>
  <si>
    <r>
      <rPr>
        <b/>
        <sz val="16"/>
        <rFont val="맑은 고딕"/>
        <family val="3"/>
        <charset val="129"/>
      </rPr>
      <t>●</t>
    </r>
    <r>
      <rPr>
        <b/>
        <sz val="16"/>
        <rFont val="Calibri"/>
        <family val="2"/>
      </rPr>
      <t xml:space="preserve"> Number of Invoice</t>
    </r>
    <phoneticPr fontId="5" type="noConversion"/>
  </si>
  <si>
    <t>:</t>
    <phoneticPr fontId="5" type="noConversion"/>
  </si>
  <si>
    <t xml:space="preserve">    № инвойса</t>
    <phoneticPr fontId="5" type="noConversion"/>
  </si>
  <si>
    <r>
      <rPr>
        <b/>
        <sz val="16"/>
        <rFont val="맑은 고딕"/>
        <family val="3"/>
        <charset val="129"/>
      </rPr>
      <t>●</t>
    </r>
    <r>
      <rPr>
        <b/>
        <sz val="16"/>
        <rFont val="Calibri"/>
        <family val="2"/>
      </rPr>
      <t xml:space="preserve"> CARGO DESCRIPTION</t>
    </r>
    <phoneticPr fontId="3" type="noConversion"/>
  </si>
  <si>
    <t xml:space="preserve">    ОПИСАНИЕ ГРУЗА</t>
  </si>
  <si>
    <r>
      <rPr>
        <b/>
        <sz val="16"/>
        <rFont val="맑은 고딕"/>
        <family val="3"/>
        <charset val="129"/>
      </rPr>
      <t>●</t>
    </r>
    <r>
      <rPr>
        <b/>
        <sz val="16"/>
        <rFont val="Calibri"/>
        <family val="2"/>
      </rPr>
      <t xml:space="preserve"> PACKAGE NO.</t>
    </r>
  </si>
  <si>
    <t>:</t>
    <phoneticPr fontId="3" type="noConversion"/>
  </si>
  <si>
    <t>&lt;=package no.에 숫자만 입력</t>
    <phoneticPr fontId="3" type="noConversion"/>
  </si>
  <si>
    <t xml:space="preserve">    УПАКОВОЧНЫЙ НОМЕР </t>
  </si>
  <si>
    <r>
      <rPr>
        <b/>
        <sz val="16"/>
        <rFont val="맑은 고딕"/>
        <family val="3"/>
        <charset val="129"/>
      </rPr>
      <t>●</t>
    </r>
    <r>
      <rPr>
        <b/>
        <sz val="16"/>
        <rFont val="Calibri"/>
        <family val="2"/>
      </rPr>
      <t xml:space="preserve"> NET WEIGHT</t>
    </r>
    <phoneticPr fontId="5" type="noConversion"/>
  </si>
  <si>
    <t>KG</t>
    <phoneticPr fontId="3" type="noConversion"/>
  </si>
  <si>
    <t xml:space="preserve">    ВЕС НЕТТО</t>
    <phoneticPr fontId="5" type="noConversion"/>
  </si>
  <si>
    <r>
      <rPr>
        <b/>
        <sz val="16"/>
        <rFont val="맑은 고딕"/>
        <family val="3"/>
        <charset val="129"/>
      </rPr>
      <t>●</t>
    </r>
    <r>
      <rPr>
        <b/>
        <sz val="16"/>
        <rFont val="Calibri"/>
        <family val="2"/>
      </rPr>
      <t xml:space="preserve"> GROSS WEIGHT</t>
    </r>
    <phoneticPr fontId="5" type="noConversion"/>
  </si>
  <si>
    <t xml:space="preserve">    ВЕС БРУТТО</t>
    <phoneticPr fontId="5" type="noConversion"/>
  </si>
  <si>
    <r>
      <rPr>
        <b/>
        <sz val="16"/>
        <rFont val="Segoe UI Symbol"/>
        <family val="3"/>
      </rPr>
      <t>●</t>
    </r>
    <r>
      <rPr>
        <b/>
        <sz val="16"/>
        <rFont val="Calibri"/>
        <family val="2"/>
      </rPr>
      <t xml:space="preserve">  CBM(m3)</t>
    </r>
    <phoneticPr fontId="5" type="noConversion"/>
  </si>
  <si>
    <t>m3</t>
    <phoneticPr fontId="3" type="noConversion"/>
  </si>
  <si>
    <t xml:space="preserve">    РАЗМЕРЫ</t>
    <phoneticPr fontId="5" type="noConversion"/>
  </si>
  <si>
    <r>
      <rPr>
        <b/>
        <sz val="16"/>
        <rFont val="맑은 고딕"/>
        <family val="3"/>
        <charset val="129"/>
      </rPr>
      <t>●</t>
    </r>
    <r>
      <rPr>
        <b/>
        <sz val="16"/>
        <rFont val="Calibri"/>
        <family val="2"/>
      </rPr>
      <t xml:space="preserve"> FINAL DESTINATION</t>
    </r>
  </si>
  <si>
    <t xml:space="preserve">:
</t>
    <phoneticPr fontId="5" type="noConversion"/>
  </si>
  <si>
    <t>161100 Republic of Kazakhstan, Turkistan region, Sairam district, Karamurt rural district, 2 km southwest of the Madeniyet village</t>
    <phoneticPr fontId="3" type="noConversion"/>
  </si>
  <si>
    <t xml:space="preserve">    КОНЕЧНЫЙ ПУНКТ НАЗНАЧЕНИЯ</t>
  </si>
  <si>
    <t>Doosan Enerbility</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</si>
</sst>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43" formatCode="_-* #,##0.00_-;\-* #,##0.00_-;_-* &quot;-&quot;??_-;_-@_-"/>
    <numFmt numFmtId="176" formatCode="_-* #,##0.00_-;\-* #,##0.00_-;_-* &quot;-&quot;_-;_-@_-"/>
    <numFmt numFmtId="177" formatCode="0_);[Red]\(0\)"/>
    <numFmt numFmtId="178" formatCode="0.000_);[Red]\(0.000\)"/>
    <numFmt numFmtId="179" formatCode="#,##0.00_ "/>
    <numFmt numFmtId="180" formatCode="#,##0_ "/>
    <numFmt numFmtId="181" formatCode="_(* #,##0_);_(* \(#,##0\);_(* &quot;-&quot;??_);_(@_)"/>
    <numFmt numFmtId="182" formatCode="#,##0\ &quot;EA&quot;"/>
    <numFmt numFmtId="183" formatCode="#,##0.000;[Red]\-#,##0.000"/>
    <numFmt numFmtId="184" formatCode="&quot;PGU-DE-0139-FFC-ROT-&quot;000"/>
    <numFmt numFmtId="185" formatCode="#,##0\ &quot;SET&quot;"/>
  </numFmts>
  <fonts count="82">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sz val="10"/>
      <name val="Arial"/>
      <family val="2"/>
    </font>
    <font>
      <sz val="8"/>
      <name val="맑은 고딕"/>
      <family val="3"/>
      <charset val="129"/>
    </font>
    <font>
      <sz val="11"/>
      <color indexed="8"/>
      <name val="맑은 고딕"/>
      <family val="3"/>
      <charset val="129"/>
    </font>
    <font>
      <sz val="9"/>
      <name val="ＭＳ Ｐゴシック"/>
      <family val="2"/>
      <charset val="128"/>
    </font>
    <font>
      <sz val="10.5"/>
      <color theme="1"/>
      <name val="Calibri"/>
      <family val="2"/>
    </font>
    <font>
      <sz val="8"/>
      <name val="돋움"/>
      <family val="3"/>
      <charset val="129"/>
    </font>
    <font>
      <sz val="11"/>
      <name val="Calibri"/>
      <family val="2"/>
    </font>
    <font>
      <sz val="16"/>
      <color theme="1"/>
      <name val="맑은 고딕"/>
      <family val="2"/>
      <charset val="129"/>
      <scheme val="minor"/>
    </font>
    <font>
      <sz val="16"/>
      <color theme="1"/>
      <name val="맑은 고딕"/>
      <family val="3"/>
      <charset val="129"/>
      <scheme val="minor"/>
    </font>
    <font>
      <b/>
      <sz val="16"/>
      <name val="Calibri"/>
      <family val="2"/>
    </font>
    <font>
      <sz val="9"/>
      <name val="Calibri"/>
      <family val="2"/>
    </font>
    <font>
      <sz val="8"/>
      <name val="Calibri"/>
      <family val="2"/>
    </font>
    <font>
      <sz val="9"/>
      <name val="Arial"/>
      <family val="2"/>
    </font>
    <font>
      <sz val="10"/>
      <name val="Calibri"/>
      <family val="2"/>
    </font>
    <font>
      <b/>
      <sz val="14"/>
      <name val="Calibri"/>
      <family val="2"/>
    </font>
    <font>
      <sz val="11"/>
      <name val="Arial"/>
      <family val="2"/>
    </font>
    <font>
      <sz val="13"/>
      <name val="Calibri"/>
      <family val="2"/>
    </font>
    <font>
      <b/>
      <sz val="13"/>
      <color theme="0"/>
      <name val="Calibri"/>
      <family val="2"/>
    </font>
    <font>
      <sz val="12"/>
      <name val="Calibri"/>
      <family val="2"/>
    </font>
    <font>
      <sz val="11"/>
      <name val="굴림체"/>
      <family val="3"/>
      <charset val="129"/>
    </font>
    <font>
      <i/>
      <sz val="12"/>
      <name val="Calibri"/>
      <family val="2"/>
    </font>
    <font>
      <b/>
      <sz val="12"/>
      <color theme="0"/>
      <name val="Calibri"/>
      <family val="2"/>
    </font>
    <font>
      <b/>
      <sz val="9"/>
      <name val="Calibri"/>
      <family val="2"/>
    </font>
    <font>
      <b/>
      <sz val="10"/>
      <name val="Arial"/>
      <family val="2"/>
    </font>
    <font>
      <sz val="9"/>
      <color indexed="8"/>
      <name val="Calibri"/>
      <family val="2"/>
    </font>
    <font>
      <sz val="1"/>
      <color indexed="8"/>
      <name val="Courier"/>
      <family val="3"/>
    </font>
    <font>
      <b/>
      <i/>
      <sz val="9"/>
      <name val="Calibri"/>
      <family val="2"/>
    </font>
    <font>
      <b/>
      <sz val="10"/>
      <name val="Calibri"/>
      <family val="2"/>
    </font>
    <font>
      <b/>
      <sz val="11"/>
      <name val="Calibri"/>
      <family val="2"/>
    </font>
    <font>
      <strike/>
      <sz val="11"/>
      <name val="Calibri"/>
      <family val="2"/>
    </font>
    <font>
      <sz val="11"/>
      <color indexed="10"/>
      <name val="Calibri"/>
      <family val="2"/>
    </font>
    <font>
      <sz val="11"/>
      <color rgb="FF000000"/>
      <name val="Calibri"/>
      <family val="2"/>
    </font>
    <font>
      <sz val="11"/>
      <color rgb="FF0000CC"/>
      <name val="Calibri"/>
      <family val="2"/>
    </font>
    <font>
      <sz val="11"/>
      <color rgb="FF0000CC"/>
      <name val="Arial"/>
      <family val="2"/>
    </font>
    <font>
      <sz val="8"/>
      <name val="돋움"/>
      <family val="3"/>
    </font>
    <font>
      <b/>
      <sz val="12"/>
      <name val="Calibri"/>
      <family val="2"/>
    </font>
    <font>
      <sz val="10"/>
      <name val="Arial"/>
      <family val="2"/>
    </font>
    <font>
      <sz val="12"/>
      <color theme="1"/>
      <name val="Calibri"/>
      <family val="2"/>
    </font>
    <font>
      <sz val="14"/>
      <name val="Calibri"/>
      <family val="2"/>
    </font>
    <font>
      <sz val="14"/>
      <name val="Arial"/>
      <family val="2"/>
    </font>
    <font>
      <sz val="16"/>
      <name val="Calibri"/>
      <family val="2"/>
    </font>
    <font>
      <b/>
      <sz val="24"/>
      <name val="Calibri"/>
      <family val="2"/>
    </font>
    <font>
      <b/>
      <sz val="16"/>
      <name val="맑은 고딕"/>
      <family val="3"/>
      <charset val="129"/>
    </font>
    <font>
      <sz val="16"/>
      <name val="맑은 고딕"/>
      <family val="3"/>
      <charset val="129"/>
      <scheme val="minor"/>
    </font>
    <font>
      <sz val="16"/>
      <name val="맑은 고딕"/>
      <family val="2"/>
      <charset val="129"/>
      <scheme val="minor"/>
    </font>
    <font>
      <b/>
      <sz val="16"/>
      <name val="Calibri"/>
      <family val="3"/>
    </font>
    <font>
      <b/>
      <sz val="16"/>
      <name val="Segoe UI Symbol"/>
      <family val="3"/>
    </font>
    <font>
      <sz val="11"/>
      <color theme="1"/>
      <name val="Calibri"/>
      <family val="2"/>
    </font>
    <font>
      <sz val="8"/>
      <name val="Arial"/>
      <family val="2"/>
    </font>
    <font>
      <vertAlign val="superscript"/>
      <sz val="11"/>
      <name val="Calibri"/>
      <family val="2"/>
    </font>
    <font>
      <b/>
      <sz val="11"/>
      <color theme="1"/>
      <name val="Calibri"/>
      <family val="2"/>
    </font>
    <font>
      <sz val="12"/>
      <color theme="0"/>
      <name val="Calibri"/>
      <family val="2"/>
    </font>
    <font>
      <b/>
      <i/>
      <sz val="12"/>
      <color rgb="FF0000CC"/>
      <name val="Calibri"/>
      <family val="2"/>
    </font>
    <font>
      <u/>
      <sz val="11"/>
      <color theme="10"/>
      <name val="맑은 고딕"/>
      <family val="2"/>
      <charset val="129"/>
      <scheme val="minor"/>
    </font>
    <font>
      <b/>
      <sz val="15"/>
      <color theme="3"/>
      <name val="맑은 고딕"/>
      <family val="2"/>
      <charset val="129"/>
      <scheme val="minor"/>
    </font>
    <font>
      <b/>
      <sz val="11"/>
      <color rgb="FF000000"/>
      <name val="Calibri"/>
      <family val="2"/>
    </font>
    <font>
      <sz val="11"/>
      <color theme="1"/>
      <name val="Calibri"/>
      <family val="2"/>
      <charset val="204"/>
    </font>
    <font>
      <u/>
      <sz val="11"/>
      <color theme="10"/>
      <name val="Calibri"/>
      <family val="2"/>
    </font>
    <font>
      <b/>
      <sz val="11.5"/>
      <name val="Calibri"/>
      <family val="2"/>
    </font>
    <font>
      <b/>
      <i/>
      <sz val="11.5"/>
      <color rgb="FF0000CC"/>
      <name val="Calibri"/>
      <family val="2"/>
    </font>
    <font>
      <sz val="11.5"/>
      <name val="Calibri"/>
      <family val="2"/>
    </font>
    <font>
      <sz val="11"/>
      <color theme="1"/>
      <name val="돋움"/>
      <family val="3"/>
      <charset val="129"/>
    </font>
    <font>
      <sz val="11"/>
      <name val="Segoe UI Symbol"/>
      <family val="2"/>
    </font>
    <font>
      <sz val="11"/>
      <name val="맑은 고딕"/>
      <family val="2"/>
      <charset val="129"/>
    </font>
    <font>
      <b/>
      <sz val="12"/>
      <color theme="1"/>
      <name val="Calibri"/>
      <family val="2"/>
    </font>
    <font>
      <b/>
      <i/>
      <sz val="12"/>
      <name val="Calibri"/>
      <family val="2"/>
    </font>
    <font>
      <b/>
      <sz val="14"/>
      <color theme="1"/>
      <name val="Calibri"/>
      <family val="2"/>
    </font>
    <font>
      <b/>
      <sz val="14"/>
      <color theme="0"/>
      <name val="Calibri"/>
      <family val="2"/>
    </font>
    <font>
      <b/>
      <i/>
      <sz val="14"/>
      <name val="Calibri"/>
      <family val="2"/>
    </font>
    <font>
      <sz val="9"/>
      <name val="HY견명조"/>
      <family val="1"/>
      <charset val="129"/>
    </font>
    <font>
      <sz val="12"/>
      <color indexed="8"/>
      <name val="Calibri"/>
      <family val="2"/>
    </font>
    <font>
      <sz val="12"/>
      <color rgb="FF000000"/>
      <name val="Calibri"/>
      <family val="2"/>
    </font>
    <font>
      <sz val="12"/>
      <name val="돋움"/>
      <family val="3"/>
      <charset val="129"/>
    </font>
    <font>
      <sz val="12"/>
      <color indexed="8"/>
      <name val="돋움"/>
      <family val="3"/>
      <charset val="129"/>
    </font>
    <font>
      <sz val="12"/>
      <color rgb="FFFF0000"/>
      <name val="Calibri"/>
      <family val="2"/>
    </font>
    <font>
      <sz val="12"/>
      <color theme="1"/>
      <name val="돋움"/>
      <family val="3"/>
      <charset val="129"/>
    </font>
    <font>
      <u/>
      <sz val="11"/>
      <name val="Calibri"/>
      <family val="2"/>
    </font>
    <font>
      <sz val="11"/>
      <color rgb="FF0000FF"/>
      <name val="Calibri"/>
      <family val="2"/>
    </font>
  </fonts>
  <fills count="7">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4" tint="0.79998168889431442"/>
        <bgColor indexed="64"/>
      </patternFill>
    </fill>
    <fill>
      <patternFill patternType="solid">
        <fgColor theme="2"/>
        <bgColor indexed="64"/>
      </patternFill>
    </fill>
    <fill>
      <patternFill patternType="solid">
        <fgColor rgb="FFFFFF00"/>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bottom style="thick">
        <color theme="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s>
  <cellStyleXfs count="23">
    <xf numFmtId="0" fontId="0" fillId="0" borderId="0">
      <alignment vertical="center"/>
    </xf>
    <xf numFmtId="41" fontId="1" fillId="0" borderId="0" applyFont="0" applyFill="0" applyBorder="0" applyAlignment="0" applyProtection="0">
      <alignment vertical="center"/>
    </xf>
    <xf numFmtId="0" fontId="2" fillId="0" borderId="0"/>
    <xf numFmtId="0" fontId="2" fillId="0" borderId="0"/>
    <xf numFmtId="0" fontId="2" fillId="0" borderId="0">
      <alignment vertical="center"/>
    </xf>
    <xf numFmtId="41" fontId="2" fillId="0" borderId="0" applyFont="0" applyFill="0" applyBorder="0" applyAlignment="0" applyProtection="0"/>
    <xf numFmtId="0" fontId="4" fillId="0" borderId="0"/>
    <xf numFmtId="43" fontId="2" fillId="0" borderId="0" applyFont="0" applyFill="0" applyBorder="0" applyAlignment="0" applyProtection="0"/>
    <xf numFmtId="41" fontId="6" fillId="0" borderId="0" applyFont="0" applyFill="0" applyBorder="0" applyAlignment="0" applyProtection="0">
      <alignment vertical="center"/>
    </xf>
    <xf numFmtId="0" fontId="2" fillId="0" borderId="0">
      <alignment vertical="center"/>
    </xf>
    <xf numFmtId="0" fontId="7"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3" fillId="0" borderId="0"/>
    <xf numFmtId="4" fontId="29" fillId="0" borderId="0">
      <protection locked="0"/>
    </xf>
    <xf numFmtId="0" fontId="40" fillId="0" borderId="0"/>
    <xf numFmtId="41" fontId="4" fillId="0" borderId="0" applyFont="0" applyFill="0" applyBorder="0" applyAlignment="0" applyProtection="0">
      <alignment vertical="center"/>
    </xf>
    <xf numFmtId="0" fontId="1" fillId="0" borderId="0">
      <alignment vertical="center"/>
    </xf>
    <xf numFmtId="0" fontId="4" fillId="0" borderId="0"/>
    <xf numFmtId="0" fontId="57" fillId="0" borderId="0" applyNumberFormat="0" applyFill="0" applyBorder="0" applyAlignment="0" applyProtection="0">
      <alignment vertical="center"/>
    </xf>
    <xf numFmtId="0" fontId="58" fillId="0" borderId="51" applyNumberFormat="0" applyFill="0" applyAlignment="0" applyProtection="0">
      <alignment vertical="center"/>
    </xf>
  </cellStyleXfs>
  <cellXfs count="606">
    <xf numFmtId="0" fontId="0" fillId="0" borderId="0" xfId="0">
      <alignment vertical="center"/>
    </xf>
    <xf numFmtId="0" fontId="8" fillId="0" borderId="0" xfId="0" applyFont="1">
      <alignment vertical="center"/>
    </xf>
    <xf numFmtId="0" fontId="0" fillId="2" borderId="0" xfId="0" applyFill="1">
      <alignment vertical="center"/>
    </xf>
    <xf numFmtId="0" fontId="11" fillId="2" borderId="0" xfId="0" applyFont="1" applyFill="1">
      <alignment vertical="center"/>
    </xf>
    <xf numFmtId="0" fontId="12" fillId="2" borderId="0" xfId="0" applyFont="1" applyFill="1">
      <alignment vertical="center"/>
    </xf>
    <xf numFmtId="0" fontId="14" fillId="0" borderId="0" xfId="13" applyFont="1">
      <alignment vertical="center"/>
    </xf>
    <xf numFmtId="0" fontId="14" fillId="0" borderId="0" xfId="13" applyFont="1" applyAlignment="1">
      <alignment vertical="center" wrapText="1"/>
    </xf>
    <xf numFmtId="0" fontId="14" fillId="0" borderId="0" xfId="13" applyFont="1" applyAlignment="1">
      <alignment horizontal="center" vertical="center"/>
    </xf>
    <xf numFmtId="0" fontId="16" fillId="0" borderId="0" xfId="13" applyFont="1">
      <alignment vertical="center"/>
    </xf>
    <xf numFmtId="0" fontId="14" fillId="0" borderId="0" xfId="13" applyFont="1" applyAlignment="1">
      <alignment horizontal="left" vertical="center"/>
    </xf>
    <xf numFmtId="0" fontId="16" fillId="0" borderId="0" xfId="13" applyFont="1" applyAlignment="1">
      <alignment vertical="center" wrapText="1"/>
    </xf>
    <xf numFmtId="0" fontId="17" fillId="0" borderId="0" xfId="13" applyFont="1" applyAlignment="1">
      <alignment vertical="center" wrapText="1"/>
    </xf>
    <xf numFmtId="0" fontId="4" fillId="0" borderId="0" xfId="13" applyFont="1" applyAlignment="1">
      <alignment vertical="center" wrapText="1"/>
    </xf>
    <xf numFmtId="0" fontId="4" fillId="0" borderId="0" xfId="13" applyFont="1">
      <alignment vertical="center"/>
    </xf>
    <xf numFmtId="0" fontId="18" fillId="0" borderId="0" xfId="13" applyFont="1">
      <alignment vertical="center"/>
    </xf>
    <xf numFmtId="0" fontId="10" fillId="0" borderId="0" xfId="13" applyFont="1" applyAlignment="1">
      <alignment vertical="center" wrapText="1"/>
    </xf>
    <xf numFmtId="0" fontId="10" fillId="0" borderId="0" xfId="13" applyFont="1" applyAlignment="1">
      <alignment horizontal="center" vertical="center"/>
    </xf>
    <xf numFmtId="0" fontId="10" fillId="0" borderId="0" xfId="13" applyFont="1">
      <alignment vertical="center"/>
    </xf>
    <xf numFmtId="178" fontId="14" fillId="0" borderId="0" xfId="13" applyNumberFormat="1" applyFont="1" applyAlignment="1">
      <alignment horizontal="left" vertical="center"/>
    </xf>
    <xf numFmtId="0" fontId="19" fillId="0" borderId="0" xfId="13" applyFont="1" applyAlignment="1">
      <alignment vertical="center" wrapText="1"/>
    </xf>
    <xf numFmtId="0" fontId="19" fillId="0" borderId="0" xfId="13" applyFont="1">
      <alignment vertical="center"/>
    </xf>
    <xf numFmtId="0" fontId="21" fillId="0" borderId="0" xfId="13" applyFont="1">
      <alignment vertical="center"/>
    </xf>
    <xf numFmtId="0" fontId="20" fillId="0" borderId="0" xfId="13" applyFont="1" applyAlignment="1">
      <alignment vertical="center" wrapText="1"/>
    </xf>
    <xf numFmtId="0" fontId="20" fillId="0" borderId="0" xfId="13" applyFont="1">
      <alignment vertical="center"/>
    </xf>
    <xf numFmtId="0" fontId="22" fillId="2" borderId="17" xfId="13" applyFont="1" applyFill="1" applyBorder="1" applyAlignment="1">
      <alignment horizontal="center" vertical="center"/>
    </xf>
    <xf numFmtId="40" fontId="22" fillId="0" borderId="1" xfId="14" applyNumberFormat="1" applyFont="1" applyFill="1" applyBorder="1" applyAlignment="1">
      <alignment horizontal="center" vertical="center"/>
    </xf>
    <xf numFmtId="0" fontId="25" fillId="0" borderId="0" xfId="13" applyFont="1">
      <alignment vertical="center"/>
    </xf>
    <xf numFmtId="0" fontId="22" fillId="0" borderId="0" xfId="13" applyFont="1" applyAlignment="1">
      <alignment vertical="center" wrapText="1"/>
    </xf>
    <xf numFmtId="0" fontId="26" fillId="0" borderId="0" xfId="13" applyFont="1" applyAlignment="1">
      <alignment horizontal="left" vertical="center" wrapText="1"/>
    </xf>
    <xf numFmtId="0" fontId="27" fillId="0" borderId="0" xfId="13" applyFont="1" applyAlignment="1">
      <alignment vertical="center" wrapText="1"/>
    </xf>
    <xf numFmtId="0" fontId="27" fillId="0" borderId="0" xfId="13" applyFont="1">
      <alignment vertical="center"/>
    </xf>
    <xf numFmtId="178" fontId="14" fillId="0" borderId="0" xfId="13" applyNumberFormat="1" applyFont="1" applyAlignment="1">
      <alignment horizontal="center" vertical="center"/>
    </xf>
    <xf numFmtId="0" fontId="14" fillId="0" borderId="0" xfId="13" applyFont="1" applyAlignment="1">
      <alignment horizontal="left" vertical="center" wrapText="1"/>
    </xf>
    <xf numFmtId="0" fontId="16" fillId="0" borderId="0" xfId="13" applyFont="1" applyAlignment="1">
      <alignment horizontal="left" vertical="center" wrapText="1"/>
    </xf>
    <xf numFmtId="0" fontId="16" fillId="0" borderId="0" xfId="13" applyFont="1" applyAlignment="1">
      <alignment horizontal="left" vertical="center"/>
    </xf>
    <xf numFmtId="178" fontId="30" fillId="0" borderId="0" xfId="13" applyNumberFormat="1" applyFont="1" applyAlignment="1">
      <alignment horizontal="center" vertical="center"/>
    </xf>
    <xf numFmtId="0" fontId="17" fillId="0" borderId="0" xfId="13" applyFont="1">
      <alignment vertical="center"/>
    </xf>
    <xf numFmtId="0" fontId="17" fillId="0" borderId="0" xfId="13" applyFont="1" applyAlignment="1">
      <alignment horizontal="center" vertical="center"/>
    </xf>
    <xf numFmtId="178" fontId="17" fillId="0" borderId="0" xfId="13" applyNumberFormat="1" applyFont="1">
      <alignment vertical="center"/>
    </xf>
    <xf numFmtId="176" fontId="10" fillId="0" borderId="0" xfId="1" applyNumberFormat="1" applyFont="1">
      <alignment vertical="center"/>
    </xf>
    <xf numFmtId="176" fontId="14" fillId="0" borderId="0" xfId="1" applyNumberFormat="1" applyFont="1" applyBorder="1" applyAlignment="1">
      <alignment horizontal="center" vertical="center"/>
    </xf>
    <xf numFmtId="176" fontId="14" fillId="0" borderId="0" xfId="1" applyNumberFormat="1" applyFont="1" applyBorder="1" applyAlignment="1">
      <alignment horizontal="left" vertical="center"/>
    </xf>
    <xf numFmtId="176" fontId="14" fillId="0" borderId="0" xfId="1" applyNumberFormat="1" applyFont="1" applyAlignment="1">
      <alignment horizontal="center" vertical="center"/>
    </xf>
    <xf numFmtId="176" fontId="17" fillId="0" borderId="0" xfId="1" applyNumberFormat="1" applyFont="1" applyBorder="1">
      <alignment vertical="center"/>
    </xf>
    <xf numFmtId="176" fontId="17" fillId="0" borderId="0" xfId="1" applyNumberFormat="1" applyFont="1">
      <alignment vertical="center"/>
    </xf>
    <xf numFmtId="0" fontId="14" fillId="0" borderId="7" xfId="13" applyFont="1" applyBorder="1">
      <alignment vertical="center"/>
    </xf>
    <xf numFmtId="0" fontId="14" fillId="0" borderId="6" xfId="13" applyFont="1" applyBorder="1">
      <alignment vertical="center"/>
    </xf>
    <xf numFmtId="0" fontId="14" fillId="0" borderId="8" xfId="13" applyFont="1" applyBorder="1">
      <alignment vertical="center"/>
    </xf>
    <xf numFmtId="0" fontId="14" fillId="0" borderId="9" xfId="13" applyFont="1" applyBorder="1">
      <alignment vertical="center"/>
    </xf>
    <xf numFmtId="0" fontId="14" fillId="0" borderId="10" xfId="13" applyFont="1" applyBorder="1">
      <alignment vertical="center"/>
    </xf>
    <xf numFmtId="0" fontId="31" fillId="0" borderId="14" xfId="13" applyFont="1" applyBorder="1">
      <alignment vertical="center"/>
    </xf>
    <xf numFmtId="0" fontId="14" fillId="0" borderId="4" xfId="13" applyFont="1" applyBorder="1">
      <alignment vertical="center"/>
    </xf>
    <xf numFmtId="0" fontId="14" fillId="0" borderId="20" xfId="13" applyFont="1" applyBorder="1">
      <alignment vertical="center"/>
    </xf>
    <xf numFmtId="0" fontId="32" fillId="0" borderId="7" xfId="13" applyFont="1" applyBorder="1">
      <alignment vertical="center"/>
    </xf>
    <xf numFmtId="0" fontId="10" fillId="0" borderId="6" xfId="13" applyFont="1" applyBorder="1">
      <alignment vertical="center"/>
    </xf>
    <xf numFmtId="0" fontId="10" fillId="0" borderId="43" xfId="13" applyFont="1" applyBorder="1">
      <alignment vertical="center"/>
    </xf>
    <xf numFmtId="0" fontId="32" fillId="0" borderId="6" xfId="13" applyFont="1" applyBorder="1">
      <alignment vertical="center"/>
    </xf>
    <xf numFmtId="0" fontId="10" fillId="0" borderId="9" xfId="13" applyFont="1" applyBorder="1">
      <alignment vertical="center"/>
    </xf>
    <xf numFmtId="0" fontId="10" fillId="0" borderId="27" xfId="13" applyFont="1" applyBorder="1">
      <alignment vertical="center"/>
    </xf>
    <xf numFmtId="0" fontId="10" fillId="0" borderId="3" xfId="13" applyFont="1" applyBorder="1">
      <alignment vertical="center"/>
    </xf>
    <xf numFmtId="0" fontId="10" fillId="0" borderId="10" xfId="13" applyFont="1" applyBorder="1">
      <alignment vertical="center"/>
    </xf>
    <xf numFmtId="0" fontId="10" fillId="0" borderId="11" xfId="13" applyFont="1" applyBorder="1">
      <alignment vertical="center"/>
    </xf>
    <xf numFmtId="0" fontId="10" fillId="0" borderId="24" xfId="13" applyFont="1" applyBorder="1">
      <alignment vertical="center"/>
    </xf>
    <xf numFmtId="0" fontId="32" fillId="0" borderId="9" xfId="13" applyFont="1" applyBorder="1">
      <alignment vertical="center"/>
    </xf>
    <xf numFmtId="0" fontId="33" fillId="0" borderId="28" xfId="13" applyFont="1" applyBorder="1" applyAlignment="1"/>
    <xf numFmtId="0" fontId="33" fillId="0" borderId="28" xfId="13" applyFont="1" applyBorder="1">
      <alignment vertical="center"/>
    </xf>
    <xf numFmtId="0" fontId="32" fillId="0" borderId="21" xfId="13" applyFont="1" applyBorder="1">
      <alignment vertical="center"/>
    </xf>
    <xf numFmtId="0" fontId="10" fillId="0" borderId="22" xfId="13" applyFont="1" applyBorder="1">
      <alignment vertical="center"/>
    </xf>
    <xf numFmtId="0" fontId="10" fillId="0" borderId="25" xfId="13" applyFont="1" applyBorder="1">
      <alignment vertical="center"/>
    </xf>
    <xf numFmtId="0" fontId="32" fillId="0" borderId="3" xfId="13" applyFont="1" applyBorder="1">
      <alignment vertical="center"/>
    </xf>
    <xf numFmtId="0" fontId="36" fillId="0" borderId="0" xfId="13" applyFont="1">
      <alignment vertical="center"/>
    </xf>
    <xf numFmtId="0" fontId="32" fillId="0" borderId="2" xfId="13" applyFont="1" applyBorder="1">
      <alignment vertical="center"/>
    </xf>
    <xf numFmtId="0" fontId="37" fillId="0" borderId="0" xfId="13" applyFont="1">
      <alignment vertical="center"/>
    </xf>
    <xf numFmtId="0" fontId="32" fillId="0" borderId="27" xfId="13" applyFont="1" applyBorder="1">
      <alignment vertical="center"/>
    </xf>
    <xf numFmtId="176" fontId="32" fillId="0" borderId="0" xfId="14" applyNumberFormat="1" applyFont="1" applyFill="1" applyBorder="1" applyAlignment="1">
      <alignment vertical="center"/>
    </xf>
    <xf numFmtId="179" fontId="10" fillId="0" borderId="28" xfId="14" applyNumberFormat="1" applyFont="1" applyFill="1" applyBorder="1" applyAlignment="1">
      <alignment vertical="center"/>
    </xf>
    <xf numFmtId="179" fontId="10" fillId="0" borderId="0" xfId="14" applyNumberFormat="1" applyFont="1" applyFill="1" applyBorder="1" applyAlignment="1">
      <alignment vertical="center"/>
    </xf>
    <xf numFmtId="179" fontId="10" fillId="0" borderId="10" xfId="14" applyNumberFormat="1" applyFont="1" applyFill="1" applyBorder="1" applyAlignment="1">
      <alignment vertical="center"/>
    </xf>
    <xf numFmtId="0" fontId="10" fillId="0" borderId="19" xfId="13" applyFont="1" applyBorder="1">
      <alignment vertical="center"/>
    </xf>
    <xf numFmtId="0" fontId="10" fillId="0" borderId="15" xfId="13" applyFont="1" applyBorder="1">
      <alignment vertical="center"/>
    </xf>
    <xf numFmtId="0" fontId="14" fillId="0" borderId="3" xfId="13" applyFont="1" applyBorder="1">
      <alignment vertical="center"/>
    </xf>
    <xf numFmtId="0" fontId="14" fillId="0" borderId="14" xfId="13" applyFont="1" applyBorder="1">
      <alignment vertical="center"/>
    </xf>
    <xf numFmtId="0" fontId="32" fillId="0" borderId="14" xfId="13" applyFont="1" applyBorder="1" applyAlignment="1">
      <alignment horizontal="centerContinuous" vertical="center"/>
    </xf>
    <xf numFmtId="0" fontId="14" fillId="0" borderId="4" xfId="13" applyFont="1" applyBorder="1" applyAlignment="1">
      <alignment horizontal="centerContinuous" vertical="center"/>
    </xf>
    <xf numFmtId="0" fontId="14" fillId="0" borderId="20" xfId="13" applyFont="1" applyBorder="1" applyAlignment="1">
      <alignment horizontal="centerContinuous" vertical="center"/>
    </xf>
    <xf numFmtId="0" fontId="32" fillId="0" borderId="0" xfId="13" applyFont="1">
      <alignment vertical="center"/>
    </xf>
    <xf numFmtId="0" fontId="34" fillId="0" borderId="0" xfId="13" applyFont="1">
      <alignment vertical="center"/>
    </xf>
    <xf numFmtId="0" fontId="32" fillId="0" borderId="0" xfId="13" applyFont="1" applyAlignment="1">
      <alignment horizontal="left" vertical="center"/>
    </xf>
    <xf numFmtId="0" fontId="14" fillId="0" borderId="0" xfId="13" applyFont="1" applyAlignment="1">
      <alignment horizontal="centerContinuous" vertical="center"/>
    </xf>
    <xf numFmtId="176" fontId="10" fillId="0" borderId="28" xfId="14" applyNumberFormat="1" applyFont="1" applyFill="1" applyBorder="1" applyAlignment="1">
      <alignment vertical="center"/>
    </xf>
    <xf numFmtId="176" fontId="10" fillId="0" borderId="0" xfId="14" applyNumberFormat="1" applyFont="1" applyFill="1" applyBorder="1" applyAlignment="1">
      <alignment vertical="center"/>
    </xf>
    <xf numFmtId="176" fontId="10" fillId="0" borderId="10" xfId="14" applyNumberFormat="1" applyFont="1" applyFill="1" applyBorder="1" applyAlignment="1">
      <alignment vertical="center"/>
    </xf>
    <xf numFmtId="0" fontId="31" fillId="0" borderId="0" xfId="13" applyFont="1">
      <alignment vertical="center"/>
    </xf>
    <xf numFmtId="0" fontId="31" fillId="0" borderId="0" xfId="13" applyFont="1" applyAlignment="1">
      <alignment horizontal="right" vertical="center"/>
    </xf>
    <xf numFmtId="0" fontId="17" fillId="0" borderId="0" xfId="13" applyFont="1" applyAlignment="1">
      <alignment horizontal="right" vertical="center"/>
    </xf>
    <xf numFmtId="0" fontId="42" fillId="0" borderId="29" xfId="13" applyFont="1" applyBorder="1" applyAlignment="1">
      <alignment horizontal="center" vertical="center"/>
    </xf>
    <xf numFmtId="0" fontId="42" fillId="0" borderId="30" xfId="13" applyFont="1" applyBorder="1" applyAlignment="1">
      <alignment horizontal="center" vertical="center" wrapText="1"/>
    </xf>
    <xf numFmtId="0" fontId="42" fillId="0" borderId="44" xfId="13" applyFont="1" applyBorder="1" applyAlignment="1">
      <alignment horizontal="center" vertical="center" wrapText="1"/>
    </xf>
    <xf numFmtId="0" fontId="43" fillId="0" borderId="0" xfId="13" applyFont="1">
      <alignment vertical="center"/>
    </xf>
    <xf numFmtId="0" fontId="42" fillId="0" borderId="17" xfId="13" applyFont="1" applyBorder="1" applyAlignment="1">
      <alignment horizontal="center" vertical="center"/>
    </xf>
    <xf numFmtId="0" fontId="42" fillId="0" borderId="1" xfId="13" applyFont="1" applyBorder="1" applyAlignment="1">
      <alignment horizontal="center" vertical="center"/>
    </xf>
    <xf numFmtId="0" fontId="42" fillId="0" borderId="1" xfId="13" applyFont="1" applyBorder="1" applyAlignment="1">
      <alignment horizontal="center" vertical="center" wrapText="1"/>
    </xf>
    <xf numFmtId="176" fontId="42" fillId="0" borderId="1" xfId="14" applyNumberFormat="1" applyFont="1" applyFill="1" applyBorder="1" applyAlignment="1">
      <alignment horizontal="center" vertical="center" wrapText="1"/>
    </xf>
    <xf numFmtId="40" fontId="42" fillId="0" borderId="1" xfId="14" applyNumberFormat="1" applyFont="1" applyBorder="1" applyAlignment="1">
      <alignment horizontal="center" vertical="center"/>
    </xf>
    <xf numFmtId="183" fontId="42" fillId="0" borderId="18" xfId="14" applyNumberFormat="1" applyFont="1" applyBorder="1" applyAlignment="1">
      <alignment horizontal="center" vertical="center"/>
    </xf>
    <xf numFmtId="0" fontId="4" fillId="0" borderId="39" xfId="13" applyFont="1" applyBorder="1">
      <alignment vertical="center"/>
    </xf>
    <xf numFmtId="0" fontId="4" fillId="0" borderId="41" xfId="13" applyFont="1" applyBorder="1">
      <alignment vertical="center"/>
    </xf>
    <xf numFmtId="40" fontId="42" fillId="0" borderId="33" xfId="14" applyNumberFormat="1" applyFont="1" applyBorder="1">
      <alignment vertical="center"/>
    </xf>
    <xf numFmtId="38" fontId="42" fillId="0" borderId="45" xfId="14" applyNumberFormat="1" applyFont="1" applyBorder="1" applyAlignment="1">
      <alignment horizontal="center" vertical="center"/>
    </xf>
    <xf numFmtId="40" fontId="10" fillId="0" borderId="0" xfId="14" applyNumberFormat="1" applyFont="1" applyBorder="1">
      <alignment vertical="center"/>
    </xf>
    <xf numFmtId="40" fontId="10" fillId="0" borderId="0" xfId="14" applyNumberFormat="1" applyFont="1">
      <alignment vertical="center"/>
    </xf>
    <xf numFmtId="41" fontId="14" fillId="0" borderId="0" xfId="1" applyFont="1">
      <alignment vertical="center"/>
    </xf>
    <xf numFmtId="41" fontId="31" fillId="0" borderId="0" xfId="1" applyFont="1">
      <alignment vertical="center"/>
    </xf>
    <xf numFmtId="41" fontId="42" fillId="0" borderId="30" xfId="1" applyFont="1" applyBorder="1" applyAlignment="1">
      <alignment horizontal="center" vertical="center" wrapText="1"/>
    </xf>
    <xf numFmtId="41" fontId="17" fillId="0" borderId="0" xfId="1" applyFont="1">
      <alignment vertical="center"/>
    </xf>
    <xf numFmtId="176" fontId="18" fillId="0" borderId="33" xfId="14" applyNumberFormat="1" applyFont="1" applyFill="1" applyBorder="1" applyAlignment="1">
      <alignment horizontal="center" vertical="center"/>
    </xf>
    <xf numFmtId="178" fontId="30" fillId="0" borderId="0" xfId="13" applyNumberFormat="1" applyFont="1" applyAlignment="1">
      <alignment horizontal="left" vertical="center"/>
    </xf>
    <xf numFmtId="178" fontId="17" fillId="0" borderId="0" xfId="13" applyNumberFormat="1" applyFont="1" applyAlignment="1">
      <alignment horizontal="left" vertical="center"/>
    </xf>
    <xf numFmtId="0" fontId="24" fillId="0" borderId="0" xfId="13" applyFont="1" applyAlignment="1">
      <alignment vertical="center" wrapText="1"/>
    </xf>
    <xf numFmtId="0" fontId="24" fillId="0" borderId="0" xfId="13" applyFont="1">
      <alignment vertical="center"/>
    </xf>
    <xf numFmtId="176" fontId="10" fillId="0" borderId="0" xfId="1" applyNumberFormat="1" applyFont="1" applyAlignment="1">
      <alignment horizontal="center" vertical="center"/>
    </xf>
    <xf numFmtId="176" fontId="14" fillId="0" borderId="0" xfId="1" applyNumberFormat="1" applyFont="1" applyAlignment="1">
      <alignment horizontal="left" vertical="center"/>
    </xf>
    <xf numFmtId="176" fontId="30" fillId="0" borderId="0" xfId="1" applyNumberFormat="1" applyFont="1" applyAlignment="1">
      <alignment horizontal="center" vertical="center"/>
    </xf>
    <xf numFmtId="0" fontId="44" fillId="2" borderId="0" xfId="0" applyFont="1" applyFill="1">
      <alignment vertical="center"/>
    </xf>
    <xf numFmtId="0" fontId="42" fillId="2" borderId="0" xfId="0" applyFont="1" applyFill="1">
      <alignment vertical="center"/>
    </xf>
    <xf numFmtId="0" fontId="13" fillId="2" borderId="9" xfId="0" applyFont="1" applyFill="1" applyBorder="1">
      <alignment vertical="center"/>
    </xf>
    <xf numFmtId="0" fontId="44" fillId="2" borderId="10" xfId="0" applyFont="1" applyFill="1" applyBorder="1">
      <alignment vertical="center"/>
    </xf>
    <xf numFmtId="0" fontId="13" fillId="0" borderId="9" xfId="0" applyFont="1" applyBorder="1">
      <alignment vertical="center"/>
    </xf>
    <xf numFmtId="0" fontId="44" fillId="0" borderId="10" xfId="0" applyFont="1" applyBorder="1">
      <alignment vertical="center"/>
    </xf>
    <xf numFmtId="0" fontId="49" fillId="2" borderId="9" xfId="0" applyFont="1" applyFill="1" applyBorder="1">
      <alignment vertical="center"/>
    </xf>
    <xf numFmtId="9" fontId="42" fillId="0" borderId="30" xfId="13" applyNumberFormat="1" applyFont="1" applyBorder="1" applyAlignment="1">
      <alignment horizontal="center" vertical="center" wrapText="1"/>
    </xf>
    <xf numFmtId="176" fontId="18" fillId="0" borderId="33" xfId="13" applyNumberFormat="1" applyFont="1" applyBorder="1" applyAlignment="1">
      <alignment horizontal="center" vertical="center"/>
    </xf>
    <xf numFmtId="41" fontId="42" fillId="0" borderId="1" xfId="13" quotePrefix="1" applyNumberFormat="1" applyFont="1" applyBorder="1" applyAlignment="1">
      <alignment horizontal="center" vertical="center" wrapText="1"/>
    </xf>
    <xf numFmtId="177" fontId="42" fillId="0" borderId="1" xfId="1" applyNumberFormat="1" applyFont="1" applyFill="1" applyBorder="1" applyAlignment="1">
      <alignment horizontal="center" vertical="center" wrapText="1"/>
    </xf>
    <xf numFmtId="0" fontId="49" fillId="2" borderId="9" xfId="0" applyFont="1" applyFill="1" applyBorder="1" applyAlignment="1">
      <alignment horizontal="left" vertical="center"/>
    </xf>
    <xf numFmtId="0" fontId="32" fillId="0" borderId="24" xfId="13" applyFont="1" applyBorder="1">
      <alignment vertical="center"/>
    </xf>
    <xf numFmtId="0" fontId="32" fillId="0" borderId="15" xfId="13" applyFont="1" applyBorder="1">
      <alignment vertical="center"/>
    </xf>
    <xf numFmtId="0" fontId="10" fillId="0" borderId="8" xfId="13" applyFont="1" applyBorder="1">
      <alignment vertical="center"/>
    </xf>
    <xf numFmtId="0" fontId="10" fillId="0" borderId="12" xfId="13" applyFont="1" applyBorder="1">
      <alignment vertical="center"/>
    </xf>
    <xf numFmtId="0" fontId="13" fillId="0" borderId="0" xfId="13" applyFont="1" applyAlignment="1">
      <alignment horizontal="center" vertical="center"/>
    </xf>
    <xf numFmtId="0" fontId="32" fillId="0" borderId="22" xfId="13" applyFont="1" applyBorder="1">
      <alignment vertical="center"/>
    </xf>
    <xf numFmtId="0" fontId="32" fillId="0" borderId="4" xfId="13" applyFont="1" applyBorder="1">
      <alignment vertical="center"/>
    </xf>
    <xf numFmtId="176" fontId="32" fillId="0" borderId="0" xfId="1" applyNumberFormat="1" applyFont="1" applyFill="1" applyBorder="1" applyAlignment="1">
      <alignment vertical="center"/>
    </xf>
    <xf numFmtId="0" fontId="33" fillId="0" borderId="0" xfId="13" applyFont="1">
      <alignment vertical="center"/>
    </xf>
    <xf numFmtId="0" fontId="32" fillId="0" borderId="28" xfId="13" applyFont="1" applyBorder="1" applyAlignment="1">
      <alignment vertical="top"/>
    </xf>
    <xf numFmtId="0" fontId="32" fillId="0" borderId="10" xfId="13" applyFont="1" applyBorder="1" applyAlignment="1">
      <alignment vertical="top"/>
    </xf>
    <xf numFmtId="0" fontId="19" fillId="0" borderId="2" xfId="13" applyFont="1" applyBorder="1">
      <alignment vertical="center"/>
    </xf>
    <xf numFmtId="0" fontId="32" fillId="0" borderId="3" xfId="13" applyFont="1" applyBorder="1" applyAlignment="1">
      <alignment vertical="top"/>
    </xf>
    <xf numFmtId="0" fontId="32" fillId="0" borderId="12" xfId="13" applyFont="1" applyBorder="1" applyAlignment="1">
      <alignment vertical="top"/>
    </xf>
    <xf numFmtId="0" fontId="19" fillId="0" borderId="3" xfId="13" applyFont="1" applyBorder="1">
      <alignment vertical="center"/>
    </xf>
    <xf numFmtId="0" fontId="32" fillId="0" borderId="3" xfId="13" applyFont="1" applyBorder="1" applyAlignment="1">
      <alignment vertical="center" wrapText="1"/>
    </xf>
    <xf numFmtId="0" fontId="32" fillId="0" borderId="12" xfId="13" applyFont="1" applyBorder="1" applyAlignment="1">
      <alignment vertical="center" wrapText="1"/>
    </xf>
    <xf numFmtId="0" fontId="13" fillId="2" borderId="10" xfId="0" applyFont="1" applyFill="1" applyBorder="1">
      <alignment vertical="center"/>
    </xf>
    <xf numFmtId="40" fontId="10" fillId="0" borderId="9" xfId="13" applyNumberFormat="1" applyFont="1" applyBorder="1">
      <alignment vertical="center"/>
    </xf>
    <xf numFmtId="176" fontId="39" fillId="4" borderId="42" xfId="1" applyNumberFormat="1" applyFont="1" applyFill="1" applyBorder="1" applyAlignment="1">
      <alignment horizontal="right" vertical="center"/>
    </xf>
    <xf numFmtId="0" fontId="22" fillId="0" borderId="5" xfId="13" applyFont="1" applyBorder="1" applyAlignment="1">
      <alignment horizontal="center" vertical="center" wrapText="1"/>
    </xf>
    <xf numFmtId="0" fontId="51" fillId="0" borderId="0" xfId="0" applyFont="1">
      <alignment vertical="center"/>
    </xf>
    <xf numFmtId="0" fontId="55" fillId="0" borderId="0" xfId="13" applyFont="1" applyAlignment="1">
      <alignment horizontal="right" vertical="center" wrapText="1"/>
    </xf>
    <xf numFmtId="0" fontId="55" fillId="0" borderId="0" xfId="0" applyFont="1" applyAlignment="1">
      <alignment horizontal="left" vertical="center"/>
    </xf>
    <xf numFmtId="0" fontId="55" fillId="0" borderId="0" xfId="13" applyFont="1" applyAlignment="1">
      <alignment vertical="center" wrapText="1"/>
    </xf>
    <xf numFmtId="0" fontId="55" fillId="0" borderId="0" xfId="13" applyFont="1">
      <alignment vertical="center"/>
    </xf>
    <xf numFmtId="0" fontId="39" fillId="0" borderId="0" xfId="13" applyFont="1">
      <alignment vertical="center"/>
    </xf>
    <xf numFmtId="0" fontId="39" fillId="0" borderId="0" xfId="13" applyFont="1" applyAlignment="1">
      <alignment horizontal="center" vertical="center"/>
    </xf>
    <xf numFmtId="0" fontId="56" fillId="0" borderId="0" xfId="13" applyFont="1">
      <alignment vertical="center"/>
    </xf>
    <xf numFmtId="0" fontId="39" fillId="0" borderId="6" xfId="13" applyFont="1" applyBorder="1">
      <alignment vertical="center"/>
    </xf>
    <xf numFmtId="0" fontId="39" fillId="0" borderId="4" xfId="13" applyFont="1" applyBorder="1">
      <alignment vertical="center"/>
    </xf>
    <xf numFmtId="0" fontId="13" fillId="2" borderId="0" xfId="0" applyFont="1" applyFill="1" applyAlignment="1">
      <alignment vertical="center" wrapText="1"/>
    </xf>
    <xf numFmtId="0" fontId="13" fillId="2" borderId="0" xfId="0" applyFont="1" applyFill="1">
      <alignment vertical="center"/>
    </xf>
    <xf numFmtId="0" fontId="47" fillId="2" borderId="0" xfId="0" applyFont="1" applyFill="1">
      <alignment vertical="center"/>
    </xf>
    <xf numFmtId="0" fontId="48" fillId="2" borderId="0" xfId="0" applyFont="1" applyFill="1">
      <alignment vertical="center"/>
    </xf>
    <xf numFmtId="0" fontId="44" fillId="0" borderId="0" xfId="0" applyFont="1">
      <alignment vertical="center"/>
    </xf>
    <xf numFmtId="0" fontId="13" fillId="0" borderId="0" xfId="0" applyFont="1">
      <alignment vertical="center"/>
    </xf>
    <xf numFmtId="176" fontId="13" fillId="2" borderId="0" xfId="11" applyNumberFormat="1" applyFont="1" applyFill="1" applyBorder="1" applyAlignment="1">
      <alignment horizontal="center" vertical="center"/>
    </xf>
    <xf numFmtId="176" fontId="22" fillId="2" borderId="18" xfId="14" applyNumberFormat="1" applyFont="1" applyFill="1" applyBorder="1" applyAlignment="1">
      <alignment horizontal="center" vertical="center"/>
    </xf>
    <xf numFmtId="178" fontId="39" fillId="4" borderId="33" xfId="14" applyNumberFormat="1" applyFont="1" applyFill="1" applyBorder="1" applyAlignment="1">
      <alignment horizontal="right" vertical="center"/>
    </xf>
    <xf numFmtId="178" fontId="39" fillId="4" borderId="45" xfId="14" applyNumberFormat="1" applyFont="1" applyFill="1" applyBorder="1" applyAlignment="1">
      <alignment horizontal="left" vertical="center"/>
    </xf>
    <xf numFmtId="179" fontId="10" fillId="0" borderId="27" xfId="14" applyNumberFormat="1" applyFont="1" applyFill="1" applyBorder="1" applyAlignment="1">
      <alignment vertical="center"/>
    </xf>
    <xf numFmtId="0" fontId="8" fillId="0" borderId="3" xfId="0" applyFont="1" applyBorder="1">
      <alignment vertical="center"/>
    </xf>
    <xf numFmtId="0" fontId="18" fillId="0" borderId="0" xfId="22" applyFont="1" applyBorder="1">
      <alignment vertical="center"/>
    </xf>
    <xf numFmtId="0" fontId="59" fillId="5" borderId="1" xfId="0" applyFont="1" applyFill="1" applyBorder="1" applyAlignment="1">
      <alignment horizontal="center" vertical="center" wrapText="1"/>
    </xf>
    <xf numFmtId="0" fontId="60" fillId="0" borderId="0" xfId="0" applyFont="1">
      <alignment vertical="center"/>
    </xf>
    <xf numFmtId="0" fontId="10" fillId="0" borderId="9" xfId="13" applyFont="1" applyBorder="1" applyAlignment="1">
      <alignment vertical="top"/>
    </xf>
    <xf numFmtId="0" fontId="10" fillId="0" borderId="27" xfId="13" applyFont="1" applyBorder="1" applyAlignment="1">
      <alignment vertical="top"/>
    </xf>
    <xf numFmtId="0" fontId="19" fillId="0" borderId="0" xfId="13" applyFont="1" applyAlignment="1">
      <alignment vertical="top"/>
    </xf>
    <xf numFmtId="0" fontId="19" fillId="0" borderId="10" xfId="13" applyFont="1" applyBorder="1" applyAlignment="1">
      <alignment vertical="top"/>
    </xf>
    <xf numFmtId="0" fontId="32" fillId="0" borderId="9" xfId="13" applyFont="1" applyBorder="1" applyAlignment="1">
      <alignment vertical="top"/>
    </xf>
    <xf numFmtId="0" fontId="19" fillId="0" borderId="9" xfId="13" applyFont="1" applyBorder="1">
      <alignment vertical="center"/>
    </xf>
    <xf numFmtId="0" fontId="19" fillId="0" borderId="10" xfId="13" applyFont="1" applyBorder="1">
      <alignment vertical="center"/>
    </xf>
    <xf numFmtId="0" fontId="32" fillId="0" borderId="3" xfId="13" applyFont="1" applyBorder="1" applyAlignment="1">
      <alignment vertical="top" wrapText="1"/>
    </xf>
    <xf numFmtId="0" fontId="32" fillId="0" borderId="12" xfId="13" applyFont="1" applyBorder="1" applyAlignment="1">
      <alignment vertical="top" wrapText="1"/>
    </xf>
    <xf numFmtId="177" fontId="32" fillId="0" borderId="27" xfId="13" applyNumberFormat="1" applyFont="1" applyBorder="1">
      <alignment vertical="center"/>
    </xf>
    <xf numFmtId="0" fontId="62" fillId="0" borderId="7" xfId="13" applyFont="1" applyBorder="1">
      <alignment vertical="center"/>
    </xf>
    <xf numFmtId="0" fontId="62" fillId="0" borderId="14" xfId="13" applyFont="1" applyBorder="1">
      <alignment vertical="center"/>
    </xf>
    <xf numFmtId="0" fontId="62" fillId="0" borderId="4" xfId="13" applyFont="1" applyBorder="1">
      <alignment vertical="center"/>
    </xf>
    <xf numFmtId="0" fontId="63" fillId="0" borderId="20" xfId="13" applyFont="1" applyBorder="1">
      <alignment vertical="center"/>
    </xf>
    <xf numFmtId="0" fontId="32" fillId="0" borderId="0" xfId="13" applyFont="1" applyAlignment="1">
      <alignment vertical="top" wrapText="1"/>
    </xf>
    <xf numFmtId="0" fontId="32" fillId="0" borderId="10" xfId="13" applyFont="1" applyBorder="1" applyAlignment="1">
      <alignment vertical="top" wrapText="1"/>
    </xf>
    <xf numFmtId="40" fontId="22" fillId="0" borderId="1" xfId="14" applyNumberFormat="1" applyFont="1" applyFill="1" applyBorder="1" applyAlignment="1">
      <alignment horizontal="center" vertical="center" wrapText="1"/>
    </xf>
    <xf numFmtId="40" fontId="10" fillId="0" borderId="1" xfId="14" applyNumberFormat="1" applyFont="1" applyFill="1" applyBorder="1" applyAlignment="1">
      <alignment horizontal="left" vertical="center"/>
    </xf>
    <xf numFmtId="176" fontId="10" fillId="0" borderId="10" xfId="1" applyNumberFormat="1" applyFont="1" applyFill="1" applyBorder="1" applyAlignment="1">
      <alignment vertical="center"/>
    </xf>
    <xf numFmtId="176" fontId="32" fillId="0" borderId="16" xfId="1" applyNumberFormat="1" applyFont="1" applyFill="1" applyBorder="1" applyAlignment="1">
      <alignment vertical="center"/>
    </xf>
    <xf numFmtId="0" fontId="11" fillId="2" borderId="9" xfId="0" applyFont="1" applyFill="1" applyBorder="1">
      <alignment vertical="center"/>
    </xf>
    <xf numFmtId="40" fontId="22" fillId="0" borderId="1" xfId="14" applyNumberFormat="1" applyFont="1" applyFill="1" applyBorder="1" applyAlignment="1">
      <alignment horizontal="left" vertical="center"/>
    </xf>
    <xf numFmtId="40" fontId="13" fillId="0" borderId="0" xfId="14" applyNumberFormat="1" applyFont="1" applyFill="1" applyBorder="1" applyAlignment="1">
      <alignment vertical="center" wrapText="1"/>
    </xf>
    <xf numFmtId="40" fontId="13" fillId="0" borderId="0" xfId="14" applyNumberFormat="1" applyFont="1" applyFill="1" applyBorder="1" applyAlignment="1">
      <alignment horizontal="left" vertical="center" wrapText="1"/>
    </xf>
    <xf numFmtId="176" fontId="13" fillId="2" borderId="0" xfId="11" applyNumberFormat="1" applyFont="1" applyFill="1" applyBorder="1" applyAlignment="1">
      <alignment horizontal="left" vertical="center"/>
    </xf>
    <xf numFmtId="0" fontId="45" fillId="2" borderId="0" xfId="0" applyFont="1" applyFill="1" applyAlignment="1">
      <alignment horizontal="center" vertical="center"/>
    </xf>
    <xf numFmtId="0" fontId="22" fillId="0" borderId="1" xfId="13" applyFont="1" applyBorder="1" applyAlignment="1">
      <alignment horizontal="center" vertical="center"/>
    </xf>
    <xf numFmtId="176" fontId="22" fillId="0" borderId="1" xfId="1" applyNumberFormat="1" applyFont="1" applyFill="1" applyBorder="1" applyAlignment="1">
      <alignment horizontal="right" vertical="center"/>
    </xf>
    <xf numFmtId="176" fontId="22" fillId="0" borderId="1" xfId="14" applyNumberFormat="1" applyFont="1" applyFill="1" applyBorder="1" applyAlignment="1">
      <alignment horizontal="center" vertical="center"/>
    </xf>
    <xf numFmtId="176" fontId="10" fillId="0" borderId="0" xfId="1" applyNumberFormat="1" applyFont="1" applyBorder="1" applyAlignment="1">
      <alignment horizontal="center" vertical="center"/>
    </xf>
    <xf numFmtId="0" fontId="51" fillId="0" borderId="1" xfId="0" applyFont="1" applyBorder="1" applyAlignment="1">
      <alignment horizontal="center" vertical="center"/>
    </xf>
    <xf numFmtId="0" fontId="5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22" fillId="0" borderId="48" xfId="13" applyFont="1" applyBorder="1" applyAlignment="1">
      <alignment horizontal="center" vertical="center"/>
    </xf>
    <xf numFmtId="176" fontId="22" fillId="0" borderId="1" xfId="1" applyNumberFormat="1" applyFont="1" applyFill="1" applyBorder="1">
      <alignment vertical="center"/>
    </xf>
    <xf numFmtId="176" fontId="22" fillId="0" borderId="1" xfId="1" applyNumberFormat="1" applyFont="1" applyFill="1" applyBorder="1" applyAlignment="1">
      <alignment horizontal="center" vertical="center"/>
    </xf>
    <xf numFmtId="176" fontId="41" fillId="0" borderId="1" xfId="1" applyNumberFormat="1" applyFont="1" applyFill="1" applyBorder="1" applyAlignment="1">
      <alignment horizontal="center" vertical="center"/>
    </xf>
    <xf numFmtId="176" fontId="22" fillId="0" borderId="1" xfId="1" quotePrefix="1" applyNumberFormat="1" applyFont="1" applyFill="1" applyBorder="1" applyAlignment="1">
      <alignment horizontal="right" vertical="center"/>
    </xf>
    <xf numFmtId="41" fontId="14" fillId="0" borderId="0" xfId="1" applyFont="1" applyBorder="1" applyAlignment="1">
      <alignment horizontal="center" vertical="center"/>
    </xf>
    <xf numFmtId="41" fontId="39" fillId="4" borderId="42" xfId="1" applyFont="1" applyFill="1" applyBorder="1" applyAlignment="1">
      <alignment horizontal="right" vertical="center"/>
    </xf>
    <xf numFmtId="41" fontId="17" fillId="0" borderId="0" xfId="1" applyFont="1" applyBorder="1">
      <alignment vertical="center"/>
    </xf>
    <xf numFmtId="176" fontId="10" fillId="0" borderId="0" xfId="14" applyNumberFormat="1" applyFont="1" applyFill="1">
      <alignment vertical="center"/>
    </xf>
    <xf numFmtId="38" fontId="14" fillId="0" borderId="0" xfId="14" applyNumberFormat="1" applyFont="1" applyFill="1" applyBorder="1" applyAlignment="1">
      <alignment horizontal="center" vertical="center"/>
    </xf>
    <xf numFmtId="38" fontId="67" fillId="0" borderId="0" xfId="14" applyNumberFormat="1" applyFont="1" applyFill="1" applyBorder="1" applyAlignment="1">
      <alignment horizontal="center" vertical="center"/>
    </xf>
    <xf numFmtId="38" fontId="14" fillId="0" borderId="0" xfId="14" applyNumberFormat="1" applyFont="1" applyFill="1" applyBorder="1" applyAlignment="1">
      <alignment horizontal="left" vertical="center"/>
    </xf>
    <xf numFmtId="180" fontId="14" fillId="0" borderId="0" xfId="13" applyNumberFormat="1" applyFont="1" applyAlignment="1">
      <alignment horizontal="center" vertical="center"/>
    </xf>
    <xf numFmtId="176" fontId="17" fillId="0" borderId="0" xfId="14" applyNumberFormat="1" applyFont="1" applyFill="1" applyBorder="1">
      <alignment vertical="center"/>
    </xf>
    <xf numFmtId="176" fontId="17" fillId="0" borderId="0" xfId="14" applyNumberFormat="1" applyFont="1" applyFill="1">
      <alignment vertical="center"/>
    </xf>
    <xf numFmtId="177" fontId="22" fillId="0" borderId="5" xfId="14" applyNumberFormat="1" applyFont="1" applyFill="1" applyBorder="1" applyAlignment="1">
      <alignment horizontal="center" vertical="center" wrapText="1"/>
    </xf>
    <xf numFmtId="41" fontId="22" fillId="0" borderId="0" xfId="1" applyFont="1" applyFill="1" applyBorder="1">
      <alignment vertical="center"/>
    </xf>
    <xf numFmtId="41" fontId="14" fillId="0" borderId="0" xfId="1" applyFont="1" applyFill="1" applyBorder="1" applyAlignment="1">
      <alignment horizontal="center" vertical="center"/>
    </xf>
    <xf numFmtId="41" fontId="14" fillId="0" borderId="0" xfId="1" applyFont="1" applyFill="1" applyBorder="1" applyAlignment="1">
      <alignment horizontal="left" vertical="center"/>
    </xf>
    <xf numFmtId="0" fontId="39" fillId="4" borderId="17" xfId="13" applyFont="1" applyFill="1" applyBorder="1" applyAlignment="1">
      <alignment horizontal="center" vertical="center"/>
    </xf>
    <xf numFmtId="0" fontId="39" fillId="4" borderId="1" xfId="15" applyFont="1" applyFill="1" applyBorder="1" applyAlignment="1">
      <alignment horizontal="center" vertical="center"/>
    </xf>
    <xf numFmtId="0" fontId="39" fillId="4" borderId="1" xfId="15" applyFont="1" applyFill="1" applyBorder="1" applyAlignment="1">
      <alignment horizontal="left" vertical="center"/>
    </xf>
    <xf numFmtId="0" fontId="39" fillId="4" borderId="1" xfId="13" applyFont="1" applyFill="1" applyBorder="1" applyAlignment="1">
      <alignment horizontal="center" vertical="center"/>
    </xf>
    <xf numFmtId="177" fontId="68" fillId="4" borderId="1" xfId="0" applyNumberFormat="1" applyFont="1" applyFill="1" applyBorder="1" applyAlignment="1">
      <alignment horizontal="center" vertical="center"/>
    </xf>
    <xf numFmtId="176" fontId="39" fillId="4" borderId="1" xfId="1" applyNumberFormat="1" applyFont="1" applyFill="1" applyBorder="1" applyAlignment="1">
      <alignment horizontal="right" vertical="center"/>
    </xf>
    <xf numFmtId="176" fontId="39" fillId="4" borderId="1" xfId="1" applyNumberFormat="1" applyFont="1" applyFill="1" applyBorder="1" applyAlignment="1">
      <alignment vertical="center"/>
    </xf>
    <xf numFmtId="176" fontId="68" fillId="4" borderId="1" xfId="1" applyNumberFormat="1" applyFont="1" applyFill="1" applyBorder="1" applyAlignment="1">
      <alignment horizontal="center" vertical="center"/>
    </xf>
    <xf numFmtId="176" fontId="68" fillId="4" borderId="1" xfId="1" applyNumberFormat="1" applyFont="1" applyFill="1" applyBorder="1">
      <alignment vertical="center"/>
    </xf>
    <xf numFmtId="176" fontId="39" fillId="4" borderId="1" xfId="1" applyNumberFormat="1" applyFont="1" applyFill="1" applyBorder="1" applyAlignment="1">
      <alignment horizontal="center" vertical="center" wrapText="1"/>
    </xf>
    <xf numFmtId="176" fontId="39" fillId="4" borderId="1" xfId="14" applyNumberFormat="1" applyFont="1" applyFill="1" applyBorder="1" applyAlignment="1">
      <alignment horizontal="center" vertical="center"/>
    </xf>
    <xf numFmtId="40" fontId="39" fillId="4" borderId="1" xfId="14" applyNumberFormat="1" applyFont="1" applyFill="1" applyBorder="1" applyAlignment="1">
      <alignment horizontal="center" vertical="center"/>
    </xf>
    <xf numFmtId="0" fontId="68" fillId="4" borderId="1" xfId="0" applyFont="1" applyFill="1" applyBorder="1">
      <alignment vertical="center"/>
    </xf>
    <xf numFmtId="40" fontId="39" fillId="4" borderId="1" xfId="14" applyNumberFormat="1" applyFont="1" applyFill="1" applyBorder="1" applyAlignment="1">
      <alignment horizontal="left" vertical="center"/>
    </xf>
    <xf numFmtId="176" fontId="39" fillId="4" borderId="1" xfId="1" quotePrefix="1" applyNumberFormat="1" applyFont="1" applyFill="1" applyBorder="1" applyAlignment="1">
      <alignment horizontal="center" vertical="center"/>
    </xf>
    <xf numFmtId="176" fontId="39" fillId="4" borderId="1" xfId="1" quotePrefix="1" applyNumberFormat="1" applyFont="1" applyFill="1" applyBorder="1" applyAlignment="1">
      <alignment horizontal="center" vertical="center" wrapText="1"/>
    </xf>
    <xf numFmtId="0" fontId="69" fillId="4" borderId="1" xfId="13" applyFont="1" applyFill="1" applyBorder="1">
      <alignment vertical="center"/>
    </xf>
    <xf numFmtId="177" fontId="69" fillId="4" borderId="1" xfId="13" applyNumberFormat="1" applyFont="1" applyFill="1" applyBorder="1" applyAlignment="1">
      <alignment horizontal="center" vertical="center"/>
    </xf>
    <xf numFmtId="176" fontId="39" fillId="4" borderId="1" xfId="1" applyNumberFormat="1" applyFont="1" applyFill="1" applyBorder="1">
      <alignment vertical="center"/>
    </xf>
    <xf numFmtId="176" fontId="39" fillId="4" borderId="1" xfId="1" applyNumberFormat="1" applyFont="1" applyFill="1" applyBorder="1" applyAlignment="1">
      <alignment horizontal="center" vertical="center"/>
    </xf>
    <xf numFmtId="0" fontId="39" fillId="4" borderId="54" xfId="13" applyFont="1" applyFill="1" applyBorder="1" applyAlignment="1">
      <alignment horizontal="center" vertical="center"/>
    </xf>
    <xf numFmtId="0" fontId="39" fillId="4" borderId="55" xfId="15" applyFont="1" applyFill="1" applyBorder="1" applyAlignment="1">
      <alignment horizontal="center" vertical="center"/>
    </xf>
    <xf numFmtId="40" fontId="39" fillId="4" borderId="55" xfId="14" applyNumberFormat="1" applyFont="1" applyFill="1" applyBorder="1" applyAlignment="1">
      <alignment horizontal="left" vertical="center"/>
    </xf>
    <xf numFmtId="0" fontId="39" fillId="4" borderId="55" xfId="13" applyFont="1" applyFill="1" applyBorder="1" applyAlignment="1">
      <alignment horizontal="center" vertical="center"/>
    </xf>
    <xf numFmtId="177" fontId="68" fillId="4" borderId="55" xfId="0" applyNumberFormat="1" applyFont="1" applyFill="1" applyBorder="1" applyAlignment="1">
      <alignment horizontal="center" vertical="center"/>
    </xf>
    <xf numFmtId="176" fontId="39" fillId="4" borderId="55" xfId="1" applyNumberFormat="1" applyFont="1" applyFill="1" applyBorder="1" applyAlignment="1">
      <alignment horizontal="right" vertical="center"/>
    </xf>
    <xf numFmtId="176" fontId="39" fillId="4" borderId="55" xfId="1" applyNumberFormat="1" applyFont="1" applyFill="1" applyBorder="1" applyAlignment="1">
      <alignment vertical="center"/>
    </xf>
    <xf numFmtId="176" fontId="68" fillId="4" borderId="55" xfId="1" applyNumberFormat="1" applyFont="1" applyFill="1" applyBorder="1" applyAlignment="1">
      <alignment horizontal="center" vertical="center"/>
    </xf>
    <xf numFmtId="176" fontId="39" fillId="4" borderId="55" xfId="1" quotePrefix="1" applyNumberFormat="1" applyFont="1" applyFill="1" applyBorder="1" applyAlignment="1">
      <alignment horizontal="center" vertical="center"/>
    </xf>
    <xf numFmtId="176" fontId="39" fillId="4" borderId="55" xfId="1" quotePrefix="1" applyNumberFormat="1" applyFont="1" applyFill="1" applyBorder="1" applyAlignment="1">
      <alignment horizontal="center" vertical="center" wrapText="1"/>
    </xf>
    <xf numFmtId="176" fontId="39" fillId="4" borderId="55" xfId="14" applyNumberFormat="1" applyFont="1" applyFill="1" applyBorder="1" applyAlignment="1">
      <alignment horizontal="center" vertical="center"/>
    </xf>
    <xf numFmtId="40" fontId="39" fillId="4" borderId="55" xfId="14" applyNumberFormat="1" applyFont="1" applyFill="1" applyBorder="1" applyAlignment="1">
      <alignment horizontal="center" vertical="center"/>
    </xf>
    <xf numFmtId="0" fontId="0" fillId="0" borderId="1" xfId="0" applyBorder="1">
      <alignment vertical="center"/>
    </xf>
    <xf numFmtId="0" fontId="11" fillId="2" borderId="0" xfId="0" applyFont="1" applyFill="1" applyAlignment="1">
      <alignment horizontal="left" vertical="center"/>
    </xf>
    <xf numFmtId="0" fontId="13" fillId="2" borderId="0" xfId="15" applyFont="1" applyFill="1" applyAlignment="1">
      <alignment vertical="center"/>
    </xf>
    <xf numFmtId="176" fontId="22" fillId="0" borderId="5" xfId="1" applyNumberFormat="1" applyFont="1" applyFill="1" applyBorder="1" applyAlignment="1">
      <alignment horizontal="center" vertical="center" wrapText="1"/>
    </xf>
    <xf numFmtId="177" fontId="14" fillId="0" borderId="0" xfId="14" applyNumberFormat="1" applyFont="1" applyFill="1" applyAlignment="1">
      <alignment horizontal="center" vertical="center"/>
    </xf>
    <xf numFmtId="176" fontId="15" fillId="0" borderId="0" xfId="1" applyNumberFormat="1" applyFont="1" applyFill="1" applyAlignment="1">
      <alignment vertical="center"/>
    </xf>
    <xf numFmtId="176" fontId="14" fillId="0" borderId="0" xfId="1" applyNumberFormat="1" applyFont="1" applyFill="1" applyAlignment="1">
      <alignment vertical="center"/>
    </xf>
    <xf numFmtId="176" fontId="16" fillId="0" borderId="0" xfId="1" applyNumberFormat="1" applyFont="1" applyFill="1">
      <alignment vertical="center"/>
    </xf>
    <xf numFmtId="176" fontId="14" fillId="0" borderId="0" xfId="1" applyNumberFormat="1" applyFont="1" applyFill="1" applyAlignment="1">
      <alignment horizontal="center" vertical="center" wrapText="1"/>
    </xf>
    <xf numFmtId="0" fontId="16" fillId="0" borderId="0" xfId="13" applyFont="1" applyAlignment="1">
      <alignment horizontal="center" vertical="center"/>
    </xf>
    <xf numFmtId="0" fontId="14" fillId="0" borderId="0" xfId="13" applyFont="1" applyAlignment="1">
      <alignment horizontal="right" vertical="center" wrapText="1"/>
    </xf>
    <xf numFmtId="0" fontId="16" fillId="0" borderId="0" xfId="0" applyFont="1" applyAlignment="1">
      <alignment horizontal="center" vertical="center"/>
    </xf>
    <xf numFmtId="0" fontId="52" fillId="0" borderId="0" xfId="0" applyFont="1" applyAlignment="1">
      <alignment horizontal="left" vertical="center"/>
    </xf>
    <xf numFmtId="177" fontId="39" fillId="0" borderId="0" xfId="13" applyNumberFormat="1" applyFont="1" applyAlignment="1">
      <alignment horizontal="center" vertical="center"/>
    </xf>
    <xf numFmtId="176" fontId="13" fillId="0" borderId="0" xfId="1" applyNumberFormat="1" applyFont="1" applyFill="1" applyAlignment="1">
      <alignment horizontal="center" vertical="center"/>
    </xf>
    <xf numFmtId="0" fontId="13" fillId="0" borderId="0" xfId="13" applyFont="1" applyAlignment="1">
      <alignment horizontal="center" vertical="center" wrapText="1"/>
    </xf>
    <xf numFmtId="0" fontId="17" fillId="0" borderId="0" xfId="13" applyFont="1" applyAlignment="1">
      <alignment horizontal="center" vertical="center" wrapText="1"/>
    </xf>
    <xf numFmtId="177" fontId="22" fillId="0" borderId="0" xfId="13" applyNumberFormat="1" applyFont="1" applyAlignment="1">
      <alignment horizontal="center" vertical="center" wrapText="1"/>
    </xf>
    <xf numFmtId="41" fontId="22" fillId="0" borderId="0" xfId="14" applyFont="1" applyFill="1" applyAlignment="1">
      <alignment vertical="center"/>
    </xf>
    <xf numFmtId="176" fontId="10" fillId="0" borderId="0" xfId="1" applyNumberFormat="1" applyFont="1" applyFill="1" applyAlignment="1">
      <alignment vertical="center"/>
    </xf>
    <xf numFmtId="176" fontId="10" fillId="0" borderId="0" xfId="1" applyNumberFormat="1" applyFont="1" applyFill="1" applyAlignment="1">
      <alignment horizontal="center" vertical="center"/>
    </xf>
    <xf numFmtId="176" fontId="10" fillId="0" borderId="0" xfId="14" applyNumberFormat="1" applyFont="1" applyFill="1" applyAlignment="1">
      <alignment horizontal="center" vertical="center" wrapText="1"/>
    </xf>
    <xf numFmtId="0" fontId="10" fillId="0" borderId="0" xfId="13" applyFont="1" applyAlignment="1">
      <alignment horizontal="center" vertical="center" wrapText="1"/>
    </xf>
    <xf numFmtId="0" fontId="39" fillId="0" borderId="7" xfId="13" applyFont="1" applyBorder="1">
      <alignment vertical="center"/>
    </xf>
    <xf numFmtId="0" fontId="56" fillId="0" borderId="8" xfId="13" applyFont="1" applyBorder="1">
      <alignment vertical="center"/>
    </xf>
    <xf numFmtId="0" fontId="39" fillId="0" borderId="14" xfId="13" applyFont="1" applyBorder="1">
      <alignment vertical="center"/>
    </xf>
    <xf numFmtId="0" fontId="56" fillId="0" borderId="20" xfId="13" applyFont="1" applyBorder="1">
      <alignment vertical="center"/>
    </xf>
    <xf numFmtId="177" fontId="22" fillId="0" borderId="4" xfId="13" applyNumberFormat="1" applyFont="1" applyBorder="1" applyAlignment="1">
      <alignment horizontal="center" vertical="center" wrapText="1"/>
    </xf>
    <xf numFmtId="0" fontId="22" fillId="0" borderId="0" xfId="13" applyFont="1">
      <alignment vertical="center"/>
    </xf>
    <xf numFmtId="176" fontId="22" fillId="0" borderId="1" xfId="1" applyNumberFormat="1" applyFont="1" applyFill="1" applyBorder="1" applyAlignment="1">
      <alignment horizontal="center" vertical="center" wrapText="1"/>
    </xf>
    <xf numFmtId="0" fontId="22" fillId="0" borderId="17" xfId="13" applyFont="1" applyBorder="1" applyAlignment="1">
      <alignment horizontal="center" vertical="center"/>
    </xf>
    <xf numFmtId="0" fontId="41" fillId="0" borderId="1" xfId="0" applyFont="1" applyBorder="1" applyAlignment="1">
      <alignment horizontal="left" vertical="center"/>
    </xf>
    <xf numFmtId="177" fontId="41" fillId="0" borderId="1" xfId="0" applyNumberFormat="1" applyFont="1" applyBorder="1" applyAlignment="1">
      <alignment horizontal="center" vertical="center"/>
    </xf>
    <xf numFmtId="176" fontId="22" fillId="0" borderId="1" xfId="1" applyNumberFormat="1" applyFont="1" applyFill="1" applyBorder="1" applyAlignment="1">
      <alignment vertical="center"/>
    </xf>
    <xf numFmtId="0" fontId="41" fillId="0" borderId="1" xfId="0" applyFont="1" applyBorder="1" applyAlignment="1">
      <alignment horizontal="center" vertical="center"/>
    </xf>
    <xf numFmtId="0" fontId="22" fillId="0" borderId="0" xfId="13" applyFont="1" applyAlignment="1">
      <alignment horizontal="left" vertical="center" wrapText="1"/>
    </xf>
    <xf numFmtId="0" fontId="41" fillId="0" borderId="0" xfId="0" applyFont="1" applyAlignment="1">
      <alignment horizontal="left" vertical="center"/>
    </xf>
    <xf numFmtId="0" fontId="41" fillId="0" borderId="1" xfId="0" applyFont="1" applyBorder="1">
      <alignment vertical="center"/>
    </xf>
    <xf numFmtId="0" fontId="39" fillId="0" borderId="0" xfId="13" applyFont="1" applyAlignment="1">
      <alignment vertical="center" wrapText="1"/>
    </xf>
    <xf numFmtId="0" fontId="39" fillId="0" borderId="0" xfId="13" applyFont="1" applyAlignment="1">
      <alignment horizontal="left" vertical="center" wrapText="1"/>
    </xf>
    <xf numFmtId="0" fontId="69" fillId="0" borderId="0" xfId="13" applyFont="1" applyAlignment="1">
      <alignment vertical="center" wrapText="1"/>
    </xf>
    <xf numFmtId="0" fontId="69" fillId="0" borderId="0" xfId="13" applyFont="1">
      <alignment vertical="center"/>
    </xf>
    <xf numFmtId="0" fontId="41" fillId="0" borderId="53" xfId="0" applyFont="1" applyBorder="1">
      <alignment vertical="center"/>
    </xf>
    <xf numFmtId="176" fontId="41" fillId="0" borderId="1" xfId="1" applyNumberFormat="1" applyFont="1" applyFill="1" applyBorder="1">
      <alignment vertical="center"/>
    </xf>
    <xf numFmtId="176" fontId="22" fillId="0" borderId="1" xfId="1" quotePrefix="1" applyNumberFormat="1" applyFont="1" applyFill="1" applyBorder="1" applyAlignment="1">
      <alignment horizontal="center" vertical="center"/>
    </xf>
    <xf numFmtId="176" fontId="22" fillId="0" borderId="1" xfId="1" quotePrefix="1" applyNumberFormat="1" applyFont="1" applyFill="1" applyBorder="1" applyAlignment="1">
      <alignment horizontal="center" vertical="center" wrapText="1"/>
    </xf>
    <xf numFmtId="0" fontId="22" fillId="0" borderId="38" xfId="13" applyFont="1" applyBorder="1" applyAlignment="1">
      <alignment horizontal="center" vertical="center"/>
    </xf>
    <xf numFmtId="0" fontId="22" fillId="0" borderId="5" xfId="13" applyFont="1" applyBorder="1" applyAlignment="1">
      <alignment horizontal="center" vertical="center"/>
    </xf>
    <xf numFmtId="0" fontId="41" fillId="0" borderId="5" xfId="0" applyFont="1" applyBorder="1" applyAlignment="1">
      <alignment horizontal="left" vertical="center"/>
    </xf>
    <xf numFmtId="177" fontId="41" fillId="0" borderId="5" xfId="0" applyNumberFormat="1" applyFont="1" applyBorder="1" applyAlignment="1">
      <alignment horizontal="center" vertical="center"/>
    </xf>
    <xf numFmtId="176" fontId="22" fillId="0" borderId="5" xfId="1" applyNumberFormat="1" applyFont="1" applyFill="1" applyBorder="1" applyAlignment="1">
      <alignment horizontal="right" vertical="center"/>
    </xf>
    <xf numFmtId="176" fontId="22" fillId="0" borderId="5" xfId="1" applyNumberFormat="1" applyFont="1" applyFill="1" applyBorder="1" applyAlignment="1">
      <alignment vertical="center"/>
    </xf>
    <xf numFmtId="176" fontId="41" fillId="0" borderId="5" xfId="1" applyNumberFormat="1" applyFont="1" applyFill="1" applyBorder="1" applyAlignment="1">
      <alignment horizontal="center" vertical="center"/>
    </xf>
    <xf numFmtId="176" fontId="22" fillId="0" borderId="5" xfId="14" applyNumberFormat="1" applyFont="1" applyFill="1" applyBorder="1" applyAlignment="1">
      <alignment horizontal="center" vertical="center"/>
    </xf>
    <xf numFmtId="40" fontId="22" fillId="0" borderId="5" xfId="14" applyNumberFormat="1" applyFont="1" applyFill="1" applyBorder="1" applyAlignment="1">
      <alignment horizontal="center" vertical="center"/>
    </xf>
    <xf numFmtId="0" fontId="0" fillId="0" borderId="1" xfId="0" applyBorder="1" applyAlignment="1">
      <alignment horizontal="center" vertical="center"/>
    </xf>
    <xf numFmtId="176" fontId="22" fillId="0" borderId="1" xfId="14" applyNumberFormat="1" applyFont="1" applyFill="1" applyBorder="1" applyAlignment="1">
      <alignment horizontal="right" vertical="center"/>
    </xf>
    <xf numFmtId="0" fontId="22" fillId="0" borderId="1" xfId="15" applyFont="1" applyBorder="1" applyAlignment="1">
      <alignment horizontal="center" vertical="center"/>
    </xf>
    <xf numFmtId="0" fontId="18" fillId="0" borderId="52" xfId="13" applyFont="1" applyBorder="1" applyAlignment="1">
      <alignment horizontal="center" vertical="center"/>
    </xf>
    <xf numFmtId="0" fontId="18" fillId="0" borderId="52" xfId="15" applyFont="1" applyBorder="1" applyAlignment="1">
      <alignment horizontal="center" vertical="center"/>
    </xf>
    <xf numFmtId="40" fontId="18" fillId="0" borderId="52" xfId="14" applyNumberFormat="1" applyFont="1" applyFill="1" applyBorder="1" applyAlignment="1">
      <alignment horizontal="center" vertical="center"/>
    </xf>
    <xf numFmtId="177" fontId="70" fillId="0" borderId="52" xfId="0" applyNumberFormat="1" applyFont="1" applyBorder="1" applyAlignment="1">
      <alignment horizontal="center" vertical="center"/>
    </xf>
    <xf numFmtId="176" fontId="18" fillId="0" borderId="52" xfId="1" applyNumberFormat="1" applyFont="1" applyFill="1" applyBorder="1" applyAlignment="1">
      <alignment horizontal="right" vertical="center"/>
    </xf>
    <xf numFmtId="176" fontId="18" fillId="0" borderId="52" xfId="1" applyNumberFormat="1" applyFont="1" applyFill="1" applyBorder="1">
      <alignment vertical="center"/>
    </xf>
    <xf numFmtId="176" fontId="70" fillId="0" borderId="52" xfId="1" applyNumberFormat="1" applyFont="1" applyFill="1" applyBorder="1" applyAlignment="1">
      <alignment horizontal="center" vertical="center"/>
    </xf>
    <xf numFmtId="176" fontId="18" fillId="0" borderId="52" xfId="1" applyNumberFormat="1" applyFont="1" applyFill="1" applyBorder="1" applyAlignment="1">
      <alignment horizontal="center" vertical="center"/>
    </xf>
    <xf numFmtId="176" fontId="18" fillId="0" borderId="52" xfId="14" applyNumberFormat="1" applyFont="1" applyFill="1" applyBorder="1" applyAlignment="1">
      <alignment horizontal="center" vertical="center"/>
    </xf>
    <xf numFmtId="0" fontId="70" fillId="0" borderId="52" xfId="0" applyFont="1" applyBorder="1">
      <alignment vertical="center"/>
    </xf>
    <xf numFmtId="0" fontId="71" fillId="0" borderId="0" xfId="13" applyFont="1">
      <alignment vertical="center"/>
    </xf>
    <xf numFmtId="0" fontId="18" fillId="0" borderId="0" xfId="13" applyFont="1" applyAlignment="1">
      <alignment vertical="center" wrapText="1"/>
    </xf>
    <xf numFmtId="0" fontId="18" fillId="0" borderId="0" xfId="13" applyFont="1" applyAlignment="1">
      <alignment horizontal="left" vertical="center" wrapText="1"/>
    </xf>
    <xf numFmtId="0" fontId="72" fillId="0" borderId="0" xfId="13" applyFont="1" applyAlignment="1">
      <alignment vertical="center" wrapText="1"/>
    </xf>
    <xf numFmtId="0" fontId="72" fillId="0" borderId="0" xfId="13" applyFont="1">
      <alignment vertical="center"/>
    </xf>
    <xf numFmtId="177" fontId="17" fillId="0" borderId="0" xfId="14" applyNumberFormat="1" applyFont="1" applyFill="1" applyAlignment="1">
      <alignment horizontal="center" vertical="center"/>
    </xf>
    <xf numFmtId="176" fontId="17" fillId="0" borderId="0" xfId="1" applyNumberFormat="1" applyFont="1" applyFill="1" applyAlignment="1">
      <alignment vertical="center"/>
    </xf>
    <xf numFmtId="176" fontId="17" fillId="0" borderId="0" xfId="1" applyNumberFormat="1" applyFont="1" applyFill="1" applyAlignment="1">
      <alignment horizontal="center" vertical="center" wrapText="1"/>
    </xf>
    <xf numFmtId="176" fontId="17" fillId="0" borderId="0" xfId="14" applyNumberFormat="1" applyFont="1" applyFill="1" applyAlignment="1">
      <alignment vertical="center"/>
    </xf>
    <xf numFmtId="178" fontId="17" fillId="0" borderId="0" xfId="13" applyNumberFormat="1" applyFont="1" applyAlignment="1">
      <alignment horizontal="center" vertical="center"/>
    </xf>
    <xf numFmtId="0" fontId="22" fillId="0" borderId="0" xfId="13" applyFont="1" applyAlignment="1">
      <alignment horizontal="center" vertical="center"/>
    </xf>
    <xf numFmtId="0" fontId="41" fillId="0" borderId="48" xfId="0" applyFont="1" applyBorder="1" applyAlignment="1">
      <alignment horizontal="center" vertical="center"/>
    </xf>
    <xf numFmtId="0" fontId="22" fillId="0" borderId="48" xfId="15" applyFont="1" applyBorder="1" applyAlignment="1">
      <alignment horizontal="center" vertical="center"/>
    </xf>
    <xf numFmtId="0" fontId="41" fillId="0" borderId="18" xfId="0" applyFont="1" applyBorder="1" applyAlignment="1">
      <alignment horizontal="center" vertical="center"/>
    </xf>
    <xf numFmtId="0" fontId="68" fillId="4" borderId="18" xfId="0" applyFont="1" applyFill="1" applyBorder="1" applyAlignment="1">
      <alignment horizontal="center" vertical="center"/>
    </xf>
    <xf numFmtId="0" fontId="68" fillId="4" borderId="56" xfId="0" applyFont="1" applyFill="1" applyBorder="1" applyAlignment="1">
      <alignment horizontal="center" vertical="center"/>
    </xf>
    <xf numFmtId="0" fontId="41" fillId="0" borderId="13" xfId="0" applyFont="1" applyBorder="1" applyAlignment="1">
      <alignment horizontal="center" vertical="center"/>
    </xf>
    <xf numFmtId="0" fontId="68" fillId="4" borderId="57" xfId="0" applyFont="1" applyFill="1" applyBorder="1" applyAlignment="1">
      <alignment horizontal="center" vertical="center"/>
    </xf>
    <xf numFmtId="0" fontId="69" fillId="4" borderId="18" xfId="13" applyFont="1" applyFill="1" applyBorder="1">
      <alignment vertical="center"/>
    </xf>
    <xf numFmtId="0" fontId="41" fillId="0" borderId="18" xfId="0" applyFont="1" applyBorder="1">
      <alignment vertical="center"/>
    </xf>
    <xf numFmtId="0" fontId="68" fillId="4" borderId="18" xfId="0" applyFont="1" applyFill="1" applyBorder="1">
      <alignment vertical="center"/>
    </xf>
    <xf numFmtId="0" fontId="41" fillId="0" borderId="18" xfId="0" applyFont="1" applyBorder="1" applyAlignment="1">
      <alignment horizontal="left" vertical="center"/>
    </xf>
    <xf numFmtId="176" fontId="24" fillId="0" borderId="0" xfId="1" applyNumberFormat="1" applyFont="1" applyFill="1">
      <alignment vertical="center"/>
    </xf>
    <xf numFmtId="0" fontId="68" fillId="4" borderId="1" xfId="0" applyFont="1" applyFill="1" applyBorder="1" applyAlignment="1">
      <alignment horizontal="center" vertical="center"/>
    </xf>
    <xf numFmtId="0" fontId="25" fillId="4" borderId="0" xfId="13" applyFont="1" applyFill="1">
      <alignment vertical="center"/>
    </xf>
    <xf numFmtId="0" fontId="39" fillId="4" borderId="0" xfId="13" applyFont="1" applyFill="1" applyAlignment="1">
      <alignment vertical="center" wrapText="1"/>
    </xf>
    <xf numFmtId="0" fontId="39" fillId="4" borderId="0" xfId="13" applyFont="1" applyFill="1" applyAlignment="1">
      <alignment horizontal="left" vertical="center" wrapText="1"/>
    </xf>
    <xf numFmtId="0" fontId="69" fillId="4" borderId="0" xfId="13" applyFont="1" applyFill="1" applyAlignment="1">
      <alignment vertical="center" wrapText="1"/>
    </xf>
    <xf numFmtId="0" fontId="69" fillId="4" borderId="0" xfId="13" applyFont="1" applyFill="1">
      <alignment vertical="center"/>
    </xf>
    <xf numFmtId="0" fontId="24" fillId="0" borderId="1" xfId="13" applyFont="1" applyBorder="1">
      <alignment vertical="center"/>
    </xf>
    <xf numFmtId="41" fontId="22" fillId="0" borderId="1" xfId="1" applyFont="1" applyFill="1" applyBorder="1" applyAlignment="1">
      <alignment horizontal="center" vertical="center" wrapText="1"/>
    </xf>
    <xf numFmtId="176" fontId="22" fillId="6" borderId="1" xfId="1" applyNumberFormat="1" applyFont="1" applyFill="1" applyBorder="1" applyAlignment="1">
      <alignment horizontal="center" vertical="center" wrapText="1"/>
    </xf>
    <xf numFmtId="0" fontId="39" fillId="0" borderId="0" xfId="13" applyFont="1" applyAlignment="1">
      <alignment horizontal="left" vertical="center"/>
    </xf>
    <xf numFmtId="0" fontId="39" fillId="0" borderId="6" xfId="13" applyFont="1" applyBorder="1" applyAlignment="1">
      <alignment horizontal="left" vertical="center"/>
    </xf>
    <xf numFmtId="0" fontId="39" fillId="0" borderId="4" xfId="13" applyFont="1" applyBorder="1" applyAlignment="1">
      <alignment horizontal="left" vertical="center"/>
    </xf>
    <xf numFmtId="0" fontId="22" fillId="0" borderId="9" xfId="13" applyFont="1" applyBorder="1" applyAlignment="1">
      <alignment vertical="center" wrapText="1"/>
    </xf>
    <xf numFmtId="0" fontId="64" fillId="0" borderId="4" xfId="13" applyFont="1" applyBorder="1" applyAlignment="1">
      <alignment vertical="center" wrapText="1"/>
    </xf>
    <xf numFmtId="41" fontId="64" fillId="0" borderId="4" xfId="1" applyFont="1" applyFill="1" applyBorder="1">
      <alignment vertical="center"/>
    </xf>
    <xf numFmtId="0" fontId="10" fillId="0" borderId="4" xfId="13" applyFont="1" applyBorder="1" applyAlignment="1">
      <alignment horizontal="center" vertical="center"/>
    </xf>
    <xf numFmtId="0" fontId="39" fillId="6" borderId="0" xfId="13" applyFont="1" applyFill="1" applyAlignment="1">
      <alignment horizontal="left" vertical="center"/>
    </xf>
    <xf numFmtId="15" fontId="10" fillId="0" borderId="0" xfId="13" applyNumberFormat="1" applyFont="1">
      <alignment vertical="center"/>
    </xf>
    <xf numFmtId="0" fontId="41" fillId="6" borderId="1" xfId="0" applyFont="1" applyFill="1" applyBorder="1">
      <alignment vertical="center"/>
    </xf>
    <xf numFmtId="176" fontId="22" fillId="2" borderId="1" xfId="1" applyNumberFormat="1" applyFont="1" applyFill="1" applyBorder="1" applyAlignment="1">
      <alignment horizontal="right" vertical="center"/>
    </xf>
    <xf numFmtId="176" fontId="22" fillId="4" borderId="1" xfId="1" applyNumberFormat="1" applyFont="1" applyFill="1" applyBorder="1" applyAlignment="1">
      <alignment horizontal="right" vertical="center"/>
    </xf>
    <xf numFmtId="176" fontId="22" fillId="4" borderId="1" xfId="1" applyNumberFormat="1" applyFont="1" applyFill="1" applyBorder="1" applyAlignment="1">
      <alignment horizontal="center" vertical="center" wrapText="1"/>
    </xf>
    <xf numFmtId="40" fontId="22" fillId="4" borderId="1" xfId="14" applyNumberFormat="1" applyFont="1" applyFill="1" applyBorder="1" applyAlignment="1">
      <alignment horizontal="center" vertical="center"/>
    </xf>
    <xf numFmtId="0" fontId="22" fillId="0" borderId="1" xfId="0" applyFont="1" applyBorder="1">
      <alignment vertical="center"/>
    </xf>
    <xf numFmtId="0" fontId="74" fillId="0" borderId="1" xfId="0" applyFont="1" applyBorder="1">
      <alignment vertical="center"/>
    </xf>
    <xf numFmtId="0" fontId="22" fillId="4" borderId="1" xfId="0" applyFont="1" applyFill="1" applyBorder="1">
      <alignment vertical="center"/>
    </xf>
    <xf numFmtId="0" fontId="22" fillId="4" borderId="1" xfId="13" applyFont="1" applyFill="1" applyBorder="1" applyAlignment="1">
      <alignment horizontal="center" vertical="center"/>
    </xf>
    <xf numFmtId="0" fontId="41" fillId="4" borderId="1" xfId="0" applyFont="1" applyFill="1" applyBorder="1" applyAlignment="1">
      <alignment horizontal="center" vertical="center"/>
    </xf>
    <xf numFmtId="0" fontId="18" fillId="0" borderId="58" xfId="13" applyFont="1" applyBorder="1" applyAlignment="1">
      <alignment horizontal="center" vertical="center"/>
    </xf>
    <xf numFmtId="40" fontId="18" fillId="0" borderId="58" xfId="14" applyNumberFormat="1" applyFont="1" applyFill="1" applyBorder="1" applyAlignment="1">
      <alignment horizontal="center" vertical="center"/>
    </xf>
    <xf numFmtId="177" fontId="70" fillId="0" borderId="58" xfId="0" applyNumberFormat="1" applyFont="1" applyBorder="1" applyAlignment="1">
      <alignment horizontal="center" vertical="center"/>
    </xf>
    <xf numFmtId="176" fontId="18" fillId="0" borderId="58" xfId="1" applyNumberFormat="1" applyFont="1" applyFill="1" applyBorder="1" applyAlignment="1">
      <alignment horizontal="right" vertical="center"/>
    </xf>
    <xf numFmtId="176" fontId="18" fillId="0" borderId="58" xfId="1" applyNumberFormat="1" applyFont="1" applyFill="1" applyBorder="1">
      <alignment vertical="center"/>
    </xf>
    <xf numFmtId="176" fontId="70" fillId="0" borderId="58" xfId="1" applyNumberFormat="1" applyFont="1" applyFill="1" applyBorder="1" applyAlignment="1">
      <alignment horizontal="center" vertical="center"/>
    </xf>
    <xf numFmtId="176" fontId="70" fillId="0" borderId="58" xfId="1" applyNumberFormat="1" applyFont="1" applyFill="1" applyBorder="1">
      <alignment vertical="center"/>
    </xf>
    <xf numFmtId="176" fontId="18" fillId="0" borderId="58" xfId="1" applyNumberFormat="1" applyFont="1" applyFill="1" applyBorder="1" applyAlignment="1">
      <alignment horizontal="center" vertical="center"/>
    </xf>
    <xf numFmtId="176" fontId="18" fillId="0" borderId="58" xfId="14" applyNumberFormat="1" applyFont="1" applyFill="1" applyBorder="1" applyAlignment="1">
      <alignment horizontal="center" vertical="center"/>
    </xf>
    <xf numFmtId="0" fontId="70" fillId="0" borderId="58" xfId="0" applyFont="1" applyBorder="1">
      <alignment vertical="center"/>
    </xf>
    <xf numFmtId="0" fontId="39" fillId="2" borderId="1" xfId="15" applyFont="1" applyFill="1" applyBorder="1" applyAlignment="1">
      <alignment horizontal="center" vertical="center"/>
    </xf>
    <xf numFmtId="0" fontId="22" fillId="2" borderId="38" xfId="13" applyFont="1" applyFill="1" applyBorder="1" applyAlignment="1">
      <alignment horizontal="center" vertical="center"/>
    </xf>
    <xf numFmtId="0" fontId="22" fillId="0" borderId="24" xfId="13" applyFont="1" applyBorder="1" applyAlignment="1">
      <alignment horizontal="center" vertical="center"/>
    </xf>
    <xf numFmtId="0" fontId="39" fillId="2" borderId="5" xfId="15" applyFont="1" applyFill="1" applyBorder="1" applyAlignment="1">
      <alignment horizontal="center" vertical="center"/>
    </xf>
    <xf numFmtId="176" fontId="22" fillId="2" borderId="13" xfId="14" applyNumberFormat="1" applyFont="1" applyFill="1" applyBorder="1" applyAlignment="1">
      <alignment horizontal="center" vertical="center"/>
    </xf>
    <xf numFmtId="41" fontId="22" fillId="0" borderId="61" xfId="1" applyFont="1" applyFill="1" applyBorder="1" applyAlignment="1">
      <alignment horizontal="center" vertical="center" wrapText="1"/>
    </xf>
    <xf numFmtId="0" fontId="22" fillId="0" borderId="42" xfId="13" applyFont="1" applyBorder="1" applyAlignment="1">
      <alignment horizontal="center" vertical="center" wrapText="1"/>
    </xf>
    <xf numFmtId="176" fontId="22" fillId="0" borderId="33" xfId="1" applyNumberFormat="1" applyFont="1" applyBorder="1" applyAlignment="1">
      <alignment horizontal="center" vertical="center" wrapText="1"/>
    </xf>
    <xf numFmtId="0" fontId="22" fillId="6" borderId="9" xfId="13" applyFont="1" applyFill="1" applyBorder="1" applyAlignment="1">
      <alignment vertical="center" wrapText="1"/>
    </xf>
    <xf numFmtId="0" fontId="64" fillId="6" borderId="4" xfId="13" applyFont="1" applyFill="1" applyBorder="1" applyAlignment="1">
      <alignment vertical="center" wrapText="1"/>
    </xf>
    <xf numFmtId="0" fontId="28" fillId="6" borderId="0" xfId="13" applyFont="1" applyFill="1" applyAlignment="1">
      <alignment horizontal="left" vertical="center" wrapText="1"/>
    </xf>
    <xf numFmtId="0" fontId="16" fillId="6" borderId="0" xfId="13" applyFont="1" applyFill="1">
      <alignment vertical="center"/>
    </xf>
    <xf numFmtId="0" fontId="16" fillId="6" borderId="0" xfId="13" applyFont="1" applyFill="1" applyAlignment="1">
      <alignment horizontal="left" vertical="center"/>
    </xf>
    <xf numFmtId="0" fontId="14" fillId="6" borderId="0" xfId="13" applyFont="1" applyFill="1">
      <alignment vertical="center"/>
    </xf>
    <xf numFmtId="0" fontId="17" fillId="6" borderId="0" xfId="13" applyFont="1" applyFill="1" applyAlignment="1">
      <alignment vertical="center" wrapText="1"/>
    </xf>
    <xf numFmtId="41" fontId="14" fillId="0" borderId="0" xfId="1" applyFont="1" applyFill="1">
      <alignment vertical="center"/>
    </xf>
    <xf numFmtId="176" fontId="15" fillId="0" borderId="0" xfId="1" applyNumberFormat="1" applyFont="1" applyFill="1">
      <alignment vertical="center"/>
    </xf>
    <xf numFmtId="176" fontId="14" fillId="0" borderId="0" xfId="1" applyNumberFormat="1" applyFont="1" applyFill="1">
      <alignment vertical="center"/>
    </xf>
    <xf numFmtId="41" fontId="13" fillId="0" borderId="0" xfId="1" applyFont="1" applyFill="1" applyAlignment="1">
      <alignment horizontal="center" vertical="center"/>
    </xf>
    <xf numFmtId="41" fontId="10" fillId="0" borderId="0" xfId="1" applyFont="1" applyFill="1" applyBorder="1">
      <alignment vertical="center"/>
    </xf>
    <xf numFmtId="176" fontId="10" fillId="0" borderId="0" xfId="1" applyNumberFormat="1" applyFont="1" applyFill="1">
      <alignment vertical="center"/>
    </xf>
    <xf numFmtId="0" fontId="31" fillId="0" borderId="0" xfId="13" applyFont="1" applyAlignment="1">
      <alignment horizontal="center" vertical="center"/>
    </xf>
    <xf numFmtId="0" fontId="17" fillId="0" borderId="4" xfId="13" applyFont="1" applyBorder="1" applyAlignment="1">
      <alignment horizontal="center" vertical="center"/>
    </xf>
    <xf numFmtId="0" fontId="31" fillId="4" borderId="42" xfId="13" applyFont="1" applyFill="1" applyBorder="1" applyAlignment="1">
      <alignment horizontal="center" vertical="center"/>
    </xf>
    <xf numFmtId="181" fontId="17" fillId="0" borderId="0" xfId="16" applyNumberFormat="1" applyFont="1" applyAlignment="1">
      <alignment horizontal="center" vertical="center"/>
      <protection locked="0"/>
    </xf>
    <xf numFmtId="43" fontId="22" fillId="0" borderId="0" xfId="13" applyNumberFormat="1" applyFont="1" applyAlignment="1">
      <alignment vertical="center" wrapText="1"/>
    </xf>
    <xf numFmtId="0" fontId="68" fillId="2" borderId="18" xfId="0" applyFont="1" applyFill="1" applyBorder="1" applyAlignment="1">
      <alignment horizontal="center" vertical="center"/>
    </xf>
    <xf numFmtId="40" fontId="39" fillId="2" borderId="1" xfId="14" applyNumberFormat="1" applyFont="1" applyFill="1" applyBorder="1" applyAlignment="1">
      <alignment horizontal="center" vertical="center"/>
    </xf>
    <xf numFmtId="176" fontId="39" fillId="2" borderId="1" xfId="1" applyNumberFormat="1" applyFont="1" applyFill="1" applyBorder="1" applyAlignment="1">
      <alignment horizontal="center" vertical="center" wrapText="1"/>
    </xf>
    <xf numFmtId="43" fontId="24" fillId="0" borderId="0" xfId="13" applyNumberFormat="1" applyFont="1">
      <alignment vertical="center"/>
    </xf>
    <xf numFmtId="0" fontId="41" fillId="0" borderId="1" xfId="0" applyFont="1" applyBorder="1" applyAlignment="1">
      <alignment horizontal="left" vertical="center" wrapText="1"/>
    </xf>
    <xf numFmtId="0" fontId="76" fillId="0" borderId="0" xfId="13" applyFont="1" applyAlignment="1">
      <alignment vertical="center" wrapText="1"/>
    </xf>
    <xf numFmtId="0" fontId="22" fillId="0" borderId="1" xfId="0" applyFont="1" applyBorder="1" applyAlignment="1">
      <alignment vertical="center" wrapText="1"/>
    </xf>
    <xf numFmtId="0" fontId="77" fillId="0" borderId="1" xfId="0" applyFont="1" applyBorder="1">
      <alignment vertical="center"/>
    </xf>
    <xf numFmtId="176" fontId="22" fillId="0" borderId="1" xfId="1" applyNumberFormat="1" applyFont="1" applyFill="1" applyBorder="1" applyAlignment="1">
      <alignment horizontal="left" vertical="center"/>
    </xf>
    <xf numFmtId="0" fontId="41" fillId="0" borderId="63" xfId="0" applyFont="1" applyBorder="1" applyAlignment="1">
      <alignment horizontal="center" vertical="center"/>
    </xf>
    <xf numFmtId="0" fontId="74" fillId="0" borderId="1" xfId="0" quotePrefix="1" applyFont="1" applyBorder="1">
      <alignment vertical="center"/>
    </xf>
    <xf numFmtId="0" fontId="75" fillId="0" borderId="1" xfId="0" applyFont="1" applyBorder="1">
      <alignment vertical="center"/>
    </xf>
    <xf numFmtId="0" fontId="41" fillId="0" borderId="1" xfId="0" applyFont="1" applyBorder="1" applyAlignment="1">
      <alignment vertical="center" wrapText="1"/>
    </xf>
    <xf numFmtId="0" fontId="41" fillId="0" borderId="1" xfId="13" applyFont="1" applyBorder="1" applyAlignment="1">
      <alignment horizontal="left" vertical="center"/>
    </xf>
    <xf numFmtId="0" fontId="39" fillId="4" borderId="1" xfId="0" applyFont="1" applyFill="1" applyBorder="1">
      <alignment vertical="center"/>
    </xf>
    <xf numFmtId="176" fontId="68" fillId="0" borderId="1" xfId="1" applyNumberFormat="1" applyFont="1" applyFill="1" applyBorder="1" applyAlignment="1">
      <alignment horizontal="center" vertical="center"/>
    </xf>
    <xf numFmtId="176" fontId="68" fillId="0" borderId="1" xfId="1" applyNumberFormat="1" applyFont="1" applyFill="1" applyBorder="1">
      <alignment vertical="center"/>
    </xf>
    <xf numFmtId="176" fontId="39" fillId="0" borderId="1" xfId="1" applyNumberFormat="1" applyFont="1" applyFill="1" applyBorder="1" applyAlignment="1">
      <alignment horizontal="right" vertical="center"/>
    </xf>
    <xf numFmtId="176" fontId="79" fillId="0" borderId="1" xfId="1" applyNumberFormat="1" applyFont="1" applyFill="1" applyBorder="1" applyAlignment="1">
      <alignment horizontal="center" vertical="center"/>
    </xf>
    <xf numFmtId="0" fontId="22" fillId="0" borderId="1" xfId="13" applyFont="1" applyBorder="1" applyAlignment="1">
      <alignment horizontal="left" vertical="center"/>
    </xf>
    <xf numFmtId="0" fontId="73" fillId="0" borderId="5" xfId="0" applyFont="1" applyBorder="1" applyAlignment="1">
      <alignment horizontal="center" vertical="center" wrapText="1"/>
    </xf>
    <xf numFmtId="0" fontId="73" fillId="0" borderId="1" xfId="0" applyFont="1" applyBorder="1" applyAlignment="1">
      <alignment horizontal="center" vertical="center" wrapText="1"/>
    </xf>
    <xf numFmtId="176" fontId="76" fillId="0" borderId="1" xfId="1" applyNumberFormat="1" applyFont="1" applyFill="1" applyBorder="1" applyAlignment="1">
      <alignment horizontal="right" vertical="center"/>
    </xf>
    <xf numFmtId="176" fontId="39" fillId="6" borderId="1" xfId="1" applyNumberFormat="1" applyFont="1" applyFill="1" applyBorder="1" applyAlignment="1">
      <alignment horizontal="right" vertical="center"/>
    </xf>
    <xf numFmtId="176" fontId="39" fillId="6" borderId="1" xfId="1" applyNumberFormat="1" applyFont="1" applyFill="1" applyBorder="1" applyAlignment="1">
      <alignment vertical="center"/>
    </xf>
    <xf numFmtId="0" fontId="39" fillId="6" borderId="0" xfId="13" applyFont="1" applyFill="1">
      <alignment vertical="center"/>
    </xf>
    <xf numFmtId="0" fontId="32" fillId="0" borderId="12" xfId="13" applyFont="1" applyBorder="1" applyAlignment="1">
      <alignment horizontal="center" vertical="center"/>
    </xf>
    <xf numFmtId="0" fontId="32" fillId="0" borderId="23" xfId="13" applyFont="1" applyBorder="1" applyAlignment="1">
      <alignment horizontal="center" vertical="center"/>
    </xf>
    <xf numFmtId="0" fontId="32" fillId="0" borderId="0" xfId="13" applyFont="1" applyAlignment="1">
      <alignment vertical="center" wrapText="1"/>
    </xf>
    <xf numFmtId="0" fontId="32" fillId="0" borderId="10" xfId="13" applyFont="1" applyBorder="1" applyAlignment="1">
      <alignment vertical="center" wrapText="1"/>
    </xf>
    <xf numFmtId="0" fontId="10" fillId="0" borderId="0" xfId="21" applyFont="1" applyBorder="1">
      <alignment vertical="center"/>
    </xf>
    <xf numFmtId="0" fontId="80" fillId="0" borderId="0" xfId="21" applyFont="1" applyBorder="1">
      <alignment vertical="center"/>
    </xf>
    <xf numFmtId="0" fontId="61" fillId="0" borderId="3" xfId="21" applyFont="1" applyFill="1" applyBorder="1" applyAlignment="1">
      <alignment vertical="top"/>
    </xf>
    <xf numFmtId="0" fontId="10" fillId="0" borderId="0" xfId="13" applyFont="1" applyAlignment="1">
      <alignment vertical="top"/>
    </xf>
    <xf numFmtId="0" fontId="32" fillId="0" borderId="0" xfId="13" applyFont="1" applyAlignment="1">
      <alignment vertical="top"/>
    </xf>
    <xf numFmtId="0" fontId="54" fillId="0" borderId="0" xfId="0" applyFont="1">
      <alignment vertical="center"/>
    </xf>
    <xf numFmtId="0" fontId="35" fillId="0" borderId="0" xfId="13" applyFont="1" applyAlignment="1">
      <alignment horizontal="left" vertical="center"/>
    </xf>
    <xf numFmtId="0" fontId="10" fillId="0" borderId="0" xfId="13" quotePrefix="1" applyFont="1">
      <alignment vertical="center"/>
    </xf>
    <xf numFmtId="177" fontId="32" fillId="0" borderId="0" xfId="13" applyNumberFormat="1" applyFont="1">
      <alignment vertical="center"/>
    </xf>
    <xf numFmtId="0" fontId="81" fillId="0" borderId="0" xfId="0" applyFont="1">
      <alignment vertical="center"/>
    </xf>
    <xf numFmtId="0" fontId="22" fillId="0" borderId="59" xfId="13" applyFont="1" applyBorder="1" applyAlignment="1">
      <alignment horizontal="center" vertical="center"/>
    </xf>
    <xf numFmtId="0" fontId="22" fillId="0" borderId="50" xfId="13" applyFont="1" applyBorder="1" applyAlignment="1">
      <alignment horizontal="center" vertical="center"/>
    </xf>
    <xf numFmtId="0" fontId="42" fillId="0" borderId="25" xfId="13" applyFont="1" applyBorder="1" applyAlignment="1">
      <alignment horizontal="center" vertical="center"/>
    </xf>
    <xf numFmtId="0" fontId="42" fillId="0" borderId="64" xfId="13" applyFont="1" applyBorder="1" applyAlignment="1">
      <alignment horizontal="center" vertical="center" wrapText="1"/>
    </xf>
    <xf numFmtId="41" fontId="42" fillId="0" borderId="64" xfId="13" quotePrefix="1" applyNumberFormat="1" applyFont="1" applyBorder="1" applyAlignment="1">
      <alignment horizontal="center" vertical="center" wrapText="1"/>
    </xf>
    <xf numFmtId="183" fontId="42" fillId="0" borderId="50" xfId="14" applyNumberFormat="1" applyFont="1" applyBorder="1" applyAlignment="1">
      <alignment horizontal="center" vertical="center"/>
    </xf>
    <xf numFmtId="41" fontId="4" fillId="0" borderId="0" xfId="1" applyFont="1">
      <alignment vertical="center"/>
    </xf>
    <xf numFmtId="176" fontId="4" fillId="0" borderId="0" xfId="1" applyNumberFormat="1" applyFont="1">
      <alignment vertical="center"/>
    </xf>
    <xf numFmtId="43" fontId="4" fillId="0" borderId="0" xfId="13" applyNumberFormat="1" applyFont="1">
      <alignment vertical="center"/>
    </xf>
    <xf numFmtId="43" fontId="10" fillId="0" borderId="0" xfId="13" applyNumberFormat="1" applyFont="1">
      <alignment vertical="center"/>
    </xf>
    <xf numFmtId="43" fontId="17" fillId="0" borderId="0" xfId="13" applyNumberFormat="1" applyFont="1">
      <alignment vertical="center"/>
    </xf>
    <xf numFmtId="0" fontId="32" fillId="0" borderId="26" xfId="13" applyFont="1" applyBorder="1" applyAlignment="1">
      <alignment horizontal="left" vertical="center" wrapText="1"/>
    </xf>
    <xf numFmtId="0" fontId="32" fillId="0" borderId="22" xfId="13" applyFont="1" applyBorder="1" applyAlignment="1">
      <alignment horizontal="left" vertical="center" wrapText="1"/>
    </xf>
    <xf numFmtId="0" fontId="32" fillId="0" borderId="25" xfId="13" applyFont="1" applyBorder="1" applyAlignment="1">
      <alignment horizontal="left" vertical="center" wrapText="1"/>
    </xf>
    <xf numFmtId="0" fontId="32" fillId="0" borderId="28" xfId="13" applyFont="1" applyBorder="1" applyAlignment="1">
      <alignment horizontal="left" vertical="center" wrapText="1"/>
    </xf>
    <xf numFmtId="0" fontId="32" fillId="0" borderId="0" xfId="13" applyFont="1" applyAlignment="1">
      <alignment horizontal="left" vertical="center" wrapText="1"/>
    </xf>
    <xf numFmtId="0" fontId="32" fillId="0" borderId="27" xfId="13" applyFont="1" applyBorder="1" applyAlignment="1">
      <alignment horizontal="left" vertical="center" wrapText="1"/>
    </xf>
    <xf numFmtId="41" fontId="10" fillId="0" borderId="0" xfId="1" applyFont="1" applyBorder="1" applyAlignment="1">
      <alignment horizontal="center" vertical="center"/>
    </xf>
    <xf numFmtId="176" fontId="10" fillId="0" borderId="0" xfId="1" applyNumberFormat="1" applyFont="1" applyBorder="1" applyAlignment="1">
      <alignment vertical="center"/>
    </xf>
    <xf numFmtId="0" fontId="13" fillId="0" borderId="9" xfId="13" applyFont="1" applyBorder="1" applyAlignment="1">
      <alignment horizontal="center" vertical="center" wrapText="1"/>
    </xf>
    <xf numFmtId="0" fontId="13" fillId="0" borderId="0" xfId="13" applyFont="1" applyAlignment="1">
      <alignment horizontal="center" vertical="center"/>
    </xf>
    <xf numFmtId="0" fontId="13" fillId="0" borderId="10" xfId="13" applyFont="1" applyBorder="1" applyAlignment="1">
      <alignment horizontal="center" vertical="center"/>
    </xf>
    <xf numFmtId="0" fontId="32" fillId="3" borderId="6" xfId="13" applyFont="1" applyFill="1" applyBorder="1" applyAlignment="1">
      <alignment horizontal="center" vertical="center"/>
    </xf>
    <xf numFmtId="14" fontId="32" fillId="3" borderId="22" xfId="13" applyNumberFormat="1" applyFont="1" applyFill="1" applyBorder="1" applyAlignment="1">
      <alignment horizontal="center" vertical="center"/>
    </xf>
    <xf numFmtId="0" fontId="32" fillId="3" borderId="0" xfId="13" applyFont="1" applyFill="1" applyAlignment="1">
      <alignment horizontal="left" vertical="center" wrapText="1"/>
    </xf>
    <xf numFmtId="0" fontId="32" fillId="3" borderId="10" xfId="13" applyFont="1" applyFill="1" applyBorder="1" applyAlignment="1">
      <alignment horizontal="left" vertical="center" wrapText="1"/>
    </xf>
    <xf numFmtId="0" fontId="32" fillId="3" borderId="0" xfId="13" applyFont="1" applyFill="1" applyAlignment="1">
      <alignment horizontal="left" vertical="center"/>
    </xf>
    <xf numFmtId="0" fontId="32" fillId="3" borderId="10" xfId="13" applyFont="1" applyFill="1" applyBorder="1" applyAlignment="1">
      <alignment horizontal="left" vertical="center"/>
    </xf>
    <xf numFmtId="0" fontId="32" fillId="3" borderId="0" xfId="13" applyFont="1" applyFill="1" applyAlignment="1">
      <alignment horizontal="center" vertical="center"/>
    </xf>
    <xf numFmtId="0" fontId="32" fillId="3" borderId="10" xfId="13" applyFont="1" applyFill="1" applyBorder="1" applyAlignment="1">
      <alignment horizontal="center" vertical="center"/>
    </xf>
    <xf numFmtId="0" fontId="32" fillId="0" borderId="23" xfId="13" applyFont="1" applyBorder="1" applyAlignment="1">
      <alignment horizontal="left" vertical="center" wrapText="1"/>
    </xf>
    <xf numFmtId="15" fontId="10" fillId="0" borderId="28" xfId="13" applyNumberFormat="1" applyFont="1" applyBorder="1" applyAlignment="1">
      <alignment horizontal="center" vertical="center" wrapText="1"/>
    </xf>
    <xf numFmtId="15" fontId="10" fillId="0" borderId="0" xfId="13" applyNumberFormat="1" applyFont="1" applyAlignment="1">
      <alignment horizontal="center" vertical="center" wrapText="1"/>
    </xf>
    <xf numFmtId="15" fontId="10" fillId="0" borderId="27" xfId="13" applyNumberFormat="1" applyFont="1" applyBorder="1" applyAlignment="1">
      <alignment horizontal="center" vertical="center" wrapText="1"/>
    </xf>
    <xf numFmtId="15" fontId="10" fillId="0" borderId="2" xfId="13" applyNumberFormat="1" applyFont="1" applyBorder="1" applyAlignment="1">
      <alignment horizontal="center" vertical="center" wrapText="1"/>
    </xf>
    <xf numFmtId="15" fontId="10" fillId="0" borderId="3" xfId="13" applyNumberFormat="1" applyFont="1" applyBorder="1" applyAlignment="1">
      <alignment horizontal="center" vertical="center" wrapText="1"/>
    </xf>
    <xf numFmtId="15" fontId="10" fillId="0" borderId="24" xfId="13" applyNumberFormat="1" applyFont="1" applyBorder="1" applyAlignment="1">
      <alignment horizontal="center" vertical="center" wrapText="1"/>
    </xf>
    <xf numFmtId="176" fontId="10" fillId="0" borderId="0" xfId="1" applyNumberFormat="1" applyFont="1" applyBorder="1" applyAlignment="1">
      <alignment horizontal="center" vertical="center"/>
    </xf>
    <xf numFmtId="15" fontId="10" fillId="0" borderId="0" xfId="13" applyNumberFormat="1" applyFont="1" applyAlignment="1">
      <alignment horizontal="left" vertical="center"/>
    </xf>
    <xf numFmtId="0" fontId="32" fillId="0" borderId="15" xfId="13" applyFont="1" applyBorder="1" applyAlignment="1">
      <alignment horizontal="center" vertical="center"/>
    </xf>
    <xf numFmtId="0" fontId="32" fillId="0" borderId="19" xfId="13" applyFont="1" applyBorder="1" applyAlignment="1">
      <alignment horizontal="center" vertical="center"/>
    </xf>
    <xf numFmtId="0" fontId="32" fillId="0" borderId="16" xfId="13" applyFont="1" applyBorder="1" applyAlignment="1">
      <alignment horizontal="center" vertical="center"/>
    </xf>
    <xf numFmtId="176" fontId="32" fillId="0" borderId="15" xfId="13" applyNumberFormat="1" applyFont="1" applyBorder="1" applyAlignment="1">
      <alignment horizontal="center" vertical="center"/>
    </xf>
    <xf numFmtId="176" fontId="32" fillId="0" borderId="16" xfId="13" applyNumberFormat="1" applyFont="1" applyBorder="1" applyAlignment="1">
      <alignment horizontal="center" vertical="center"/>
    </xf>
    <xf numFmtId="0" fontId="31" fillId="0" borderId="22" xfId="13" applyFont="1" applyBorder="1" applyAlignment="1">
      <alignment horizontal="center" vertical="center"/>
    </xf>
    <xf numFmtId="0" fontId="31" fillId="0" borderId="23" xfId="13" applyFont="1" applyBorder="1" applyAlignment="1">
      <alignment horizontal="center" vertical="center"/>
    </xf>
    <xf numFmtId="0" fontId="32" fillId="0" borderId="2" xfId="13" applyFont="1" applyBorder="1" applyAlignment="1">
      <alignment horizontal="center" vertical="center"/>
    </xf>
    <xf numFmtId="0" fontId="32" fillId="0" borderId="3" xfId="13" applyFont="1" applyBorder="1" applyAlignment="1">
      <alignment horizontal="center" vertical="center"/>
    </xf>
    <xf numFmtId="0" fontId="32" fillId="0" borderId="24" xfId="13" applyFont="1" applyBorder="1" applyAlignment="1">
      <alignment horizontal="center" vertical="center"/>
    </xf>
    <xf numFmtId="0" fontId="32" fillId="0" borderId="12" xfId="13" applyFont="1" applyBorder="1" applyAlignment="1">
      <alignment horizontal="center" vertical="center"/>
    </xf>
    <xf numFmtId="41" fontId="10" fillId="0" borderId="26" xfId="14" quotePrefix="1" applyFont="1" applyFill="1" applyBorder="1" applyAlignment="1">
      <alignment horizontal="center" vertical="center"/>
    </xf>
    <xf numFmtId="41" fontId="10" fillId="0" borderId="22" xfId="14" quotePrefix="1" applyFont="1" applyFill="1" applyBorder="1" applyAlignment="1">
      <alignment horizontal="center" vertical="center"/>
    </xf>
    <xf numFmtId="41" fontId="10" fillId="0" borderId="25" xfId="14" quotePrefix="1" applyFont="1" applyFill="1" applyBorder="1" applyAlignment="1">
      <alignment horizontal="center" vertical="center"/>
    </xf>
    <xf numFmtId="185" fontId="10" fillId="0" borderId="26" xfId="14" applyNumberFormat="1" applyFont="1" applyFill="1" applyBorder="1" applyAlignment="1">
      <alignment horizontal="center" vertical="center"/>
    </xf>
    <xf numFmtId="185" fontId="10" fillId="0" borderId="22" xfId="14" applyNumberFormat="1" applyFont="1" applyFill="1" applyBorder="1" applyAlignment="1">
      <alignment horizontal="center" vertical="center"/>
    </xf>
    <xf numFmtId="185" fontId="10" fillId="0" borderId="25" xfId="14" applyNumberFormat="1" applyFont="1" applyFill="1" applyBorder="1" applyAlignment="1">
      <alignment horizontal="center" vertical="center"/>
    </xf>
    <xf numFmtId="41" fontId="10" fillId="0" borderId="28" xfId="14" quotePrefix="1" applyFont="1" applyFill="1" applyBorder="1" applyAlignment="1">
      <alignment horizontal="center" vertical="center"/>
    </xf>
    <xf numFmtId="41" fontId="10" fillId="0" borderId="0" xfId="14" quotePrefix="1" applyFont="1" applyFill="1" applyBorder="1" applyAlignment="1">
      <alignment horizontal="center" vertical="center"/>
    </xf>
    <xf numFmtId="41" fontId="10" fillId="0" borderId="27" xfId="14" quotePrefix="1" applyFont="1" applyFill="1" applyBorder="1" applyAlignment="1">
      <alignment horizontal="center" vertical="center"/>
    </xf>
    <xf numFmtId="182" fontId="10" fillId="0" borderId="28" xfId="14" applyNumberFormat="1" applyFont="1" applyFill="1" applyBorder="1" applyAlignment="1">
      <alignment horizontal="center" vertical="center"/>
    </xf>
    <xf numFmtId="182" fontId="10" fillId="0" borderId="0" xfId="14" applyNumberFormat="1" applyFont="1" applyFill="1" applyBorder="1" applyAlignment="1">
      <alignment horizontal="center" vertical="center"/>
    </xf>
    <xf numFmtId="182" fontId="10" fillId="0" borderId="27" xfId="14" applyNumberFormat="1" applyFont="1" applyFill="1" applyBorder="1" applyAlignment="1">
      <alignment horizontal="center" vertical="center"/>
    </xf>
    <xf numFmtId="0" fontId="32" fillId="0" borderId="21" xfId="13" applyFont="1" applyBorder="1" applyAlignment="1">
      <alignment horizontal="left" vertical="top"/>
    </xf>
    <xf numFmtId="0" fontId="32" fillId="0" borderId="22" xfId="13" applyFont="1" applyBorder="1" applyAlignment="1">
      <alignment horizontal="left" vertical="top"/>
    </xf>
    <xf numFmtId="0" fontId="32" fillId="0" borderId="25" xfId="13" applyFont="1" applyBorder="1" applyAlignment="1">
      <alignment horizontal="left" vertical="top"/>
    </xf>
    <xf numFmtId="0" fontId="32" fillId="0" borderId="11" xfId="13" applyFont="1" applyBorder="1" applyAlignment="1">
      <alignment horizontal="left" vertical="top"/>
    </xf>
    <xf numFmtId="0" fontId="32" fillId="0" borderId="3" xfId="13" applyFont="1" applyBorder="1" applyAlignment="1">
      <alignment horizontal="left" vertical="top"/>
    </xf>
    <xf numFmtId="0" fontId="32" fillId="0" borderId="24" xfId="13" applyFont="1" applyBorder="1" applyAlignment="1">
      <alignment horizontal="left" vertical="top"/>
    </xf>
    <xf numFmtId="0" fontId="32" fillId="0" borderId="26" xfId="13" applyFont="1" applyBorder="1" applyAlignment="1">
      <alignment horizontal="center" vertical="center"/>
    </xf>
    <xf numFmtId="0" fontId="32" fillId="0" borderId="22" xfId="13" applyFont="1" applyBorder="1" applyAlignment="1">
      <alignment horizontal="center" vertical="center"/>
    </xf>
    <xf numFmtId="0" fontId="32" fillId="0" borderId="25" xfId="13" applyFont="1" applyBorder="1" applyAlignment="1">
      <alignment horizontal="center" vertical="center"/>
    </xf>
    <xf numFmtId="0" fontId="32" fillId="0" borderId="23" xfId="13" applyFont="1" applyBorder="1" applyAlignment="1">
      <alignment horizontal="center" vertical="center"/>
    </xf>
    <xf numFmtId="0" fontId="13" fillId="0" borderId="0" xfId="13" applyFont="1" applyAlignment="1">
      <alignment horizontal="center" vertical="center" wrapText="1"/>
    </xf>
    <xf numFmtId="0" fontId="18" fillId="3" borderId="33" xfId="13" applyFont="1" applyFill="1" applyBorder="1" applyAlignment="1">
      <alignment horizontal="center" vertical="center"/>
    </xf>
    <xf numFmtId="0" fontId="32" fillId="0" borderId="47" xfId="13" applyFont="1" applyBorder="1" applyAlignment="1">
      <alignment horizontal="center" vertical="center"/>
    </xf>
    <xf numFmtId="177" fontId="32" fillId="0" borderId="46" xfId="13" applyNumberFormat="1" applyFont="1" applyBorder="1" applyAlignment="1">
      <alignment horizontal="center" vertical="center"/>
    </xf>
    <xf numFmtId="177" fontId="32" fillId="0" borderId="15" xfId="13" applyNumberFormat="1" applyFont="1" applyBorder="1" applyAlignment="1">
      <alignment horizontal="center" vertical="center"/>
    </xf>
    <xf numFmtId="177" fontId="32" fillId="0" borderId="47" xfId="13" applyNumberFormat="1" applyFont="1" applyBorder="1" applyAlignment="1">
      <alignment horizontal="center" vertical="center"/>
    </xf>
    <xf numFmtId="176" fontId="32" fillId="0" borderId="46" xfId="13" applyNumberFormat="1" applyFont="1" applyBorder="1" applyAlignment="1">
      <alignment horizontal="center" vertical="center"/>
    </xf>
    <xf numFmtId="176" fontId="32" fillId="0" borderId="47" xfId="13" applyNumberFormat="1" applyFont="1" applyBorder="1" applyAlignment="1">
      <alignment horizontal="center" vertical="center"/>
    </xf>
    <xf numFmtId="176" fontId="32" fillId="0" borderId="46" xfId="14" applyNumberFormat="1" applyFont="1" applyFill="1" applyBorder="1" applyAlignment="1">
      <alignment horizontal="center" vertical="center"/>
    </xf>
    <xf numFmtId="176" fontId="32" fillId="0" borderId="15" xfId="14" applyNumberFormat="1" applyFont="1" applyFill="1" applyBorder="1" applyAlignment="1">
      <alignment horizontal="center" vertical="center"/>
    </xf>
    <xf numFmtId="176" fontId="32" fillId="0" borderId="47" xfId="14" applyNumberFormat="1" applyFont="1" applyFill="1" applyBorder="1" applyAlignment="1">
      <alignment horizontal="center" vertical="center"/>
    </xf>
    <xf numFmtId="0" fontId="10" fillId="0" borderId="0" xfId="0" applyFont="1" applyAlignment="1">
      <alignment horizontal="center" vertical="center"/>
    </xf>
    <xf numFmtId="185" fontId="10" fillId="0" borderId="28" xfId="14" applyNumberFormat="1" applyFont="1" applyFill="1" applyBorder="1" applyAlignment="1">
      <alignment horizontal="center" vertical="center"/>
    </xf>
    <xf numFmtId="185" fontId="10" fillId="0" borderId="0" xfId="14" applyNumberFormat="1" applyFont="1" applyFill="1" applyBorder="1" applyAlignment="1">
      <alignment horizontal="center" vertical="center"/>
    </xf>
    <xf numFmtId="185" fontId="10" fillId="0" borderId="27" xfId="14" applyNumberFormat="1" applyFont="1" applyFill="1" applyBorder="1" applyAlignment="1">
      <alignment horizontal="center" vertical="center"/>
    </xf>
    <xf numFmtId="176" fontId="10" fillId="0" borderId="26" xfId="1" applyNumberFormat="1" applyFont="1" applyFill="1" applyBorder="1" applyAlignment="1">
      <alignment horizontal="center" vertical="center"/>
    </xf>
    <xf numFmtId="176" fontId="10" fillId="0" borderId="22" xfId="1" applyNumberFormat="1" applyFont="1" applyFill="1" applyBorder="1" applyAlignment="1">
      <alignment horizontal="center" vertical="center"/>
    </xf>
    <xf numFmtId="176" fontId="10" fillId="0" borderId="25" xfId="1" applyNumberFormat="1" applyFont="1" applyFill="1" applyBorder="1" applyAlignment="1">
      <alignment horizontal="center" vertical="center"/>
    </xf>
    <xf numFmtId="0" fontId="32" fillId="0" borderId="0" xfId="13" applyFont="1" applyAlignment="1">
      <alignment horizontal="left" vertical="top" wrapText="1"/>
    </xf>
    <xf numFmtId="0" fontId="32" fillId="0" borderId="10" xfId="13" applyFont="1" applyBorder="1" applyAlignment="1">
      <alignment horizontal="left" vertical="top" wrapText="1"/>
    </xf>
    <xf numFmtId="177" fontId="10" fillId="0" borderId="28" xfId="14" applyNumberFormat="1" applyFont="1" applyFill="1" applyBorder="1" applyAlignment="1">
      <alignment horizontal="center" vertical="center"/>
    </xf>
    <xf numFmtId="177" fontId="10" fillId="0" borderId="0" xfId="14" applyNumberFormat="1" applyFont="1" applyFill="1" applyBorder="1" applyAlignment="1">
      <alignment horizontal="center" vertical="center"/>
    </xf>
    <xf numFmtId="177" fontId="10" fillId="0" borderId="27" xfId="14" applyNumberFormat="1" applyFont="1" applyFill="1" applyBorder="1" applyAlignment="1">
      <alignment horizontal="center" vertical="center"/>
    </xf>
    <xf numFmtId="176" fontId="10" fillId="0" borderId="28" xfId="1" applyNumberFormat="1" applyFont="1" applyFill="1" applyBorder="1" applyAlignment="1">
      <alignment horizontal="center" vertical="center"/>
    </xf>
    <xf numFmtId="176" fontId="10" fillId="0" borderId="0" xfId="1" applyNumberFormat="1" applyFont="1" applyFill="1" applyBorder="1" applyAlignment="1">
      <alignment horizontal="center" vertical="center"/>
    </xf>
    <xf numFmtId="176" fontId="10" fillId="0" borderId="27" xfId="1" applyNumberFormat="1" applyFont="1" applyFill="1" applyBorder="1" applyAlignment="1">
      <alignment horizontal="center" vertical="center"/>
    </xf>
    <xf numFmtId="178" fontId="22" fillId="0" borderId="31" xfId="13" applyNumberFormat="1" applyFont="1" applyBorder="1" applyAlignment="1">
      <alignment horizontal="center" vertical="center" wrapText="1"/>
    </xf>
    <xf numFmtId="178" fontId="22" fillId="0" borderId="42" xfId="13" applyNumberFormat="1" applyFont="1" applyBorder="1" applyAlignment="1">
      <alignment horizontal="center" vertical="center" wrapText="1"/>
    </xf>
    <xf numFmtId="178" fontId="22" fillId="0" borderId="32" xfId="13" applyNumberFormat="1" applyFont="1" applyBorder="1" applyAlignment="1">
      <alignment horizontal="center" vertical="center" wrapText="1"/>
    </xf>
    <xf numFmtId="178" fontId="22" fillId="0" borderId="62" xfId="13" applyNumberFormat="1" applyFont="1" applyBorder="1" applyAlignment="1">
      <alignment horizontal="center" vertical="center" wrapText="1"/>
    </xf>
    <xf numFmtId="0" fontId="39" fillId="4" borderId="39" xfId="13" applyFont="1" applyFill="1" applyBorder="1" applyAlignment="1">
      <alignment horizontal="center" vertical="center"/>
    </xf>
    <xf numFmtId="0" fontId="39" fillId="4" borderId="40" xfId="13" applyFont="1" applyFill="1" applyBorder="1" applyAlignment="1">
      <alignment horizontal="center" vertical="center"/>
    </xf>
    <xf numFmtId="0" fontId="39" fillId="4" borderId="49" xfId="13" applyFont="1" applyFill="1" applyBorder="1" applyAlignment="1">
      <alignment horizontal="center" vertical="center"/>
    </xf>
    <xf numFmtId="0" fontId="26" fillId="0" borderId="0" xfId="13" applyFont="1" applyAlignment="1">
      <alignment horizontal="center" vertical="center"/>
    </xf>
    <xf numFmtId="0" fontId="22" fillId="0" borderId="34" xfId="13" applyFont="1" applyBorder="1" applyAlignment="1">
      <alignment horizontal="center" vertical="center"/>
    </xf>
    <xf numFmtId="0" fontId="22" fillId="0" borderId="61" xfId="13" applyFont="1" applyBorder="1" applyAlignment="1">
      <alignment horizontal="center" vertical="center"/>
    </xf>
    <xf numFmtId="0" fontId="22" fillId="0" borderId="31" xfId="13" applyFont="1" applyBorder="1" applyAlignment="1">
      <alignment horizontal="center" vertical="center" wrapText="1"/>
    </xf>
    <xf numFmtId="0" fontId="22" fillId="0" borderId="42" xfId="13" applyFont="1" applyBorder="1" applyAlignment="1">
      <alignment horizontal="center" vertical="center" wrapText="1"/>
    </xf>
    <xf numFmtId="0" fontId="22" fillId="0" borderId="32" xfId="13" applyFont="1" applyBorder="1" applyAlignment="1">
      <alignment horizontal="center" vertical="center" wrapText="1"/>
    </xf>
    <xf numFmtId="0" fontId="22" fillId="0" borderId="62" xfId="13" applyFont="1" applyBorder="1" applyAlignment="1">
      <alignment horizontal="center" vertical="center" wrapText="1"/>
    </xf>
    <xf numFmtId="41" fontId="22" fillId="0" borderId="60" xfId="14" applyFont="1" applyFill="1" applyBorder="1" applyAlignment="1">
      <alignment horizontal="center" vertical="center" wrapText="1"/>
    </xf>
    <xf numFmtId="41" fontId="22" fillId="0" borderId="36" xfId="14" applyFont="1" applyFill="1" applyBorder="1" applyAlignment="1">
      <alignment horizontal="center" vertical="center" wrapText="1"/>
    </xf>
    <xf numFmtId="176" fontId="22" fillId="0" borderId="37" xfId="1" applyNumberFormat="1" applyFont="1" applyBorder="1" applyAlignment="1">
      <alignment horizontal="center" vertical="center" wrapText="1"/>
    </xf>
    <xf numFmtId="176" fontId="22" fillId="0" borderId="36" xfId="1" applyNumberFormat="1" applyFont="1" applyBorder="1" applyAlignment="1">
      <alignment horizontal="center" vertical="center" wrapText="1"/>
    </xf>
    <xf numFmtId="176" fontId="22" fillId="0" borderId="31" xfId="1" applyNumberFormat="1" applyFont="1" applyFill="1" applyBorder="1" applyAlignment="1">
      <alignment horizontal="center" vertical="center" wrapText="1"/>
    </xf>
    <xf numFmtId="176" fontId="22" fillId="0" borderId="42" xfId="1" applyNumberFormat="1" applyFont="1" applyFill="1" applyBorder="1" applyAlignment="1">
      <alignment horizontal="center" vertical="center" wrapText="1"/>
    </xf>
    <xf numFmtId="176" fontId="22" fillId="0" borderId="31" xfId="14" applyNumberFormat="1" applyFont="1" applyFill="1" applyBorder="1" applyAlignment="1">
      <alignment horizontal="center" vertical="center" wrapText="1"/>
    </xf>
    <xf numFmtId="176" fontId="22" fillId="0" borderId="42" xfId="14" applyNumberFormat="1" applyFont="1" applyFill="1" applyBorder="1" applyAlignment="1">
      <alignment horizontal="center" vertical="center" wrapText="1"/>
    </xf>
    <xf numFmtId="176" fontId="22" fillId="0" borderId="5" xfId="1" applyNumberFormat="1" applyFont="1" applyFill="1" applyBorder="1" applyAlignment="1">
      <alignment horizontal="center" vertical="center" wrapText="1"/>
    </xf>
    <xf numFmtId="176" fontId="22" fillId="0" borderId="5" xfId="14" applyNumberFormat="1" applyFont="1" applyFill="1" applyBorder="1" applyAlignment="1">
      <alignment horizontal="center" vertical="center" wrapText="1"/>
    </xf>
    <xf numFmtId="178" fontId="22" fillId="0" borderId="5" xfId="13" applyNumberFormat="1" applyFont="1" applyBorder="1" applyAlignment="1">
      <alignment horizontal="center" vertical="center" wrapText="1"/>
    </xf>
    <xf numFmtId="178" fontId="22" fillId="0" borderId="13" xfId="13" applyNumberFormat="1" applyFont="1" applyBorder="1" applyAlignment="1">
      <alignment horizontal="center" vertical="center" wrapText="1"/>
    </xf>
    <xf numFmtId="0" fontId="22" fillId="0" borderId="38" xfId="13" applyFont="1" applyBorder="1" applyAlignment="1">
      <alignment horizontal="center" vertical="center"/>
    </xf>
    <xf numFmtId="0" fontId="22" fillId="0" borderId="5" xfId="13" applyFont="1" applyBorder="1" applyAlignment="1">
      <alignment horizontal="center" vertical="center" wrapText="1"/>
    </xf>
    <xf numFmtId="41" fontId="22" fillId="0" borderId="35" xfId="14" applyFont="1" applyFill="1" applyBorder="1" applyAlignment="1">
      <alignment horizontal="center" vertical="center" wrapText="1"/>
    </xf>
    <xf numFmtId="176" fontId="22" fillId="0" borderId="37" xfId="1" applyNumberFormat="1" applyFont="1" applyFill="1" applyBorder="1" applyAlignment="1">
      <alignment horizontal="center" vertical="center" wrapText="1"/>
    </xf>
    <xf numFmtId="176" fontId="22" fillId="0" borderId="36" xfId="1" applyNumberFormat="1" applyFont="1" applyFill="1" applyBorder="1" applyAlignment="1">
      <alignment horizontal="center" vertical="center" wrapText="1"/>
    </xf>
    <xf numFmtId="0" fontId="39" fillId="0" borderId="65" xfId="13" applyFont="1" applyBorder="1" applyAlignment="1">
      <alignment horizontal="center" vertical="center"/>
    </xf>
    <xf numFmtId="0" fontId="39" fillId="0" borderId="33" xfId="13" applyFont="1" applyBorder="1" applyAlignment="1">
      <alignment horizontal="center" vertical="center"/>
    </xf>
    <xf numFmtId="0" fontId="45" fillId="2" borderId="19" xfId="0" applyFont="1" applyFill="1" applyBorder="1" applyAlignment="1">
      <alignment horizontal="center" vertical="center" wrapText="1"/>
    </xf>
    <xf numFmtId="0" fontId="45" fillId="2" borderId="15" xfId="0" applyFont="1" applyFill="1" applyBorder="1" applyAlignment="1">
      <alignment horizontal="center" vertical="center" wrapText="1"/>
    </xf>
    <xf numFmtId="0" fontId="45" fillId="2" borderId="16" xfId="0" applyFont="1" applyFill="1" applyBorder="1" applyAlignment="1">
      <alignment horizontal="center" vertical="center" wrapText="1"/>
    </xf>
    <xf numFmtId="0" fontId="13" fillId="2" borderId="0" xfId="0" applyFont="1" applyFill="1" applyAlignment="1">
      <alignment horizontal="left" vertical="center" wrapText="1"/>
    </xf>
    <xf numFmtId="0" fontId="13" fillId="2" borderId="10" xfId="0" applyFont="1" applyFill="1" applyBorder="1" applyAlignment="1">
      <alignment horizontal="left" vertical="center" wrapText="1"/>
    </xf>
    <xf numFmtId="40" fontId="13" fillId="0" borderId="0" xfId="14" applyNumberFormat="1" applyFont="1" applyFill="1" applyBorder="1" applyAlignment="1">
      <alignment horizontal="left" vertical="center" wrapText="1"/>
    </xf>
    <xf numFmtId="0" fontId="45" fillId="2" borderId="7"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45" fillId="2" borderId="8" xfId="0" applyFont="1" applyFill="1" applyBorder="1" applyAlignment="1">
      <alignment horizontal="center" vertical="center" wrapText="1"/>
    </xf>
    <xf numFmtId="0" fontId="45" fillId="2" borderId="14" xfId="0" applyFont="1" applyFill="1" applyBorder="1" applyAlignment="1">
      <alignment horizontal="center" vertical="center" wrapText="1"/>
    </xf>
    <xf numFmtId="0" fontId="45" fillId="2" borderId="4" xfId="0" applyFont="1" applyFill="1" applyBorder="1" applyAlignment="1">
      <alignment horizontal="center" vertical="center" wrapText="1"/>
    </xf>
    <xf numFmtId="0" fontId="45" fillId="2" borderId="20" xfId="0" applyFont="1" applyFill="1" applyBorder="1" applyAlignment="1">
      <alignment horizontal="center" vertical="center" wrapText="1"/>
    </xf>
    <xf numFmtId="184" fontId="13" fillId="2" borderId="0" xfId="15" applyNumberFormat="1" applyFont="1" applyFill="1" applyAlignment="1">
      <alignment horizontal="left" vertical="center"/>
    </xf>
    <xf numFmtId="0" fontId="22" fillId="6" borderId="1" xfId="13" applyFont="1" applyFill="1" applyBorder="1" applyAlignment="1">
      <alignment horizontal="center" vertical="center"/>
    </xf>
  </cellXfs>
  <cellStyles count="23">
    <cellStyle name="Comma" xfId="16" xr:uid="{00000000-0005-0000-0000-000000000000}"/>
    <cellStyle name="Comma [0]" xfId="11" xr:uid="{00000000-0005-0000-0000-000001000000}"/>
    <cellStyle name="Normal 2" xfId="9" xr:uid="{00000000-0005-0000-0000-000002000000}"/>
    <cellStyle name="Standaard_Packing List(Sample for Hadjret HRSG)" xfId="4" xr:uid="{00000000-0005-0000-0000-000003000000}"/>
    <cellStyle name="쉼표 [0]" xfId="1" builtinId="6"/>
    <cellStyle name="쉼표 [0] 2" xfId="5" xr:uid="{00000000-0005-0000-0000-000005000000}"/>
    <cellStyle name="쉼표 [0] 2 2" xfId="12" xr:uid="{00000000-0005-0000-0000-000006000000}"/>
    <cellStyle name="쉼표 [0] 3" xfId="14" xr:uid="{00000000-0005-0000-0000-000007000000}"/>
    <cellStyle name="쉼표 [0] 4" xfId="18" xr:uid="{00000000-0005-0000-0000-000008000000}"/>
    <cellStyle name="쉼표 [0] 4 2" xfId="8" xr:uid="{00000000-0005-0000-0000-000009000000}"/>
    <cellStyle name="쉼표 2" xfId="7" xr:uid="{00000000-0005-0000-0000-00000A000000}"/>
    <cellStyle name="제목 1" xfId="22" builtinId="16"/>
    <cellStyle name="표준" xfId="0" builtinId="0"/>
    <cellStyle name="표준 2" xfId="2" xr:uid="{00000000-0005-0000-0000-00000D000000}"/>
    <cellStyle name="표준 2 2" xfId="6" xr:uid="{00000000-0005-0000-0000-00000E000000}"/>
    <cellStyle name="표준 2 3" xfId="3" xr:uid="{00000000-0005-0000-0000-00000F000000}"/>
    <cellStyle name="표준 2 4" xfId="19" xr:uid="{00000000-0005-0000-0000-000010000000}"/>
    <cellStyle name="표준 3" xfId="13" xr:uid="{00000000-0005-0000-0000-000011000000}"/>
    <cellStyle name="표준 4" xfId="17" xr:uid="{00000000-0005-0000-0000-000012000000}"/>
    <cellStyle name="표준 4 2" xfId="20" xr:uid="{00000000-0005-0000-0000-000013000000}"/>
    <cellStyle name="표준_080407 3항차 final packing List(r3)통합" xfId="15" xr:uid="{00000000-0005-0000-0000-000014000000}"/>
    <cellStyle name="標準_SpecSheet1" xfId="10" xr:uid="{00000000-0005-0000-0000-000015000000}"/>
    <cellStyle name="하이퍼링크" xfId="21" builtinId="8"/>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2</xdr:col>
      <xdr:colOff>19368</xdr:colOff>
      <xdr:row>2</xdr:row>
      <xdr:rowOff>56639</xdr:rowOff>
    </xdr:to>
    <xdr:pic>
      <xdr:nvPicPr>
        <xdr:cNvPr id="2" name="그림 2">
          <a:extLst>
            <a:ext uri="{FF2B5EF4-FFF2-40B4-BE49-F238E27FC236}">
              <a16:creationId xmlns:a16="http://schemas.microsoft.com/office/drawing/2014/main" id="{FC9F98FE-0C44-4560-942B-15A61BF21A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6061"/>
          <a:ext cx="442822" cy="306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75897</xdr:colOff>
      <xdr:row>48</xdr:row>
      <xdr:rowOff>81945</xdr:rowOff>
    </xdr:from>
    <xdr:to>
      <xdr:col>28</xdr:col>
      <xdr:colOff>324257</xdr:colOff>
      <xdr:row>53</xdr:row>
      <xdr:rowOff>171673</xdr:rowOff>
    </xdr:to>
    <xdr:pic>
      <xdr:nvPicPr>
        <xdr:cNvPr id="3" name="그림 2">
          <a:extLst>
            <a:ext uri="{FF2B5EF4-FFF2-40B4-BE49-F238E27FC236}">
              <a16:creationId xmlns:a16="http://schemas.microsoft.com/office/drawing/2014/main" id="{45E91D62-0D98-4D12-B6A7-51D57328B25B}"/>
            </a:ext>
          </a:extLst>
        </xdr:cNvPr>
        <xdr:cNvPicPr>
          <a:picLocks noChangeAspect="1"/>
        </xdr:cNvPicPr>
      </xdr:nvPicPr>
      <xdr:blipFill>
        <a:blip xmlns:r="http://schemas.openxmlformats.org/officeDocument/2006/relationships" r:embed="rId2"/>
        <a:stretch>
          <a:fillRect/>
        </a:stretch>
      </xdr:blipFill>
      <xdr:spPr>
        <a:xfrm>
          <a:off x="5910640" y="9495911"/>
          <a:ext cx="1929114" cy="689530"/>
        </a:xfrm>
        <a:prstGeom prst="rect">
          <a:avLst/>
        </a:prstGeom>
      </xdr:spPr>
    </xdr:pic>
    <xdr:clientData/>
  </xdr:twoCellAnchor>
  <xdr:twoCellAnchor editAs="oneCell">
    <xdr:from>
      <xdr:col>28</xdr:col>
      <xdr:colOff>340480</xdr:colOff>
      <xdr:row>46</xdr:row>
      <xdr:rowOff>74083</xdr:rowOff>
    </xdr:from>
    <xdr:to>
      <xdr:col>28</xdr:col>
      <xdr:colOff>1428780</xdr:colOff>
      <xdr:row>54</xdr:row>
      <xdr:rowOff>95052</xdr:rowOff>
    </xdr:to>
    <xdr:pic>
      <xdr:nvPicPr>
        <xdr:cNvPr id="4" name="그림 3">
          <a:extLst>
            <a:ext uri="{FF2B5EF4-FFF2-40B4-BE49-F238E27FC236}">
              <a16:creationId xmlns:a16="http://schemas.microsoft.com/office/drawing/2014/main" id="{E547B924-8EC2-4B5E-866E-1746CF8115C9}"/>
            </a:ext>
          </a:extLst>
        </xdr:cNvPr>
        <xdr:cNvPicPr>
          <a:picLocks noChangeAspect="1"/>
        </xdr:cNvPicPr>
      </xdr:nvPicPr>
      <xdr:blipFill>
        <a:blip xmlns:r="http://schemas.openxmlformats.org/officeDocument/2006/relationships" r:embed="rId3"/>
        <a:stretch>
          <a:fillRect/>
        </a:stretch>
      </xdr:blipFill>
      <xdr:spPr>
        <a:xfrm>
          <a:off x="7857066" y="9250740"/>
          <a:ext cx="1087211" cy="108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2406015</xdr:colOff>
      <xdr:row>0</xdr:row>
      <xdr:rowOff>0</xdr:rowOff>
    </xdr:from>
    <xdr:to>
      <xdr:col>8</xdr:col>
      <xdr:colOff>2375</xdr:colOff>
      <xdr:row>0</xdr:row>
      <xdr:rowOff>0</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6377940" y="0"/>
          <a:ext cx="872156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2406015</xdr:colOff>
      <xdr:row>0</xdr:row>
      <xdr:rowOff>0</xdr:rowOff>
    </xdr:from>
    <xdr:to>
      <xdr:col>8</xdr:col>
      <xdr:colOff>2375</xdr:colOff>
      <xdr:row>0</xdr:row>
      <xdr:rowOff>0</xdr:rowOff>
    </xdr:to>
    <xdr:sp macro="" textlink="">
      <xdr:nvSpPr>
        <xdr:cNvPr id="3" name="Text Box 3">
          <a:extLst>
            <a:ext uri="{FF2B5EF4-FFF2-40B4-BE49-F238E27FC236}">
              <a16:creationId xmlns:a16="http://schemas.microsoft.com/office/drawing/2014/main" id="{00000000-0008-0000-0100-000003000000}"/>
            </a:ext>
          </a:extLst>
        </xdr:cNvPr>
        <xdr:cNvSpPr txBox="1">
          <a:spLocks noChangeArrowheads="1"/>
        </xdr:cNvSpPr>
      </xdr:nvSpPr>
      <xdr:spPr bwMode="auto">
        <a:xfrm>
          <a:off x="6377940" y="0"/>
          <a:ext cx="872156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editAs="oneCell">
    <xdr:from>
      <xdr:col>0</xdr:col>
      <xdr:colOff>0</xdr:colOff>
      <xdr:row>0</xdr:row>
      <xdr:rowOff>28575</xdr:rowOff>
    </xdr:from>
    <xdr:to>
      <xdr:col>1</xdr:col>
      <xdr:colOff>552027</xdr:colOff>
      <xdr:row>2</xdr:row>
      <xdr:rowOff>94161</xdr:rowOff>
    </xdr:to>
    <xdr:pic>
      <xdr:nvPicPr>
        <xdr:cNvPr id="4" name="그림 4">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148221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149078</xdr:colOff>
      <xdr:row>2</xdr:row>
      <xdr:rowOff>72481</xdr:rowOff>
    </xdr:to>
    <xdr:pic>
      <xdr:nvPicPr>
        <xdr:cNvPr id="2" name="그림 2">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1064022" cy="32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211312</xdr:colOff>
      <xdr:row>50</xdr:row>
      <xdr:rowOff>132207</xdr:rowOff>
    </xdr:from>
    <xdr:to>
      <xdr:col>27</xdr:col>
      <xdr:colOff>268899</xdr:colOff>
      <xdr:row>55</xdr:row>
      <xdr:rowOff>52390</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160034" y="9826896"/>
          <a:ext cx="1942353" cy="750442"/>
        </a:xfrm>
        <a:prstGeom prst="rect">
          <a:avLst/>
        </a:prstGeom>
      </xdr:spPr>
    </xdr:pic>
    <xdr:clientData/>
  </xdr:twoCellAnchor>
  <xdr:twoCellAnchor editAs="oneCell">
    <xdr:from>
      <xdr:col>27</xdr:col>
      <xdr:colOff>275654</xdr:colOff>
      <xdr:row>48</xdr:row>
      <xdr:rowOff>63501</xdr:rowOff>
    </xdr:from>
    <xdr:to>
      <xdr:col>28</xdr:col>
      <xdr:colOff>1008700</xdr:colOff>
      <xdr:row>55</xdr:row>
      <xdr:rowOff>56621</xdr:rowOff>
    </xdr:to>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8106965" y="9450829"/>
          <a:ext cx="1074602" cy="11350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110</xdr:row>
      <xdr:rowOff>0</xdr:rowOff>
    </xdr:from>
    <xdr:to>
      <xdr:col>11</xdr:col>
      <xdr:colOff>24779</xdr:colOff>
      <xdr:row>110</xdr:row>
      <xdr:rowOff>0</xdr:rowOff>
    </xdr:to>
    <xdr:sp macro="" textlink="">
      <xdr:nvSpPr>
        <xdr:cNvPr id="2" name="Text Box 3">
          <a:extLst>
            <a:ext uri="{FF2B5EF4-FFF2-40B4-BE49-F238E27FC236}">
              <a16:creationId xmlns:a16="http://schemas.microsoft.com/office/drawing/2014/main" id="{00000000-0008-0000-0300-000002000000}"/>
            </a:ext>
          </a:extLst>
        </xdr:cNvPr>
        <xdr:cNvSpPr txBox="1">
          <a:spLocks noChangeArrowheads="1"/>
        </xdr:cNvSpPr>
      </xdr:nvSpPr>
      <xdr:spPr bwMode="auto">
        <a:xfrm>
          <a:off x="3898900" y="10109200"/>
          <a:ext cx="7514604"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4</xdr:col>
      <xdr:colOff>0</xdr:colOff>
      <xdr:row>110</xdr:row>
      <xdr:rowOff>0</xdr:rowOff>
    </xdr:from>
    <xdr:to>
      <xdr:col>11</xdr:col>
      <xdr:colOff>24779</xdr:colOff>
      <xdr:row>110</xdr:row>
      <xdr:rowOff>0</xdr:rowOff>
    </xdr:to>
    <xdr:sp macro="" textlink="">
      <xdr:nvSpPr>
        <xdr:cNvPr id="3" name="Text Box 4">
          <a:extLst>
            <a:ext uri="{FF2B5EF4-FFF2-40B4-BE49-F238E27FC236}">
              <a16:creationId xmlns:a16="http://schemas.microsoft.com/office/drawing/2014/main" id="{00000000-0008-0000-0300-000003000000}"/>
            </a:ext>
          </a:extLst>
        </xdr:cNvPr>
        <xdr:cNvSpPr txBox="1">
          <a:spLocks noChangeArrowheads="1"/>
        </xdr:cNvSpPr>
      </xdr:nvSpPr>
      <xdr:spPr bwMode="auto">
        <a:xfrm>
          <a:off x="3898900" y="10109200"/>
          <a:ext cx="7514604"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4</xdr:col>
      <xdr:colOff>0</xdr:colOff>
      <xdr:row>110</xdr:row>
      <xdr:rowOff>0</xdr:rowOff>
    </xdr:from>
    <xdr:to>
      <xdr:col>11</xdr:col>
      <xdr:colOff>24779</xdr:colOff>
      <xdr:row>110</xdr:row>
      <xdr:rowOff>0</xdr:rowOff>
    </xdr:to>
    <xdr:sp macro="" textlink="">
      <xdr:nvSpPr>
        <xdr:cNvPr id="4" name="Text Box 5">
          <a:extLst>
            <a:ext uri="{FF2B5EF4-FFF2-40B4-BE49-F238E27FC236}">
              <a16:creationId xmlns:a16="http://schemas.microsoft.com/office/drawing/2014/main" id="{00000000-0008-0000-0300-000004000000}"/>
            </a:ext>
          </a:extLst>
        </xdr:cNvPr>
        <xdr:cNvSpPr txBox="1">
          <a:spLocks noChangeArrowheads="1"/>
        </xdr:cNvSpPr>
      </xdr:nvSpPr>
      <xdr:spPr bwMode="auto">
        <a:xfrm>
          <a:off x="3898900" y="10109200"/>
          <a:ext cx="7514604"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editAs="oneCell">
    <xdr:from>
      <xdr:col>0</xdr:col>
      <xdr:colOff>0</xdr:colOff>
      <xdr:row>0</xdr:row>
      <xdr:rowOff>1</xdr:rowOff>
    </xdr:from>
    <xdr:to>
      <xdr:col>1</xdr:col>
      <xdr:colOff>55366</xdr:colOff>
      <xdr:row>2</xdr:row>
      <xdr:rowOff>18626</xdr:rowOff>
    </xdr:to>
    <xdr:pic>
      <xdr:nvPicPr>
        <xdr:cNvPr id="6" name="그림 6">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437905" cy="41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88900</xdr:colOff>
      <xdr:row>4</xdr:row>
      <xdr:rowOff>5334</xdr:rowOff>
    </xdr:from>
    <xdr:to>
      <xdr:col>22</xdr:col>
      <xdr:colOff>440325</xdr:colOff>
      <xdr:row>7</xdr:row>
      <xdr:rowOff>178775</xdr:rowOff>
    </xdr:to>
    <xdr:pic>
      <xdr:nvPicPr>
        <xdr:cNvPr id="7" name="그림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xfrm>
          <a:off x="20021550" y="792734"/>
          <a:ext cx="5801313" cy="12545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98123</xdr:colOff>
      <xdr:row>2</xdr:row>
      <xdr:rowOff>112060</xdr:rowOff>
    </xdr:to>
    <xdr:pic>
      <xdr:nvPicPr>
        <xdr:cNvPr id="5" name="그림 6">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445955" cy="41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145116</xdr:colOff>
      <xdr:row>5</xdr:row>
      <xdr:rowOff>14942</xdr:rowOff>
    </xdr:from>
    <xdr:to>
      <xdr:col>20</xdr:col>
      <xdr:colOff>135277</xdr:colOff>
      <xdr:row>7</xdr:row>
      <xdr:rowOff>83846</xdr:rowOff>
    </xdr:to>
    <xdr:pic>
      <xdr:nvPicPr>
        <xdr:cNvPr id="6" name="그림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tretch>
          <a:fillRect/>
        </a:stretch>
      </xdr:blipFill>
      <xdr:spPr>
        <a:xfrm>
          <a:off x="26068356" y="776942"/>
          <a:ext cx="4379190" cy="944206"/>
        </a:xfrm>
        <a:prstGeom prst="rect">
          <a:avLst/>
        </a:prstGeom>
      </xdr:spPr>
    </xdr:pic>
    <xdr:clientData/>
  </xdr:twoCellAnchor>
  <xdr:twoCellAnchor>
    <xdr:from>
      <xdr:col>3</xdr:col>
      <xdr:colOff>0</xdr:colOff>
      <xdr:row>432</xdr:row>
      <xdr:rowOff>0</xdr:rowOff>
    </xdr:from>
    <xdr:to>
      <xdr:col>10</xdr:col>
      <xdr:colOff>24779</xdr:colOff>
      <xdr:row>432</xdr:row>
      <xdr:rowOff>0</xdr:rowOff>
    </xdr:to>
    <xdr:sp macro="" textlink="">
      <xdr:nvSpPr>
        <xdr:cNvPr id="4" name="Text Box 3">
          <a:extLst>
            <a:ext uri="{FF2B5EF4-FFF2-40B4-BE49-F238E27FC236}">
              <a16:creationId xmlns:a16="http://schemas.microsoft.com/office/drawing/2014/main" id="{00000000-0008-0000-0400-000004000000}"/>
            </a:ext>
          </a:extLst>
        </xdr:cNvPr>
        <xdr:cNvSpPr txBox="1">
          <a:spLocks noChangeArrowheads="1"/>
        </xdr:cNvSpPr>
      </xdr:nvSpPr>
      <xdr:spPr bwMode="auto">
        <a:xfrm>
          <a:off x="8915400" y="18074640"/>
          <a:ext cx="7058039"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3</xdr:col>
      <xdr:colOff>0</xdr:colOff>
      <xdr:row>432</xdr:row>
      <xdr:rowOff>0</xdr:rowOff>
    </xdr:from>
    <xdr:to>
      <xdr:col>10</xdr:col>
      <xdr:colOff>24779</xdr:colOff>
      <xdr:row>432</xdr:row>
      <xdr:rowOff>0</xdr:rowOff>
    </xdr:to>
    <xdr:sp macro="" textlink="">
      <xdr:nvSpPr>
        <xdr:cNvPr id="7" name="Text Box 4">
          <a:extLst>
            <a:ext uri="{FF2B5EF4-FFF2-40B4-BE49-F238E27FC236}">
              <a16:creationId xmlns:a16="http://schemas.microsoft.com/office/drawing/2014/main" id="{00000000-0008-0000-0400-000007000000}"/>
            </a:ext>
          </a:extLst>
        </xdr:cNvPr>
        <xdr:cNvSpPr txBox="1">
          <a:spLocks noChangeArrowheads="1"/>
        </xdr:cNvSpPr>
      </xdr:nvSpPr>
      <xdr:spPr bwMode="auto">
        <a:xfrm>
          <a:off x="8915400" y="18074640"/>
          <a:ext cx="7058039"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3</xdr:col>
      <xdr:colOff>0</xdr:colOff>
      <xdr:row>432</xdr:row>
      <xdr:rowOff>0</xdr:rowOff>
    </xdr:from>
    <xdr:to>
      <xdr:col>10</xdr:col>
      <xdr:colOff>24779</xdr:colOff>
      <xdr:row>432</xdr:row>
      <xdr:rowOff>0</xdr:rowOff>
    </xdr:to>
    <xdr:sp macro="" textlink="">
      <xdr:nvSpPr>
        <xdr:cNvPr id="8" name="Text Box 5">
          <a:extLst>
            <a:ext uri="{FF2B5EF4-FFF2-40B4-BE49-F238E27FC236}">
              <a16:creationId xmlns:a16="http://schemas.microsoft.com/office/drawing/2014/main" id="{00000000-0008-0000-0400-000008000000}"/>
            </a:ext>
          </a:extLst>
        </xdr:cNvPr>
        <xdr:cNvSpPr txBox="1">
          <a:spLocks noChangeArrowheads="1"/>
        </xdr:cNvSpPr>
      </xdr:nvSpPr>
      <xdr:spPr bwMode="auto">
        <a:xfrm>
          <a:off x="8915400" y="18074640"/>
          <a:ext cx="7058039"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3</xdr:col>
      <xdr:colOff>0</xdr:colOff>
      <xdr:row>460</xdr:row>
      <xdr:rowOff>0</xdr:rowOff>
    </xdr:from>
    <xdr:to>
      <xdr:col>10</xdr:col>
      <xdr:colOff>24779</xdr:colOff>
      <xdr:row>460</xdr:row>
      <xdr:rowOff>0</xdr:rowOff>
    </xdr:to>
    <xdr:sp macro="" textlink="">
      <xdr:nvSpPr>
        <xdr:cNvPr id="9" name="Text Box 3">
          <a:extLst>
            <a:ext uri="{FF2B5EF4-FFF2-40B4-BE49-F238E27FC236}">
              <a16:creationId xmlns:a16="http://schemas.microsoft.com/office/drawing/2014/main" id="{00000000-0008-0000-0400-000009000000}"/>
            </a:ext>
          </a:extLst>
        </xdr:cNvPr>
        <xdr:cNvSpPr txBox="1">
          <a:spLocks noChangeArrowheads="1"/>
        </xdr:cNvSpPr>
      </xdr:nvSpPr>
      <xdr:spPr bwMode="auto">
        <a:xfrm>
          <a:off x="8915400" y="26509980"/>
          <a:ext cx="7058039"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3</xdr:col>
      <xdr:colOff>0</xdr:colOff>
      <xdr:row>460</xdr:row>
      <xdr:rowOff>0</xdr:rowOff>
    </xdr:from>
    <xdr:to>
      <xdr:col>10</xdr:col>
      <xdr:colOff>24779</xdr:colOff>
      <xdr:row>460</xdr:row>
      <xdr:rowOff>0</xdr:rowOff>
    </xdr:to>
    <xdr:sp macro="" textlink="">
      <xdr:nvSpPr>
        <xdr:cNvPr id="10" name="Text Box 4">
          <a:extLst>
            <a:ext uri="{FF2B5EF4-FFF2-40B4-BE49-F238E27FC236}">
              <a16:creationId xmlns:a16="http://schemas.microsoft.com/office/drawing/2014/main" id="{00000000-0008-0000-0400-00000A000000}"/>
            </a:ext>
          </a:extLst>
        </xdr:cNvPr>
        <xdr:cNvSpPr txBox="1">
          <a:spLocks noChangeArrowheads="1"/>
        </xdr:cNvSpPr>
      </xdr:nvSpPr>
      <xdr:spPr bwMode="auto">
        <a:xfrm>
          <a:off x="8915400" y="26509980"/>
          <a:ext cx="7058039"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38169</xdr:colOff>
      <xdr:row>2</xdr:row>
      <xdr:rowOff>112060</xdr:rowOff>
    </xdr:to>
    <xdr:pic>
      <xdr:nvPicPr>
        <xdr:cNvPr id="2" name="그림 6">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444141" cy="41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145116</xdr:colOff>
      <xdr:row>5</xdr:row>
      <xdr:rowOff>14942</xdr:rowOff>
    </xdr:from>
    <xdr:to>
      <xdr:col>20</xdr:col>
      <xdr:colOff>131467</xdr:colOff>
      <xdr:row>7</xdr:row>
      <xdr:rowOff>92281</xdr:rowOff>
    </xdr:to>
    <xdr:pic>
      <xdr:nvPicPr>
        <xdr:cNvPr id="3" name="그림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26121696" y="776942"/>
          <a:ext cx="4371661" cy="9407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0</xdr:colOff>
      <xdr:row>114</xdr:row>
      <xdr:rowOff>0</xdr:rowOff>
    </xdr:from>
    <xdr:to>
      <xdr:col>7</xdr:col>
      <xdr:colOff>15875</xdr:colOff>
      <xdr:row>114</xdr:row>
      <xdr:rowOff>3836</xdr:rowOff>
    </xdr:to>
    <xdr:pic>
      <xdr:nvPicPr>
        <xdr:cNvPr id="2" name="图片 5">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909050" y="5949950"/>
          <a:ext cx="1565275" cy="383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kipshakbayeva@wiselogistics.kz"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201AB-135C-46D2-9527-3ABBC5B030A5}">
  <sheetPr>
    <tabColor rgb="FF00B0F0"/>
  </sheetPr>
  <dimension ref="A1:AE59"/>
  <sheetViews>
    <sheetView showGridLines="0" view="pageBreakPreview" zoomScale="85" zoomScaleNormal="100" zoomScaleSheetLayoutView="85" workbookViewId="0">
      <selection activeCell="AH17" sqref="AH17"/>
    </sheetView>
  </sheetViews>
  <sheetFormatPr defaultRowHeight="17.399999999999999"/>
  <cols>
    <col min="1" max="1" width="2.59765625" style="5" customWidth="1"/>
    <col min="2" max="6" width="3" style="5" customWidth="1"/>
    <col min="7" max="7" width="4" style="5" customWidth="1"/>
    <col min="8" max="8" width="8.69921875" style="5"/>
    <col min="9" max="16" width="3" style="5" customWidth="1"/>
    <col min="17" max="17" width="6.5" style="5" customWidth="1"/>
    <col min="18" max="18" width="3.3984375" style="5" customWidth="1"/>
    <col min="19" max="20" width="2.59765625" style="5" customWidth="1"/>
    <col min="21" max="22" width="3.3984375" style="5" customWidth="1"/>
    <col min="23" max="25" width="3.8984375" style="5" customWidth="1"/>
    <col min="26" max="28" width="3.3984375" style="5" customWidth="1"/>
    <col min="29" max="29" width="23.69921875" style="5" customWidth="1"/>
    <col min="30" max="30" width="0.69921875" customWidth="1"/>
  </cols>
  <sheetData>
    <row r="1" spans="1:29" ht="12" customHeight="1">
      <c r="A1" s="45"/>
      <c r="B1" s="46"/>
      <c r="C1" s="46"/>
      <c r="D1" s="46"/>
      <c r="E1" s="46"/>
      <c r="F1" s="46"/>
      <c r="G1" s="46"/>
      <c r="H1" s="46"/>
      <c r="I1" s="46"/>
      <c r="J1" s="46"/>
      <c r="K1" s="46"/>
      <c r="L1" s="46"/>
      <c r="M1" s="46"/>
      <c r="N1" s="46"/>
      <c r="O1" s="46"/>
      <c r="P1" s="46"/>
      <c r="Q1" s="46"/>
      <c r="R1" s="46"/>
      <c r="S1" s="46"/>
      <c r="T1" s="46"/>
      <c r="U1" s="46"/>
      <c r="V1" s="46"/>
      <c r="W1" s="46" t="s">
        <v>0</v>
      </c>
      <c r="X1" s="46"/>
      <c r="Y1" s="46"/>
      <c r="Z1" s="46"/>
      <c r="AA1" s="46"/>
      <c r="AB1" s="46"/>
      <c r="AC1" s="47"/>
    </row>
    <row r="2" spans="1:29" ht="12" customHeight="1">
      <c r="A2" s="48"/>
      <c r="W2" s="5" t="s">
        <v>1</v>
      </c>
      <c r="AC2" s="49"/>
    </row>
    <row r="3" spans="1:29" ht="12" customHeight="1">
      <c r="A3" s="48"/>
      <c r="W3" s="5" t="s">
        <v>2</v>
      </c>
      <c r="AC3" s="49"/>
    </row>
    <row r="4" spans="1:29" ht="12" customHeight="1">
      <c r="A4" s="48"/>
      <c r="W4" s="5" t="s">
        <v>3</v>
      </c>
      <c r="AC4" s="49"/>
    </row>
    <row r="5" spans="1:29" ht="12" customHeight="1">
      <c r="A5" s="48"/>
      <c r="W5" s="5" t="s">
        <v>4</v>
      </c>
      <c r="AC5" s="49"/>
    </row>
    <row r="6" spans="1:29" ht="44.7" customHeight="1">
      <c r="A6" s="480" t="s">
        <v>5</v>
      </c>
      <c r="B6" s="481"/>
      <c r="C6" s="481"/>
      <c r="D6" s="481"/>
      <c r="E6" s="481"/>
      <c r="F6" s="481"/>
      <c r="G6" s="481"/>
      <c r="H6" s="481"/>
      <c r="I6" s="481"/>
      <c r="J6" s="481"/>
      <c r="K6" s="481"/>
      <c r="L6" s="481"/>
      <c r="M6" s="481"/>
      <c r="N6" s="481"/>
      <c r="O6" s="481"/>
      <c r="P6" s="481"/>
      <c r="Q6" s="481"/>
      <c r="R6" s="481"/>
      <c r="S6" s="481"/>
      <c r="T6" s="481"/>
      <c r="U6" s="481"/>
      <c r="V6" s="481"/>
      <c r="W6" s="481"/>
      <c r="X6" s="481"/>
      <c r="Y6" s="481"/>
      <c r="Z6" s="481"/>
      <c r="AA6" s="481"/>
      <c r="AB6" s="481"/>
      <c r="AC6" s="482"/>
    </row>
    <row r="7" spans="1:29" ht="12" customHeight="1" thickBot="1">
      <c r="A7" s="50"/>
      <c r="B7" s="51"/>
      <c r="C7" s="51"/>
      <c r="D7" s="51"/>
      <c r="E7" s="51"/>
      <c r="F7" s="51"/>
      <c r="G7" s="51"/>
      <c r="H7" s="51"/>
      <c r="I7" s="51"/>
      <c r="J7" s="51"/>
      <c r="K7" s="51"/>
      <c r="L7" s="51"/>
      <c r="M7" s="51"/>
      <c r="N7" s="51"/>
      <c r="O7" s="51"/>
      <c r="P7" s="51"/>
      <c r="Q7" s="51"/>
      <c r="R7" s="51"/>
      <c r="S7" s="51"/>
      <c r="T7" s="51"/>
      <c r="U7" s="51"/>
      <c r="V7" s="51"/>
      <c r="W7" s="51"/>
      <c r="X7" s="51"/>
      <c r="Y7" s="51"/>
      <c r="Z7" s="51"/>
      <c r="AA7" s="51"/>
      <c r="AB7" s="51"/>
      <c r="AC7" s="52"/>
    </row>
    <row r="8" spans="1:29" ht="15.75" customHeight="1">
      <c r="A8" s="53" t="s">
        <v>6</v>
      </c>
      <c r="B8" s="54"/>
      <c r="C8" s="54"/>
      <c r="D8" s="54"/>
      <c r="E8" s="54"/>
      <c r="F8" s="54"/>
      <c r="G8" s="54"/>
      <c r="H8" s="54"/>
      <c r="I8" s="54"/>
      <c r="J8" s="54"/>
      <c r="K8" s="54"/>
      <c r="L8" s="54"/>
      <c r="M8" s="54"/>
      <c r="N8" s="54"/>
      <c r="O8" s="54"/>
      <c r="P8" s="54"/>
      <c r="Q8" s="55"/>
      <c r="R8" s="56" t="s">
        <v>7</v>
      </c>
      <c r="S8" s="54"/>
      <c r="T8" s="54"/>
      <c r="U8" s="56"/>
      <c r="V8" s="483" t="s">
        <v>8</v>
      </c>
      <c r="W8" s="483"/>
      <c r="X8" s="483"/>
      <c r="Y8" s="483"/>
      <c r="Z8" s="483"/>
      <c r="AA8" s="54"/>
      <c r="AB8" s="54"/>
      <c r="AC8" s="137"/>
    </row>
    <row r="9" spans="1:29" ht="15.75" customHeight="1">
      <c r="A9" s="57"/>
      <c r="B9" s="85" t="s">
        <v>9</v>
      </c>
      <c r="C9" s="17"/>
      <c r="D9" s="17"/>
      <c r="E9" s="17"/>
      <c r="F9" s="17"/>
      <c r="G9" s="17"/>
      <c r="H9" s="17"/>
      <c r="I9" s="17"/>
      <c r="J9" s="17"/>
      <c r="K9" s="17"/>
      <c r="L9" s="17"/>
      <c r="M9" s="17"/>
      <c r="N9" s="17"/>
      <c r="O9" s="17"/>
      <c r="P9" s="17"/>
      <c r="Q9" s="73"/>
      <c r="R9" s="71" t="s">
        <v>10</v>
      </c>
      <c r="S9" s="59"/>
      <c r="T9" s="59"/>
      <c r="U9" s="59"/>
      <c r="V9" s="59"/>
      <c r="W9" s="59"/>
      <c r="X9" s="59"/>
      <c r="Y9" s="59"/>
      <c r="Z9" s="59"/>
      <c r="AA9" s="59"/>
      <c r="AB9" s="59"/>
      <c r="AC9" s="138"/>
    </row>
    <row r="10" spans="1:29" ht="15.75" customHeight="1">
      <c r="A10" s="57"/>
      <c r="B10" s="17" t="s">
        <v>11</v>
      </c>
      <c r="C10" s="17"/>
      <c r="D10" s="17"/>
      <c r="E10" s="17"/>
      <c r="F10" s="17"/>
      <c r="G10" s="17"/>
      <c r="H10" s="17"/>
      <c r="I10" s="17"/>
      <c r="J10" s="17"/>
      <c r="K10" s="17"/>
      <c r="L10" s="17"/>
      <c r="M10" s="17"/>
      <c r="N10" s="17"/>
      <c r="O10" s="17"/>
      <c r="P10" s="17"/>
      <c r="Q10" s="58"/>
      <c r="R10" s="85" t="s">
        <v>12</v>
      </c>
      <c r="S10" s="17"/>
      <c r="T10" s="17"/>
      <c r="U10" s="17"/>
      <c r="V10" s="484">
        <v>45566</v>
      </c>
      <c r="W10" s="484"/>
      <c r="X10" s="484"/>
      <c r="Y10" s="484"/>
      <c r="Z10" s="484"/>
      <c r="AA10" s="17"/>
      <c r="AB10" s="17"/>
      <c r="AC10" s="60"/>
    </row>
    <row r="11" spans="1:29" ht="15.75" customHeight="1">
      <c r="A11" s="61"/>
      <c r="B11" s="59" t="s">
        <v>13</v>
      </c>
      <c r="C11" s="59"/>
      <c r="D11" s="59"/>
      <c r="E11" s="59"/>
      <c r="F11" s="59"/>
      <c r="G11" s="59"/>
      <c r="H11" s="59"/>
      <c r="I11" s="59"/>
      <c r="J11" s="59"/>
      <c r="K11" s="59"/>
      <c r="L11" s="59"/>
      <c r="M11" s="59"/>
      <c r="N11" s="59"/>
      <c r="O11" s="59"/>
      <c r="P11" s="59"/>
      <c r="Q11" s="62"/>
      <c r="R11" s="71" t="s">
        <v>14</v>
      </c>
      <c r="S11" s="59"/>
      <c r="T11" s="59"/>
      <c r="U11" s="59"/>
      <c r="V11" s="59"/>
      <c r="W11" s="59"/>
      <c r="X11" s="59"/>
      <c r="Y11" s="59"/>
      <c r="Z11" s="59"/>
      <c r="AA11" s="59"/>
      <c r="AB11" s="59"/>
      <c r="AC11" s="138"/>
    </row>
    <row r="12" spans="1:29" ht="15.75" customHeight="1">
      <c r="A12" s="63" t="s">
        <v>15</v>
      </c>
      <c r="B12" s="17"/>
      <c r="C12" s="17"/>
      <c r="D12" s="17"/>
      <c r="E12" s="17"/>
      <c r="F12" s="17"/>
      <c r="G12" s="17"/>
      <c r="H12" s="17"/>
      <c r="I12" s="17"/>
      <c r="J12" s="17"/>
      <c r="K12" s="17"/>
      <c r="L12" s="17"/>
      <c r="M12" s="17"/>
      <c r="N12" s="17"/>
      <c r="O12" s="17"/>
      <c r="P12" s="17"/>
      <c r="Q12" s="58"/>
      <c r="R12" s="85" t="s">
        <v>16</v>
      </c>
      <c r="S12" s="17"/>
      <c r="T12" s="17"/>
      <c r="U12" s="17"/>
      <c r="V12" s="17"/>
      <c r="W12" s="17"/>
      <c r="X12" s="17"/>
      <c r="Y12" s="17"/>
      <c r="Z12" s="17"/>
      <c r="AA12" s="17"/>
      <c r="AB12" s="17"/>
      <c r="AC12" s="60"/>
    </row>
    <row r="13" spans="1:29" ht="15.75" customHeight="1">
      <c r="A13" s="57"/>
      <c r="B13" s="85" t="s">
        <v>17</v>
      </c>
      <c r="C13" s="17"/>
      <c r="D13" s="17"/>
      <c r="E13" s="17"/>
      <c r="F13" s="17"/>
      <c r="G13" s="17"/>
      <c r="H13" s="17"/>
      <c r="I13" s="17"/>
      <c r="J13" s="17"/>
      <c r="K13" s="17"/>
      <c r="L13" s="17"/>
      <c r="M13" s="17"/>
      <c r="N13" s="17"/>
      <c r="O13" s="17"/>
      <c r="P13" s="17"/>
      <c r="Q13" s="58"/>
      <c r="R13" s="17"/>
      <c r="S13" s="449"/>
      <c r="T13" s="449"/>
      <c r="U13" s="449"/>
      <c r="V13" s="449"/>
      <c r="W13" s="449"/>
      <c r="X13" s="449"/>
      <c r="Y13" s="449"/>
      <c r="Z13" s="449"/>
      <c r="AA13" s="449"/>
      <c r="AB13" s="449"/>
      <c r="AC13" s="450"/>
    </row>
    <row r="14" spans="1:29" ht="15.75" customHeight="1">
      <c r="A14" s="63"/>
      <c r="B14" s="17" t="s">
        <v>18</v>
      </c>
      <c r="C14" s="17"/>
      <c r="D14" s="17"/>
      <c r="E14" s="17"/>
      <c r="F14" s="17"/>
      <c r="G14" s="17"/>
      <c r="H14" s="17"/>
      <c r="I14" s="17"/>
      <c r="J14" s="17"/>
      <c r="K14" s="17"/>
      <c r="L14" s="17"/>
      <c r="M14" s="17"/>
      <c r="N14" s="17"/>
      <c r="O14" s="17"/>
      <c r="P14" s="17"/>
      <c r="Q14" s="58"/>
      <c r="R14" s="85"/>
      <c r="S14" s="87" t="s">
        <v>19</v>
      </c>
      <c r="T14" s="17"/>
      <c r="U14" s="17"/>
      <c r="V14" s="17"/>
      <c r="W14" s="17"/>
      <c r="X14" s="17"/>
      <c r="Y14" s="17"/>
      <c r="Z14" s="17"/>
      <c r="AA14" s="17"/>
      <c r="AB14" s="17"/>
      <c r="AC14" s="60"/>
    </row>
    <row r="15" spans="1:29" ht="15.75" customHeight="1">
      <c r="A15" s="57"/>
      <c r="B15" s="17" t="s">
        <v>20</v>
      </c>
      <c r="C15" s="17"/>
      <c r="D15" s="17"/>
      <c r="E15" s="17"/>
      <c r="F15" s="17"/>
      <c r="G15" s="17"/>
      <c r="H15" s="17"/>
      <c r="I15" s="17"/>
      <c r="J15" s="17"/>
      <c r="K15" s="17"/>
      <c r="L15" s="17"/>
      <c r="M15" s="17"/>
      <c r="N15" s="17"/>
      <c r="O15" s="17"/>
      <c r="P15" s="17"/>
      <c r="Q15" s="58"/>
      <c r="R15" s="85"/>
      <c r="S15" s="485" t="s">
        <v>21</v>
      </c>
      <c r="T15" s="485"/>
      <c r="U15" s="485"/>
      <c r="V15" s="485"/>
      <c r="W15" s="485"/>
      <c r="X15" s="485"/>
      <c r="Y15" s="485"/>
      <c r="Z15" s="485"/>
      <c r="AA15" s="485"/>
      <c r="AB15" s="485"/>
      <c r="AC15" s="486"/>
    </row>
    <row r="16" spans="1:29" ht="15.75" customHeight="1">
      <c r="A16" s="57"/>
      <c r="B16" s="17"/>
      <c r="C16" s="17"/>
      <c r="D16" s="17"/>
      <c r="E16" s="17"/>
      <c r="F16" s="17"/>
      <c r="G16" s="17"/>
      <c r="H16" s="17"/>
      <c r="I16" s="17"/>
      <c r="J16" s="17"/>
      <c r="K16" s="17"/>
      <c r="L16" s="17"/>
      <c r="M16" s="17"/>
      <c r="N16" s="17"/>
      <c r="O16" s="17"/>
      <c r="P16" s="17"/>
      <c r="Q16" s="58"/>
      <c r="R16" s="85"/>
      <c r="S16" s="487" t="s">
        <v>22</v>
      </c>
      <c r="T16" s="487"/>
      <c r="U16" s="487"/>
      <c r="V16" s="487"/>
      <c r="W16" s="487"/>
      <c r="X16" s="487"/>
      <c r="Y16" s="487"/>
      <c r="Z16" s="487"/>
      <c r="AA16" s="487"/>
      <c r="AB16" s="487"/>
      <c r="AC16" s="488"/>
    </row>
    <row r="17" spans="1:29" ht="15.75" customHeight="1">
      <c r="A17" s="57"/>
      <c r="B17" s="156"/>
      <c r="C17" s="17"/>
      <c r="D17" s="17"/>
      <c r="E17" s="17"/>
      <c r="F17" s="17"/>
      <c r="G17" s="17"/>
      <c r="H17" s="17"/>
      <c r="I17" s="17"/>
      <c r="J17" s="17"/>
      <c r="K17" s="17"/>
      <c r="L17" s="17"/>
      <c r="M17" s="17"/>
      <c r="N17" s="17"/>
      <c r="O17" s="17"/>
      <c r="P17" s="17"/>
      <c r="Q17" s="58"/>
      <c r="R17" s="85"/>
      <c r="S17" s="87" t="s">
        <v>23</v>
      </c>
      <c r="T17" s="17"/>
      <c r="U17" s="17"/>
      <c r="V17" s="17"/>
      <c r="W17" s="17"/>
      <c r="X17" s="17"/>
      <c r="Y17" s="17"/>
      <c r="Z17" s="17"/>
      <c r="AA17" s="17"/>
      <c r="AB17" s="17"/>
      <c r="AC17" s="60"/>
    </row>
    <row r="18" spans="1:29" ht="15.75" customHeight="1">
      <c r="A18" s="61"/>
      <c r="B18" s="177"/>
      <c r="C18" s="59"/>
      <c r="D18" s="59"/>
      <c r="E18" s="59"/>
      <c r="F18" s="59"/>
      <c r="G18" s="59"/>
      <c r="H18" s="59"/>
      <c r="I18" s="59"/>
      <c r="J18" s="59"/>
      <c r="K18" s="59"/>
      <c r="L18" s="59"/>
      <c r="M18" s="59"/>
      <c r="N18" s="59"/>
      <c r="O18" s="59"/>
      <c r="P18" s="59"/>
      <c r="Q18" s="62"/>
      <c r="R18" s="85"/>
      <c r="S18" s="489" t="s">
        <v>24</v>
      </c>
      <c r="T18" s="489"/>
      <c r="U18" s="489"/>
      <c r="V18" s="489"/>
      <c r="W18" s="489"/>
      <c r="X18" s="489"/>
      <c r="Y18" s="489"/>
      <c r="Z18" s="489"/>
      <c r="AA18" s="489"/>
      <c r="AB18" s="489"/>
      <c r="AC18" s="490"/>
    </row>
    <row r="19" spans="1:29" ht="15.75" customHeight="1">
      <c r="A19" s="63" t="s">
        <v>25</v>
      </c>
      <c r="B19" s="1"/>
      <c r="C19" s="17"/>
      <c r="D19" s="17"/>
      <c r="E19" s="17"/>
      <c r="F19" s="17"/>
      <c r="G19" s="17"/>
      <c r="H19" s="17"/>
      <c r="I19" s="17"/>
      <c r="J19" s="17"/>
      <c r="K19" s="17"/>
      <c r="L19" s="17"/>
      <c r="M19" s="17"/>
      <c r="N19" s="17"/>
      <c r="O19" s="17"/>
      <c r="P19" s="17"/>
      <c r="Q19" s="58"/>
      <c r="R19" s="85"/>
      <c r="S19" s="87" t="s">
        <v>26</v>
      </c>
      <c r="T19" s="17"/>
      <c r="U19" s="17"/>
      <c r="V19" s="17"/>
      <c r="W19" s="74"/>
      <c r="X19" s="74"/>
      <c r="Y19" s="74"/>
      <c r="Z19" s="85"/>
      <c r="AA19" s="85"/>
      <c r="AB19" s="85"/>
      <c r="AC19" s="60"/>
    </row>
    <row r="20" spans="1:29" ht="15.75" customHeight="1">
      <c r="A20" s="57"/>
      <c r="B20" s="85" t="s">
        <v>27</v>
      </c>
      <c r="C20" s="17"/>
      <c r="D20" s="17"/>
      <c r="E20" s="17"/>
      <c r="F20" s="17"/>
      <c r="G20" s="17"/>
      <c r="H20" s="17"/>
      <c r="I20" s="17"/>
      <c r="J20" s="17"/>
      <c r="K20" s="17"/>
      <c r="L20" s="17"/>
      <c r="M20" s="17"/>
      <c r="N20" s="17"/>
      <c r="O20" s="17"/>
      <c r="P20" s="17"/>
      <c r="Q20" s="58"/>
      <c r="R20" s="85"/>
      <c r="S20" s="489">
        <v>2024</v>
      </c>
      <c r="T20" s="489"/>
      <c r="U20" s="489"/>
      <c r="V20" s="489"/>
      <c r="W20" s="489"/>
      <c r="X20" s="489"/>
      <c r="Y20" s="489"/>
      <c r="Z20" s="489"/>
      <c r="AA20" s="489"/>
      <c r="AB20" s="489"/>
      <c r="AC20" s="490"/>
    </row>
    <row r="21" spans="1:29" ht="15.75" customHeight="1">
      <c r="A21" s="57"/>
      <c r="B21" s="451" t="s">
        <v>28</v>
      </c>
      <c r="C21" s="17"/>
      <c r="D21" s="17"/>
      <c r="E21" s="17"/>
      <c r="F21" s="17"/>
      <c r="G21" s="17"/>
      <c r="H21" s="17"/>
      <c r="I21" s="17"/>
      <c r="J21" s="17"/>
      <c r="K21" s="17"/>
      <c r="L21" s="17"/>
      <c r="M21" s="17"/>
      <c r="N21" s="17"/>
      <c r="O21" s="17"/>
      <c r="P21" s="17"/>
      <c r="Q21" s="58"/>
      <c r="R21" s="17"/>
      <c r="S21" s="87" t="s">
        <v>29</v>
      </c>
      <c r="T21" s="87"/>
      <c r="U21" s="87"/>
      <c r="V21" s="87"/>
      <c r="W21" s="142"/>
      <c r="X21" s="142"/>
      <c r="Y21" s="142"/>
      <c r="Z21" s="85"/>
      <c r="AA21" s="17"/>
      <c r="AB21" s="17"/>
      <c r="AC21" s="60"/>
    </row>
    <row r="22" spans="1:29" ht="15.75" customHeight="1">
      <c r="A22" s="186"/>
      <c r="B22" s="452" t="s">
        <v>30</v>
      </c>
      <c r="C22" s="17"/>
      <c r="D22" s="17"/>
      <c r="E22" s="17"/>
      <c r="F22" s="17"/>
      <c r="G22" s="17"/>
      <c r="H22" s="17"/>
      <c r="I22" s="17"/>
      <c r="J22" s="17"/>
      <c r="K22" s="17"/>
      <c r="L22" s="17"/>
      <c r="M22" s="17"/>
      <c r="N22" s="17"/>
      <c r="O22" s="17"/>
      <c r="P22" s="17"/>
      <c r="Q22" s="58"/>
      <c r="R22" s="64"/>
      <c r="S22" s="489" t="str">
        <f>B11</f>
        <v>Republic of Korea</v>
      </c>
      <c r="T22" s="489"/>
      <c r="U22" s="489"/>
      <c r="V22" s="489"/>
      <c r="W22" s="489"/>
      <c r="X22" s="489"/>
      <c r="Y22" s="489"/>
      <c r="Z22" s="489"/>
      <c r="AA22" s="489"/>
      <c r="AB22" s="489"/>
      <c r="AC22" s="490"/>
    </row>
    <row r="23" spans="1:29" ht="15.75" customHeight="1">
      <c r="A23" s="57"/>
      <c r="B23" s="156" t="s">
        <v>31</v>
      </c>
      <c r="C23" s="17"/>
      <c r="D23" s="17"/>
      <c r="E23" s="17"/>
      <c r="F23" s="17"/>
      <c r="G23" s="17"/>
      <c r="H23" s="17"/>
      <c r="I23" s="17"/>
      <c r="J23" s="17"/>
      <c r="K23" s="17"/>
      <c r="L23" s="17"/>
      <c r="M23" s="17"/>
      <c r="N23" s="17"/>
      <c r="O23" s="17"/>
      <c r="P23" s="17"/>
      <c r="Q23" s="58"/>
      <c r="R23" s="65"/>
      <c r="S23" s="87" t="s">
        <v>32</v>
      </c>
      <c r="T23" s="457"/>
      <c r="U23" s="17"/>
      <c r="V23" s="17"/>
      <c r="W23" s="20"/>
      <c r="X23" s="20"/>
      <c r="Y23" s="20"/>
      <c r="Z23" s="20"/>
      <c r="AA23" s="17"/>
      <c r="AB23" s="17"/>
      <c r="AC23" s="60"/>
    </row>
    <row r="24" spans="1:29" ht="15.75" customHeight="1">
      <c r="A24" s="57"/>
      <c r="B24" s="1"/>
      <c r="C24" s="17"/>
      <c r="D24" s="17"/>
      <c r="E24" s="17"/>
      <c r="F24" s="17"/>
      <c r="G24" s="17"/>
      <c r="H24" s="17"/>
      <c r="I24" s="17"/>
      <c r="J24" s="17"/>
      <c r="K24" s="17"/>
      <c r="L24" s="17"/>
      <c r="M24" s="17"/>
      <c r="N24" s="17"/>
      <c r="O24" s="17"/>
      <c r="P24" s="17"/>
      <c r="Q24" s="58"/>
      <c r="R24" s="143"/>
      <c r="S24" s="489" t="s">
        <v>33</v>
      </c>
      <c r="T24" s="489"/>
      <c r="U24" s="489"/>
      <c r="V24" s="489"/>
      <c r="W24" s="489"/>
      <c r="X24" s="489"/>
      <c r="Y24" s="489"/>
      <c r="Z24" s="489"/>
      <c r="AA24" s="489"/>
      <c r="AB24" s="489"/>
      <c r="AC24" s="490"/>
    </row>
    <row r="25" spans="1:29" ht="15.75" customHeight="1">
      <c r="A25" s="57"/>
      <c r="B25" s="86"/>
      <c r="C25" s="17"/>
      <c r="D25" s="17"/>
      <c r="E25" s="17"/>
      <c r="F25" s="17"/>
      <c r="G25" s="17"/>
      <c r="H25" s="17"/>
      <c r="I25" s="17"/>
      <c r="J25" s="17"/>
      <c r="K25" s="17"/>
      <c r="L25" s="17"/>
      <c r="M25" s="17"/>
      <c r="N25" s="17"/>
      <c r="O25" s="17"/>
      <c r="P25" s="17"/>
      <c r="Q25" s="58"/>
      <c r="R25" s="149"/>
      <c r="S25" s="150"/>
      <c r="T25" s="150"/>
      <c r="U25" s="150"/>
      <c r="V25" s="150"/>
      <c r="W25" s="150"/>
      <c r="X25" s="150"/>
      <c r="Y25" s="150"/>
      <c r="Z25" s="150"/>
      <c r="AA25" s="150"/>
      <c r="AB25" s="150"/>
      <c r="AC25" s="151"/>
    </row>
    <row r="26" spans="1:29" ht="15.75" customHeight="1">
      <c r="A26" s="66" t="s">
        <v>34</v>
      </c>
      <c r="B26" s="67"/>
      <c r="C26" s="67"/>
      <c r="D26" s="67"/>
      <c r="E26" s="67"/>
      <c r="F26" s="67"/>
      <c r="G26" s="67"/>
      <c r="H26" s="68"/>
      <c r="I26" s="472" t="s">
        <v>35</v>
      </c>
      <c r="J26" s="473"/>
      <c r="K26" s="473"/>
      <c r="L26" s="473"/>
      <c r="M26" s="473"/>
      <c r="N26" s="473"/>
      <c r="O26" s="473"/>
      <c r="P26" s="473"/>
      <c r="Q26" s="474"/>
      <c r="R26" s="473" t="s">
        <v>36</v>
      </c>
      <c r="S26" s="473"/>
      <c r="T26" s="473"/>
      <c r="U26" s="473"/>
      <c r="V26" s="473"/>
      <c r="W26" s="473"/>
      <c r="X26" s="473"/>
      <c r="Y26" s="473"/>
      <c r="Z26" s="473"/>
      <c r="AA26" s="473"/>
      <c r="AB26" s="473"/>
      <c r="AC26" s="491"/>
    </row>
    <row r="27" spans="1:29" ht="15.75" customHeight="1">
      <c r="A27" s="57"/>
      <c r="B27" s="17" t="s">
        <v>37</v>
      </c>
      <c r="C27" s="17"/>
      <c r="D27" s="17"/>
      <c r="E27" s="17"/>
      <c r="F27" s="17"/>
      <c r="G27" s="17"/>
      <c r="H27" s="58"/>
      <c r="I27" s="17"/>
      <c r="J27" s="17" t="s">
        <v>37</v>
      </c>
      <c r="K27" s="17"/>
      <c r="L27" s="17"/>
      <c r="M27" s="17"/>
      <c r="N27" s="17"/>
      <c r="O27" s="17"/>
      <c r="P27" s="17"/>
      <c r="Q27" s="58"/>
      <c r="R27" s="17"/>
      <c r="S27" s="20"/>
      <c r="T27" s="20"/>
      <c r="U27" s="20"/>
      <c r="V27" s="20"/>
      <c r="W27" s="20"/>
      <c r="X27" s="20"/>
      <c r="Y27" s="20"/>
      <c r="Z27" s="20"/>
      <c r="AA27" s="17"/>
      <c r="AB27" s="17"/>
      <c r="AC27" s="60"/>
    </row>
    <row r="28" spans="1:29" ht="15.75" customHeight="1">
      <c r="A28" s="61"/>
      <c r="B28" s="69"/>
      <c r="C28" s="59"/>
      <c r="D28" s="59"/>
      <c r="E28" s="59"/>
      <c r="F28" s="59"/>
      <c r="G28" s="59"/>
      <c r="H28" s="62"/>
      <c r="I28" s="59"/>
      <c r="J28" s="69"/>
      <c r="K28" s="59"/>
      <c r="L28" s="59"/>
      <c r="M28" s="59"/>
      <c r="N28" s="59"/>
      <c r="O28" s="59"/>
      <c r="P28" s="59"/>
      <c r="Q28" s="62"/>
      <c r="R28" s="17"/>
      <c r="S28" s="87" t="s">
        <v>38</v>
      </c>
      <c r="T28" s="20"/>
      <c r="U28" s="17"/>
      <c r="V28" s="17"/>
      <c r="W28" s="20"/>
      <c r="X28" s="17" t="s">
        <v>39</v>
      </c>
      <c r="Y28" s="17" t="s">
        <v>40</v>
      </c>
      <c r="Z28" s="20"/>
      <c r="AA28" s="17"/>
      <c r="AB28" s="17"/>
      <c r="AC28" s="60"/>
    </row>
    <row r="29" spans="1:29" ht="15.75" customHeight="1">
      <c r="A29" s="63" t="s">
        <v>41</v>
      </c>
      <c r="B29" s="17"/>
      <c r="C29" s="17"/>
      <c r="D29" s="17"/>
      <c r="E29" s="17"/>
      <c r="F29" s="17"/>
      <c r="G29" s="17"/>
      <c r="H29" s="58"/>
      <c r="I29" s="472" t="s">
        <v>42</v>
      </c>
      <c r="J29" s="473"/>
      <c r="K29" s="473"/>
      <c r="L29" s="473"/>
      <c r="M29" s="473"/>
      <c r="N29" s="473"/>
      <c r="O29" s="473"/>
      <c r="P29" s="473"/>
      <c r="Q29" s="474"/>
      <c r="R29" s="17"/>
      <c r="S29" s="87" t="s">
        <v>43</v>
      </c>
      <c r="T29" s="17"/>
      <c r="U29" s="20"/>
      <c r="V29" s="20"/>
      <c r="W29" s="20"/>
      <c r="X29" s="17" t="s">
        <v>39</v>
      </c>
      <c r="Y29" s="478">
        <f>COUNT('Summary PL'!A13:A71)</f>
        <v>58</v>
      </c>
      <c r="Z29" s="478"/>
      <c r="AA29" s="478"/>
      <c r="AB29" s="478"/>
      <c r="AC29" s="60" t="s">
        <v>44</v>
      </c>
    </row>
    <row r="30" spans="1:29" ht="15.75" customHeight="1">
      <c r="A30" s="63"/>
      <c r="B30" s="17"/>
      <c r="C30" s="17"/>
      <c r="D30" s="17"/>
      <c r="E30" s="17"/>
      <c r="F30" s="17"/>
      <c r="G30" s="17"/>
      <c r="H30" s="58"/>
      <c r="I30" s="475"/>
      <c r="J30" s="476"/>
      <c r="K30" s="476"/>
      <c r="L30" s="476"/>
      <c r="M30" s="476"/>
      <c r="N30" s="476"/>
      <c r="O30" s="476"/>
      <c r="P30" s="476"/>
      <c r="Q30" s="477"/>
      <c r="R30" s="17"/>
      <c r="S30" s="87" t="s">
        <v>45</v>
      </c>
      <c r="T30" s="20"/>
      <c r="U30" s="20"/>
      <c r="V30" s="20"/>
      <c r="W30" s="20"/>
      <c r="X30" s="17" t="s">
        <v>39</v>
      </c>
      <c r="Y30" s="479">
        <f>'Summary PL'!L72</f>
        <v>102698.029996</v>
      </c>
      <c r="Z30" s="479"/>
      <c r="AA30" s="479"/>
      <c r="AB30" s="479"/>
      <c r="AC30" s="60" t="s">
        <v>46</v>
      </c>
    </row>
    <row r="31" spans="1:29" ht="15.75" customHeight="1">
      <c r="A31" s="57"/>
      <c r="B31" s="17" t="s">
        <v>37</v>
      </c>
      <c r="C31" s="17"/>
      <c r="D31" s="17"/>
      <c r="E31" s="17"/>
      <c r="F31" s="17"/>
      <c r="G31" s="17"/>
      <c r="H31" s="58"/>
      <c r="I31" s="492" t="s">
        <v>47</v>
      </c>
      <c r="J31" s="493"/>
      <c r="K31" s="493"/>
      <c r="L31" s="493"/>
      <c r="M31" s="493"/>
      <c r="N31" s="493"/>
      <c r="O31" s="493"/>
      <c r="P31" s="493"/>
      <c r="Q31" s="494"/>
      <c r="R31" s="17"/>
      <c r="S31" s="87" t="s">
        <v>48</v>
      </c>
      <c r="T31" s="20"/>
      <c r="U31" s="20"/>
      <c r="V31" s="20"/>
      <c r="W31" s="20"/>
      <c r="X31" s="17" t="s">
        <v>39</v>
      </c>
      <c r="Y31" s="498">
        <f>'Summary PL'!M72</f>
        <v>110478.029996</v>
      </c>
      <c r="Z31" s="498"/>
      <c r="AA31" s="498"/>
      <c r="AB31" s="498"/>
      <c r="AC31" s="60" t="s">
        <v>46</v>
      </c>
    </row>
    <row r="32" spans="1:29" ht="15.75" customHeight="1">
      <c r="A32" s="61"/>
      <c r="B32" s="59"/>
      <c r="C32" s="59"/>
      <c r="D32" s="59"/>
      <c r="E32" s="59"/>
      <c r="F32" s="59"/>
      <c r="G32" s="59"/>
      <c r="H32" s="62"/>
      <c r="I32" s="495"/>
      <c r="J32" s="496"/>
      <c r="K32" s="496"/>
      <c r="L32" s="496"/>
      <c r="M32" s="496"/>
      <c r="N32" s="496"/>
      <c r="O32" s="496"/>
      <c r="P32" s="496"/>
      <c r="Q32" s="497"/>
      <c r="R32" s="17"/>
      <c r="S32" s="87" t="s">
        <v>49</v>
      </c>
      <c r="T32" s="20"/>
      <c r="U32" s="17"/>
      <c r="V32" s="17"/>
      <c r="W32" s="17"/>
      <c r="X32" s="17" t="s">
        <v>39</v>
      </c>
      <c r="Y32" s="498">
        <f>'Summary PL'!K72</f>
        <v>515.99099999999976</v>
      </c>
      <c r="Z32" s="498"/>
      <c r="AA32" s="498"/>
      <c r="AB32" s="498"/>
      <c r="AC32" s="60" t="s">
        <v>50</v>
      </c>
    </row>
    <row r="33" spans="1:31" ht="15.75" customHeight="1">
      <c r="A33" s="63" t="s">
        <v>51</v>
      </c>
      <c r="B33" s="17"/>
      <c r="C33" s="17"/>
      <c r="D33" s="17"/>
      <c r="E33" s="17"/>
      <c r="F33" s="17"/>
      <c r="G33" s="17"/>
      <c r="H33" s="58"/>
      <c r="I33" s="472" t="s">
        <v>52</v>
      </c>
      <c r="J33" s="473"/>
      <c r="K33" s="473"/>
      <c r="L33" s="473"/>
      <c r="M33" s="473"/>
      <c r="N33" s="473"/>
      <c r="O33" s="473"/>
      <c r="P33" s="473"/>
      <c r="Q33" s="474"/>
      <c r="R33" s="17"/>
      <c r="S33" s="20"/>
      <c r="T33" s="17"/>
      <c r="U33" s="17"/>
      <c r="V33" s="17"/>
      <c r="W33" s="17"/>
      <c r="X33" s="17"/>
      <c r="Y33" s="20"/>
      <c r="Z33" s="20"/>
      <c r="AA33" s="17"/>
      <c r="AB33" s="17"/>
      <c r="AC33" s="60"/>
    </row>
    <row r="34" spans="1:31" ht="15.75" customHeight="1">
      <c r="A34" s="63"/>
      <c r="B34" s="17" t="s">
        <v>37</v>
      </c>
      <c r="C34" s="17"/>
      <c r="D34" s="17"/>
      <c r="E34" s="17"/>
      <c r="F34" s="17"/>
      <c r="G34" s="17"/>
      <c r="H34" s="58"/>
      <c r="I34" s="475"/>
      <c r="J34" s="476"/>
      <c r="K34" s="476"/>
      <c r="L34" s="476"/>
      <c r="M34" s="476"/>
      <c r="N34" s="476"/>
      <c r="O34" s="476"/>
      <c r="P34" s="476"/>
      <c r="Q34" s="477"/>
      <c r="R34" s="17"/>
      <c r="S34" s="17"/>
      <c r="T34" s="17"/>
      <c r="U34" s="17"/>
      <c r="V34" s="17"/>
      <c r="W34" s="17"/>
      <c r="X34" s="17"/>
      <c r="Y34" s="20"/>
      <c r="Z34" s="20"/>
      <c r="AA34" s="17"/>
      <c r="AB34" s="17"/>
      <c r="AC34" s="60"/>
    </row>
    <row r="35" spans="1:31" ht="15.75" customHeight="1">
      <c r="A35" s="57"/>
      <c r="B35" s="20"/>
      <c r="C35" s="17"/>
      <c r="D35" s="17"/>
      <c r="E35" s="17"/>
      <c r="F35" s="17"/>
      <c r="G35" s="17"/>
      <c r="H35" s="58"/>
      <c r="I35" s="17"/>
      <c r="J35" s="499" t="s">
        <v>37</v>
      </c>
      <c r="K35" s="499"/>
      <c r="L35" s="499"/>
      <c r="M35" s="499"/>
      <c r="N35" s="499"/>
      <c r="O35" s="499"/>
      <c r="P35" s="499"/>
      <c r="Q35" s="58"/>
      <c r="R35" s="17"/>
      <c r="S35" s="195"/>
      <c r="T35" s="195"/>
      <c r="U35" s="195"/>
      <c r="V35" s="195"/>
      <c r="W35" s="195"/>
      <c r="X35" s="195"/>
      <c r="Y35" s="195"/>
      <c r="Z35" s="195"/>
      <c r="AA35" s="195"/>
      <c r="AB35" s="195"/>
      <c r="AC35" s="196"/>
    </row>
    <row r="36" spans="1:31" ht="15.75" customHeight="1">
      <c r="A36" s="61"/>
      <c r="B36" s="59"/>
      <c r="C36" s="59"/>
      <c r="D36" s="59"/>
      <c r="E36" s="59"/>
      <c r="F36" s="59"/>
      <c r="G36" s="59"/>
      <c r="H36" s="62"/>
      <c r="I36" s="59"/>
      <c r="J36" s="59"/>
      <c r="K36" s="59"/>
      <c r="L36" s="59"/>
      <c r="M36" s="59"/>
      <c r="N36" s="59"/>
      <c r="O36" s="59"/>
      <c r="P36" s="59"/>
      <c r="Q36" s="62"/>
      <c r="R36" s="17"/>
      <c r="S36" s="195"/>
      <c r="T36" s="195"/>
      <c r="U36" s="195"/>
      <c r="V36" s="195"/>
      <c r="W36" s="195"/>
      <c r="X36" s="195"/>
      <c r="Y36" s="195"/>
      <c r="Z36" s="195"/>
      <c r="AA36" s="195"/>
      <c r="AB36" s="195"/>
      <c r="AC36" s="196"/>
    </row>
    <row r="37" spans="1:31" ht="15.75" customHeight="1">
      <c r="A37" s="66" t="s">
        <v>53</v>
      </c>
      <c r="B37" s="67"/>
      <c r="C37" s="67"/>
      <c r="D37" s="67"/>
      <c r="E37" s="67"/>
      <c r="F37" s="67"/>
      <c r="G37" s="67"/>
      <c r="H37" s="67"/>
      <c r="I37" s="140"/>
      <c r="J37" s="67"/>
      <c r="K37" s="67"/>
      <c r="L37" s="67"/>
      <c r="M37" s="67"/>
      <c r="N37" s="67"/>
      <c r="O37" s="67"/>
      <c r="P37" s="67"/>
      <c r="Q37" s="68"/>
      <c r="R37" s="17"/>
      <c r="S37" s="195"/>
      <c r="T37" s="195"/>
      <c r="U37" s="195"/>
      <c r="V37" s="195"/>
      <c r="W37" s="195"/>
      <c r="X37" s="195"/>
      <c r="Y37" s="195"/>
      <c r="Z37" s="195"/>
      <c r="AA37" s="195"/>
      <c r="AB37" s="195"/>
      <c r="AC37" s="196"/>
    </row>
    <row r="38" spans="1:31" ht="15.75" customHeight="1">
      <c r="A38" s="57"/>
      <c r="B38" s="17" t="s">
        <v>37</v>
      </c>
      <c r="C38" s="17"/>
      <c r="D38" s="17"/>
      <c r="E38" s="17"/>
      <c r="F38" s="17"/>
      <c r="G38" s="17"/>
      <c r="H38" s="17"/>
      <c r="I38" s="17"/>
      <c r="J38" s="374"/>
      <c r="K38" s="374"/>
      <c r="L38" s="374"/>
      <c r="M38" s="374"/>
      <c r="N38" s="374"/>
      <c r="O38" s="374"/>
      <c r="P38" s="374"/>
      <c r="Q38" s="58"/>
      <c r="R38" s="17"/>
      <c r="S38" s="195"/>
      <c r="T38" s="195"/>
      <c r="U38" s="195"/>
      <c r="V38" s="195"/>
      <c r="W38" s="195"/>
      <c r="X38" s="195"/>
      <c r="Y38" s="195"/>
      <c r="Z38" s="195"/>
      <c r="AA38" s="195"/>
      <c r="AB38" s="195"/>
      <c r="AC38" s="196"/>
    </row>
    <row r="39" spans="1:31" ht="15.75" customHeight="1">
      <c r="A39" s="61"/>
      <c r="B39" s="59"/>
      <c r="C39" s="59"/>
      <c r="D39" s="59"/>
      <c r="E39" s="59"/>
      <c r="F39" s="59"/>
      <c r="G39" s="59"/>
      <c r="H39" s="59"/>
      <c r="I39" s="59"/>
      <c r="J39" s="59"/>
      <c r="K39" s="59"/>
      <c r="L39" s="59"/>
      <c r="M39" s="59"/>
      <c r="N39" s="59"/>
      <c r="O39" s="59"/>
      <c r="P39" s="59"/>
      <c r="Q39" s="62"/>
      <c r="R39" s="17"/>
      <c r="S39" s="17"/>
      <c r="T39" s="17"/>
      <c r="U39" s="17"/>
      <c r="V39" s="17"/>
      <c r="W39" s="17"/>
      <c r="X39" s="17"/>
      <c r="Y39" s="17"/>
      <c r="Z39" s="17"/>
      <c r="AA39" s="17"/>
      <c r="AB39" s="17"/>
      <c r="AC39" s="60"/>
    </row>
    <row r="40" spans="1:31" ht="15.75" customHeight="1">
      <c r="A40" s="523" t="s">
        <v>54</v>
      </c>
      <c r="B40" s="524"/>
      <c r="C40" s="524"/>
      <c r="D40" s="524"/>
      <c r="E40" s="524"/>
      <c r="F40" s="524"/>
      <c r="G40" s="524"/>
      <c r="H40" s="524"/>
      <c r="I40" s="524"/>
      <c r="J40" s="524"/>
      <c r="K40" s="524"/>
      <c r="L40" s="524"/>
      <c r="M40" s="524"/>
      <c r="N40" s="524"/>
      <c r="O40" s="524"/>
      <c r="P40" s="524"/>
      <c r="Q40" s="525"/>
      <c r="R40" s="529" t="s">
        <v>55</v>
      </c>
      <c r="S40" s="530"/>
      <c r="T40" s="530"/>
      <c r="U40" s="530"/>
      <c r="V40" s="531"/>
      <c r="W40" s="529" t="s">
        <v>56</v>
      </c>
      <c r="X40" s="530"/>
      <c r="Y40" s="530"/>
      <c r="Z40" s="531"/>
      <c r="AA40" s="529" t="s">
        <v>57</v>
      </c>
      <c r="AB40" s="530"/>
      <c r="AC40" s="532"/>
    </row>
    <row r="41" spans="1:31" ht="15.75" customHeight="1">
      <c r="A41" s="526"/>
      <c r="B41" s="527"/>
      <c r="C41" s="527"/>
      <c r="D41" s="527"/>
      <c r="E41" s="527"/>
      <c r="F41" s="527"/>
      <c r="G41" s="527"/>
      <c r="H41" s="527"/>
      <c r="I41" s="527"/>
      <c r="J41" s="527"/>
      <c r="K41" s="527"/>
      <c r="L41" s="527"/>
      <c r="M41" s="527"/>
      <c r="N41" s="527"/>
      <c r="O41" s="527"/>
      <c r="P41" s="527"/>
      <c r="Q41" s="528"/>
      <c r="R41" s="507" t="s">
        <v>58</v>
      </c>
      <c r="S41" s="508"/>
      <c r="T41" s="508"/>
      <c r="U41" s="508"/>
      <c r="V41" s="509"/>
      <c r="W41" s="507" t="s">
        <v>59</v>
      </c>
      <c r="X41" s="508"/>
      <c r="Y41" s="508"/>
      <c r="Z41" s="509"/>
      <c r="AA41" s="507" t="s">
        <v>60</v>
      </c>
      <c r="AB41" s="508"/>
      <c r="AC41" s="510"/>
    </row>
    <row r="42" spans="1:31" s="156" customFormat="1" ht="18" customHeight="1">
      <c r="A42" s="57"/>
      <c r="B42" s="17" t="s">
        <v>61</v>
      </c>
      <c r="C42" s="70"/>
      <c r="D42" s="70"/>
      <c r="E42" s="70"/>
      <c r="F42" s="70"/>
      <c r="G42" s="70"/>
      <c r="H42" s="70"/>
      <c r="I42" s="67"/>
      <c r="J42" s="67"/>
      <c r="K42" s="67"/>
      <c r="L42" s="67"/>
      <c r="M42" s="67"/>
      <c r="N42" s="67"/>
      <c r="O42" s="67"/>
      <c r="P42" s="67"/>
      <c r="Q42" s="58"/>
      <c r="R42" s="511"/>
      <c r="S42" s="512"/>
      <c r="T42" s="512"/>
      <c r="U42" s="512"/>
      <c r="V42" s="513"/>
      <c r="W42" s="514">
        <v>2</v>
      </c>
      <c r="X42" s="515"/>
      <c r="Y42" s="515"/>
      <c r="Z42" s="516"/>
      <c r="AA42" s="89"/>
      <c r="AB42" s="90"/>
      <c r="AC42" s="91">
        <f>CI_BD!H67</f>
        <v>765557.00000000023</v>
      </c>
      <c r="AE42" s="460" t="s">
        <v>62</v>
      </c>
    </row>
    <row r="43" spans="1:31" s="156" customFormat="1" ht="18" customHeight="1">
      <c r="A43" s="153"/>
      <c r="B43" s="17"/>
      <c r="C43" s="17"/>
      <c r="D43" s="17"/>
      <c r="E43" s="17"/>
      <c r="F43" s="17"/>
      <c r="G43" s="17"/>
      <c r="H43" s="17"/>
      <c r="I43" s="17"/>
      <c r="J43" s="17"/>
      <c r="K43" s="17"/>
      <c r="L43" s="17"/>
      <c r="M43" s="17"/>
      <c r="N43" s="17"/>
      <c r="O43" s="17"/>
      <c r="P43" s="17"/>
      <c r="Q43" s="58"/>
      <c r="R43" s="517"/>
      <c r="S43" s="518"/>
      <c r="T43" s="518"/>
      <c r="U43" s="518"/>
      <c r="V43" s="519"/>
      <c r="W43" s="520"/>
      <c r="X43" s="521"/>
      <c r="Y43" s="521"/>
      <c r="Z43" s="522"/>
      <c r="AA43" s="89"/>
      <c r="AB43" s="90"/>
      <c r="AC43" s="91"/>
      <c r="AE43" s="460" t="s">
        <v>63</v>
      </c>
    </row>
    <row r="44" spans="1:31" s="156" customFormat="1" ht="18" customHeight="1" thickBot="1">
      <c r="A44" s="63"/>
      <c r="B44" s="85"/>
      <c r="C44" s="85"/>
      <c r="D44" s="85"/>
      <c r="E44" s="85"/>
      <c r="F44" s="85"/>
      <c r="G44" s="85"/>
      <c r="H44" s="85"/>
      <c r="I44" s="141"/>
      <c r="J44" s="141"/>
      <c r="K44" s="141"/>
      <c r="L44" s="141"/>
      <c r="M44" s="141"/>
      <c r="N44" s="141"/>
      <c r="O44" s="141"/>
      <c r="P44" s="141"/>
      <c r="Q44" s="135"/>
      <c r="R44" s="85"/>
      <c r="S44" s="85"/>
      <c r="T44" s="85"/>
      <c r="U44" s="85"/>
      <c r="V44" s="135"/>
      <c r="W44" s="85"/>
      <c r="X44" s="76"/>
      <c r="Y44" s="76"/>
      <c r="Z44" s="76"/>
      <c r="AA44" s="75"/>
      <c r="AB44" s="76"/>
      <c r="AC44" s="77"/>
    </row>
    <row r="45" spans="1:31" s="156" customFormat="1" ht="18" customHeight="1" thickBot="1">
      <c r="A45" s="78"/>
      <c r="B45" s="136"/>
      <c r="C45" s="79"/>
      <c r="D45" s="79"/>
      <c r="E45" s="79"/>
      <c r="F45" s="79"/>
      <c r="G45" s="79"/>
      <c r="H45" s="79"/>
      <c r="I45" s="500" t="s">
        <v>64</v>
      </c>
      <c r="J45" s="500"/>
      <c r="K45" s="500"/>
      <c r="L45" s="500"/>
      <c r="M45" s="500"/>
      <c r="N45" s="500"/>
      <c r="O45" s="500"/>
      <c r="P45" s="500"/>
      <c r="Q45" s="500"/>
      <c r="R45" s="501"/>
      <c r="S45" s="500"/>
      <c r="T45" s="500"/>
      <c r="U45" s="500"/>
      <c r="V45" s="500"/>
      <c r="W45" s="500"/>
      <c r="X45" s="500"/>
      <c r="Y45" s="500"/>
      <c r="Z45" s="502"/>
      <c r="AA45" s="503">
        <f>AC42</f>
        <v>765557.00000000023</v>
      </c>
      <c r="AB45" s="503"/>
      <c r="AC45" s="504"/>
    </row>
    <row r="46" spans="1:31" ht="10.199999999999999" customHeight="1">
      <c r="A46" s="45"/>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7"/>
    </row>
    <row r="47" spans="1:31" ht="10.199999999999999" customHeight="1">
      <c r="A47" s="48"/>
      <c r="AC47" s="49"/>
    </row>
    <row r="48" spans="1:31" ht="10.199999999999999" customHeight="1">
      <c r="A48" s="48"/>
      <c r="AC48" s="49"/>
    </row>
    <row r="49" spans="1:29" ht="10.199999999999999" customHeight="1">
      <c r="A49" s="48"/>
      <c r="AC49" s="49"/>
    </row>
    <row r="50" spans="1:29" ht="10.199999999999999" customHeight="1">
      <c r="A50" s="48"/>
      <c r="AC50" s="49"/>
    </row>
    <row r="51" spans="1:29" ht="10.199999999999999" customHeight="1">
      <c r="A51" s="48"/>
      <c r="AC51" s="49"/>
    </row>
    <row r="52" spans="1:29" ht="10.199999999999999" customHeight="1">
      <c r="A52" s="48"/>
      <c r="AC52" s="49"/>
    </row>
    <row r="53" spans="1:29" ht="10.199999999999999" customHeight="1">
      <c r="A53" s="57"/>
      <c r="B53" s="17"/>
      <c r="C53" s="17"/>
      <c r="D53" s="17"/>
      <c r="E53" s="17"/>
      <c r="F53" s="17"/>
      <c r="G53" s="17"/>
      <c r="H53" s="17"/>
      <c r="I53" s="17"/>
      <c r="J53" s="17"/>
      <c r="K53" s="17"/>
      <c r="L53" s="17"/>
      <c r="M53" s="17"/>
      <c r="N53" s="17"/>
      <c r="S53" s="17" t="s">
        <v>65</v>
      </c>
      <c r="AC53" s="49"/>
    </row>
    <row r="54" spans="1:29">
      <c r="A54" s="57" t="s">
        <v>66</v>
      </c>
      <c r="B54" s="17"/>
      <c r="C54" s="17"/>
      <c r="D54" s="17"/>
      <c r="E54" s="17"/>
      <c r="F54" s="17"/>
      <c r="G54" s="17"/>
      <c r="H54" s="17"/>
      <c r="I54" s="17"/>
      <c r="J54" s="17"/>
      <c r="K54" s="17"/>
      <c r="L54" s="17"/>
      <c r="M54" s="17"/>
      <c r="N54" s="17"/>
      <c r="AC54" s="49"/>
    </row>
    <row r="55" spans="1:29">
      <c r="A55" s="57" t="s">
        <v>67</v>
      </c>
      <c r="B55" s="17"/>
      <c r="C55" s="17"/>
      <c r="D55" s="17"/>
      <c r="E55" s="17"/>
      <c r="F55" s="17"/>
      <c r="G55" s="17"/>
      <c r="H55" s="17"/>
      <c r="I55" s="17"/>
      <c r="J55" s="17"/>
      <c r="K55" s="17"/>
      <c r="L55" s="17"/>
      <c r="M55" s="17"/>
      <c r="N55" s="17"/>
      <c r="W55" s="80"/>
      <c r="X55" s="80"/>
      <c r="AC55" s="49"/>
    </row>
    <row r="56" spans="1:29">
      <c r="A56" s="57" t="s">
        <v>68</v>
      </c>
      <c r="B56" s="17"/>
      <c r="C56" s="17"/>
      <c r="D56" s="17"/>
      <c r="E56" s="17"/>
      <c r="F56" s="17"/>
      <c r="G56" s="17"/>
      <c r="H56" s="17"/>
      <c r="I56" s="17"/>
      <c r="J56" s="17"/>
      <c r="K56" s="17"/>
      <c r="L56" s="17"/>
      <c r="M56" s="17"/>
      <c r="N56" s="17"/>
      <c r="V56" s="505" t="s">
        <v>69</v>
      </c>
      <c r="W56" s="505"/>
      <c r="X56" s="505"/>
      <c r="Y56" s="505"/>
      <c r="Z56" s="505"/>
      <c r="AA56" s="505"/>
      <c r="AB56" s="505"/>
      <c r="AC56" s="506"/>
    </row>
    <row r="57" spans="1:29">
      <c r="A57" s="57" t="s">
        <v>70</v>
      </c>
      <c r="B57" s="17"/>
      <c r="C57" s="17"/>
      <c r="D57" s="17"/>
      <c r="E57" s="17"/>
      <c r="F57" s="17"/>
      <c r="G57" s="17"/>
      <c r="H57" s="17"/>
      <c r="I57" s="17"/>
      <c r="J57" s="17"/>
      <c r="K57" s="17"/>
      <c r="L57" s="17"/>
      <c r="M57" s="17"/>
      <c r="N57" s="17"/>
      <c r="S57" s="87"/>
      <c r="U57" s="88"/>
      <c r="V57" s="88"/>
      <c r="W57" s="88"/>
      <c r="X57" s="88"/>
      <c r="Y57" s="88"/>
      <c r="Z57" s="88"/>
      <c r="AA57" s="88"/>
      <c r="AB57" s="88"/>
      <c r="AC57" s="49"/>
    </row>
    <row r="58" spans="1:29" ht="18" thickBot="1">
      <c r="A58" s="8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2"/>
    </row>
    <row r="59" spans="1:29" ht="18" thickBot="1">
      <c r="A59" s="82" t="s">
        <v>71</v>
      </c>
      <c r="B59" s="83"/>
      <c r="C59" s="83"/>
      <c r="D59" s="83"/>
      <c r="E59" s="83"/>
      <c r="F59" s="83"/>
      <c r="G59" s="83"/>
      <c r="H59" s="83"/>
      <c r="I59" s="83"/>
      <c r="J59" s="83"/>
      <c r="K59" s="83"/>
      <c r="L59" s="83"/>
      <c r="M59" s="83"/>
      <c r="N59" s="83"/>
      <c r="O59" s="83"/>
      <c r="P59" s="83"/>
      <c r="Q59" s="83"/>
      <c r="R59" s="83"/>
      <c r="S59" s="83"/>
      <c r="T59" s="83"/>
      <c r="U59" s="83"/>
      <c r="V59" s="83"/>
      <c r="W59" s="83"/>
      <c r="X59" s="83"/>
      <c r="Y59" s="83"/>
      <c r="Z59" s="83"/>
      <c r="AA59" s="83"/>
      <c r="AB59" s="83"/>
      <c r="AC59" s="84"/>
    </row>
  </sheetData>
  <mergeCells count="34">
    <mergeCell ref="I45:Q45"/>
    <mergeCell ref="R45:Z45"/>
    <mergeCell ref="AA45:AC45"/>
    <mergeCell ref="V56:AC56"/>
    <mergeCell ref="W41:Z41"/>
    <mergeCell ref="AA41:AC41"/>
    <mergeCell ref="R42:V42"/>
    <mergeCell ref="W42:Z42"/>
    <mergeCell ref="R43:V43"/>
    <mergeCell ref="W43:Z43"/>
    <mergeCell ref="A40:Q41"/>
    <mergeCell ref="R40:V40"/>
    <mergeCell ref="W40:Z40"/>
    <mergeCell ref="AA40:AC40"/>
    <mergeCell ref="R41:V41"/>
    <mergeCell ref="I31:Q32"/>
    <mergeCell ref="Y31:AB31"/>
    <mergeCell ref="Y32:AB32"/>
    <mergeCell ref="I33:Q34"/>
    <mergeCell ref="J35:P35"/>
    <mergeCell ref="I29:Q30"/>
    <mergeCell ref="Y29:AB29"/>
    <mergeCell ref="Y30:AB30"/>
    <mergeCell ref="A6:AC6"/>
    <mergeCell ref="V8:Z8"/>
    <mergeCell ref="V10:Z10"/>
    <mergeCell ref="S15:AC15"/>
    <mergeCell ref="S16:AC16"/>
    <mergeCell ref="S18:AC18"/>
    <mergeCell ref="S20:AC20"/>
    <mergeCell ref="S22:AC22"/>
    <mergeCell ref="S24:AC24"/>
    <mergeCell ref="I26:Q26"/>
    <mergeCell ref="R26:AC26"/>
  </mergeCells>
  <phoneticPr fontId="3" type="noConversion"/>
  <hyperlinks>
    <hyperlink ref="B22" r:id="rId1" xr:uid="{B7E5D6E1-2B7B-491F-8B79-181DEE568EC3}"/>
  </hyperlinks>
  <pageMargins left="0.39370078740157483" right="0.39370078740157483" top="0.74803149606299213" bottom="0.74803149606299213" header="0.31496062992125984" footer="0.31496062992125984"/>
  <pageSetup paperSize="9" scale="72" orientation="portrait" r:id="rId2"/>
  <headerFooter>
    <oddFooter xml:space="preserve">&amp;R_x000D_&amp;1#&amp;"Aptos"&amp;8&amp;K000000 중요비(Confidential): sanghwan.bae@doosan.com </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O86"/>
  <sheetViews>
    <sheetView showGridLines="0" topLeftCell="A33" zoomScale="55" zoomScaleNormal="55" zoomScaleSheetLayoutView="70" workbookViewId="0">
      <selection activeCell="G55" sqref="G55"/>
    </sheetView>
  </sheetViews>
  <sheetFormatPr defaultColWidth="10" defaultRowHeight="14.4"/>
  <cols>
    <col min="1" max="1" width="12.09765625" style="13" customWidth="1"/>
    <col min="2" max="2" width="39.8984375" style="36" customWidth="1"/>
    <col min="3" max="3" width="48.59765625" style="36" bestFit="1" customWidth="1"/>
    <col min="4" max="4" width="18.59765625" style="36" customWidth="1"/>
    <col min="5" max="5" width="14.09765625" style="114" customWidth="1"/>
    <col min="6" max="6" width="10.3984375" style="36" customWidth="1"/>
    <col min="7" max="8" width="16.09765625" style="36" customWidth="1"/>
    <col min="9" max="9" width="17.5" style="110" customWidth="1"/>
    <col min="10" max="10" width="20.09765625" style="17" customWidth="1"/>
    <col min="11" max="13" width="10" style="13"/>
    <col min="14" max="14" width="12.3984375" style="13" customWidth="1"/>
    <col min="15" max="16384" width="10" style="13"/>
  </cols>
  <sheetData>
    <row r="1" spans="1:15" s="8" customFormat="1">
      <c r="B1" s="5"/>
      <c r="C1" s="5"/>
      <c r="D1" s="5"/>
      <c r="E1" s="111"/>
      <c r="F1" s="5"/>
      <c r="G1" s="5"/>
      <c r="H1" s="5"/>
      <c r="I1" s="5" t="s">
        <v>0</v>
      </c>
      <c r="J1" s="17"/>
    </row>
    <row r="2" spans="1:15" s="8" customFormat="1">
      <c r="B2" s="5"/>
      <c r="C2" s="5"/>
      <c r="D2" s="5"/>
      <c r="E2" s="111"/>
      <c r="F2" s="5"/>
      <c r="G2" s="5"/>
      <c r="H2" s="5"/>
      <c r="I2" s="5" t="s">
        <v>1</v>
      </c>
      <c r="J2" s="17"/>
    </row>
    <row r="3" spans="1:15" s="8" customFormat="1">
      <c r="B3" s="5"/>
      <c r="C3" s="5"/>
      <c r="D3" s="5"/>
      <c r="E3" s="111"/>
      <c r="F3" s="5"/>
      <c r="G3" s="5"/>
      <c r="H3" s="5"/>
      <c r="I3" s="5" t="s">
        <v>2</v>
      </c>
      <c r="J3" s="17"/>
    </row>
    <row r="4" spans="1:15" s="8" customFormat="1">
      <c r="B4" s="5"/>
      <c r="C4" s="5"/>
      <c r="D4" s="5"/>
      <c r="E4" s="111"/>
      <c r="F4" s="5"/>
      <c r="G4" s="5"/>
      <c r="H4" s="5"/>
      <c r="I4" s="5" t="s">
        <v>3</v>
      </c>
      <c r="J4" s="17"/>
    </row>
    <row r="5" spans="1:15" s="8" customFormat="1">
      <c r="B5" s="5"/>
      <c r="C5" s="5"/>
      <c r="D5" s="5"/>
      <c r="E5" s="111"/>
      <c r="F5" s="5"/>
      <c r="G5" s="5"/>
      <c r="H5" s="5"/>
      <c r="I5" s="5" t="s">
        <v>4</v>
      </c>
      <c r="J5" s="17"/>
    </row>
    <row r="6" spans="1:15" ht="44.25" customHeight="1">
      <c r="A6" s="533" t="s">
        <v>72</v>
      </c>
      <c r="B6" s="481"/>
      <c r="C6" s="481"/>
      <c r="D6" s="481"/>
      <c r="E6" s="481"/>
      <c r="F6" s="481"/>
      <c r="G6" s="481"/>
      <c r="H6" s="481"/>
      <c r="I6" s="481"/>
      <c r="J6" s="481"/>
    </row>
    <row r="7" spans="1:15" ht="28.95" customHeight="1" thickBot="1">
      <c r="A7" s="14" t="s">
        <v>73</v>
      </c>
      <c r="B7" s="14" t="str">
        <f>CI!V8</f>
        <v>PGU-DE-0139-001</v>
      </c>
      <c r="C7" s="14"/>
      <c r="D7" s="92"/>
      <c r="E7" s="112"/>
      <c r="F7" s="92"/>
      <c r="G7" s="92"/>
      <c r="H7" s="92"/>
      <c r="I7" s="93"/>
      <c r="J7" s="94"/>
    </row>
    <row r="8" spans="1:15" s="98" customFormat="1" ht="39.75" customHeight="1">
      <c r="A8" s="95" t="s">
        <v>74</v>
      </c>
      <c r="B8" s="96" t="s">
        <v>75</v>
      </c>
      <c r="C8" s="96" t="s">
        <v>76</v>
      </c>
      <c r="D8" s="96" t="s">
        <v>77</v>
      </c>
      <c r="E8" s="113" t="s">
        <v>78</v>
      </c>
      <c r="F8" s="96" t="s">
        <v>79</v>
      </c>
      <c r="G8" s="130" t="s">
        <v>80</v>
      </c>
      <c r="H8" s="130" t="s">
        <v>81</v>
      </c>
      <c r="I8" s="96" t="s">
        <v>82</v>
      </c>
      <c r="J8" s="97" t="s">
        <v>83</v>
      </c>
    </row>
    <row r="9" spans="1:15" ht="32.25" customHeight="1">
      <c r="A9" s="99">
        <v>1</v>
      </c>
      <c r="B9" s="100" t="s">
        <v>84</v>
      </c>
      <c r="C9" s="101" t="s">
        <v>85</v>
      </c>
      <c r="D9" s="132"/>
      <c r="E9" s="133">
        <v>1</v>
      </c>
      <c r="F9" s="101" t="s">
        <v>86</v>
      </c>
      <c r="G9" s="102">
        <v>10268.83</v>
      </c>
      <c r="H9" s="102">
        <f>E9*G9</f>
        <v>10268.83</v>
      </c>
      <c r="I9" s="103" t="s">
        <v>87</v>
      </c>
      <c r="J9" s="104"/>
      <c r="K9" s="467">
        <v>1</v>
      </c>
      <c r="L9" s="13">
        <v>2</v>
      </c>
      <c r="N9" s="468">
        <v>1092</v>
      </c>
      <c r="O9" s="13">
        <f t="shared" ref="O9:O27" si="0">ROUND(N9*$M$73,2)</f>
        <v>7639.53</v>
      </c>
    </row>
    <row r="10" spans="1:15" ht="32.25" customHeight="1">
      <c r="A10" s="99">
        <v>2</v>
      </c>
      <c r="B10" s="100" t="s">
        <v>88</v>
      </c>
      <c r="C10" s="101" t="s">
        <v>85</v>
      </c>
      <c r="D10" s="132"/>
      <c r="E10" s="133">
        <v>1</v>
      </c>
      <c r="F10" s="101" t="s">
        <v>86</v>
      </c>
      <c r="G10" s="102">
        <v>10268.83</v>
      </c>
      <c r="H10" s="102">
        <f t="shared" ref="H10:H66" si="1">E10*G10</f>
        <v>10268.83</v>
      </c>
      <c r="I10" s="103" t="s">
        <v>87</v>
      </c>
      <c r="J10" s="104"/>
      <c r="K10" s="467">
        <v>1</v>
      </c>
      <c r="L10" s="13">
        <v>2</v>
      </c>
      <c r="N10" s="468">
        <v>1092</v>
      </c>
      <c r="O10" s="13">
        <f t="shared" si="0"/>
        <v>7639.53</v>
      </c>
    </row>
    <row r="11" spans="1:15" ht="32.25" customHeight="1">
      <c r="A11" s="99">
        <v>3</v>
      </c>
      <c r="B11" s="100" t="s">
        <v>89</v>
      </c>
      <c r="C11" s="101" t="s">
        <v>85</v>
      </c>
      <c r="D11" s="132"/>
      <c r="E11" s="133">
        <v>1</v>
      </c>
      <c r="F11" s="101" t="s">
        <v>86</v>
      </c>
      <c r="G11" s="102">
        <v>10268.83</v>
      </c>
      <c r="H11" s="102">
        <f t="shared" si="1"/>
        <v>10268.83</v>
      </c>
      <c r="I11" s="103" t="s">
        <v>87</v>
      </c>
      <c r="J11" s="104"/>
      <c r="K11" s="467">
        <v>1</v>
      </c>
      <c r="L11" s="13">
        <v>2</v>
      </c>
      <c r="N11" s="468">
        <v>1092</v>
      </c>
      <c r="O11" s="13">
        <f t="shared" si="0"/>
        <v>7639.53</v>
      </c>
    </row>
    <row r="12" spans="1:15" ht="32.25" customHeight="1">
      <c r="A12" s="99">
        <v>4</v>
      </c>
      <c r="B12" s="100" t="s">
        <v>90</v>
      </c>
      <c r="C12" s="101" t="s">
        <v>85</v>
      </c>
      <c r="D12" s="132"/>
      <c r="E12" s="133">
        <v>1</v>
      </c>
      <c r="F12" s="101" t="s">
        <v>86</v>
      </c>
      <c r="G12" s="102">
        <v>10268.83</v>
      </c>
      <c r="H12" s="102">
        <f t="shared" si="1"/>
        <v>10268.83</v>
      </c>
      <c r="I12" s="103" t="s">
        <v>87</v>
      </c>
      <c r="J12" s="104"/>
      <c r="K12" s="467">
        <v>1</v>
      </c>
      <c r="L12" s="13">
        <v>2</v>
      </c>
      <c r="N12" s="468">
        <v>1092</v>
      </c>
      <c r="O12" s="13">
        <f t="shared" si="0"/>
        <v>7639.53</v>
      </c>
    </row>
    <row r="13" spans="1:15" ht="32.25" customHeight="1">
      <c r="A13" s="99">
        <v>5</v>
      </c>
      <c r="B13" s="463" t="s">
        <v>91</v>
      </c>
      <c r="C13" s="464" t="s">
        <v>85</v>
      </c>
      <c r="D13" s="465"/>
      <c r="E13" s="133">
        <v>1</v>
      </c>
      <c r="F13" s="101" t="s">
        <v>86</v>
      </c>
      <c r="G13" s="102">
        <v>10268.83</v>
      </c>
      <c r="H13" s="102">
        <f t="shared" si="1"/>
        <v>10268.83</v>
      </c>
      <c r="I13" s="103" t="s">
        <v>87</v>
      </c>
      <c r="J13" s="466"/>
      <c r="K13" s="467">
        <v>1</v>
      </c>
      <c r="L13" s="13">
        <v>2</v>
      </c>
      <c r="N13" s="468">
        <v>1092</v>
      </c>
      <c r="O13" s="13">
        <f t="shared" si="0"/>
        <v>7639.53</v>
      </c>
    </row>
    <row r="14" spans="1:15" ht="32.25" customHeight="1">
      <c r="A14" s="99">
        <v>6</v>
      </c>
      <c r="B14" s="463" t="s">
        <v>92</v>
      </c>
      <c r="C14" s="464" t="s">
        <v>85</v>
      </c>
      <c r="D14" s="465"/>
      <c r="E14" s="133">
        <v>1</v>
      </c>
      <c r="F14" s="101" t="s">
        <v>86</v>
      </c>
      <c r="G14" s="102">
        <v>10268.83</v>
      </c>
      <c r="H14" s="102">
        <f t="shared" si="1"/>
        <v>10268.83</v>
      </c>
      <c r="I14" s="103" t="s">
        <v>87</v>
      </c>
      <c r="J14" s="466"/>
      <c r="K14" s="467">
        <v>1</v>
      </c>
      <c r="L14" s="13">
        <v>2</v>
      </c>
      <c r="N14" s="468">
        <v>1092</v>
      </c>
      <c r="O14" s="13">
        <f t="shared" si="0"/>
        <v>7639.53</v>
      </c>
    </row>
    <row r="15" spans="1:15" ht="32.25" customHeight="1">
      <c r="A15" s="99">
        <v>7</v>
      </c>
      <c r="B15" s="463" t="s">
        <v>93</v>
      </c>
      <c r="C15" s="464" t="s">
        <v>85</v>
      </c>
      <c r="D15" s="465"/>
      <c r="E15" s="133">
        <v>1</v>
      </c>
      <c r="F15" s="101" t="s">
        <v>86</v>
      </c>
      <c r="G15" s="102">
        <v>10268.83</v>
      </c>
      <c r="H15" s="102">
        <f t="shared" si="1"/>
        <v>10268.83</v>
      </c>
      <c r="I15" s="103" t="s">
        <v>87</v>
      </c>
      <c r="J15" s="466"/>
      <c r="K15" s="467">
        <v>2</v>
      </c>
      <c r="L15" s="13">
        <v>2</v>
      </c>
      <c r="N15" s="468">
        <v>1092</v>
      </c>
      <c r="O15" s="13">
        <f t="shared" si="0"/>
        <v>7639.53</v>
      </c>
    </row>
    <row r="16" spans="1:15" ht="32.25" customHeight="1">
      <c r="A16" s="99">
        <v>8</v>
      </c>
      <c r="B16" s="463" t="s">
        <v>94</v>
      </c>
      <c r="C16" s="464" t="s">
        <v>85</v>
      </c>
      <c r="D16" s="465"/>
      <c r="E16" s="133">
        <v>1</v>
      </c>
      <c r="F16" s="101" t="s">
        <v>86</v>
      </c>
      <c r="G16" s="102">
        <v>10268.83</v>
      </c>
      <c r="H16" s="102">
        <f t="shared" si="1"/>
        <v>10268.83</v>
      </c>
      <c r="I16" s="103" t="s">
        <v>87</v>
      </c>
      <c r="J16" s="466"/>
      <c r="K16" s="467">
        <v>2</v>
      </c>
      <c r="L16" s="13">
        <v>2</v>
      </c>
      <c r="N16" s="468">
        <v>1092</v>
      </c>
      <c r="O16" s="13">
        <f t="shared" si="0"/>
        <v>7639.53</v>
      </c>
    </row>
    <row r="17" spans="1:15" ht="32.25" customHeight="1">
      <c r="A17" s="99">
        <v>9</v>
      </c>
      <c r="B17" s="463" t="s">
        <v>95</v>
      </c>
      <c r="C17" s="464" t="s">
        <v>85</v>
      </c>
      <c r="D17" s="465"/>
      <c r="E17" s="133">
        <v>1</v>
      </c>
      <c r="F17" s="101" t="s">
        <v>86</v>
      </c>
      <c r="G17" s="102">
        <v>10268.83</v>
      </c>
      <c r="H17" s="102">
        <f t="shared" si="1"/>
        <v>10268.83</v>
      </c>
      <c r="I17" s="103" t="s">
        <v>87</v>
      </c>
      <c r="J17" s="466"/>
      <c r="K17" s="467">
        <v>2</v>
      </c>
      <c r="L17" s="13">
        <v>2</v>
      </c>
      <c r="N17" s="468">
        <v>1092</v>
      </c>
      <c r="O17" s="13">
        <f t="shared" si="0"/>
        <v>7639.53</v>
      </c>
    </row>
    <row r="18" spans="1:15" ht="32.25" customHeight="1">
      <c r="A18" s="99">
        <v>10</v>
      </c>
      <c r="B18" s="463" t="s">
        <v>96</v>
      </c>
      <c r="C18" s="464" t="s">
        <v>85</v>
      </c>
      <c r="D18" s="465"/>
      <c r="E18" s="133">
        <v>1</v>
      </c>
      <c r="F18" s="101" t="s">
        <v>86</v>
      </c>
      <c r="G18" s="102">
        <v>10268.83</v>
      </c>
      <c r="H18" s="102">
        <f t="shared" si="1"/>
        <v>10268.83</v>
      </c>
      <c r="I18" s="103" t="s">
        <v>87</v>
      </c>
      <c r="J18" s="466"/>
      <c r="K18" s="467">
        <v>2</v>
      </c>
      <c r="L18" s="13">
        <v>2</v>
      </c>
      <c r="N18" s="468">
        <v>1092</v>
      </c>
      <c r="O18" s="13">
        <f t="shared" si="0"/>
        <v>7639.53</v>
      </c>
    </row>
    <row r="19" spans="1:15" ht="32.25" customHeight="1">
      <c r="A19" s="99">
        <v>11</v>
      </c>
      <c r="B19" s="463" t="s">
        <v>97</v>
      </c>
      <c r="C19" s="464" t="s">
        <v>85</v>
      </c>
      <c r="D19" s="465"/>
      <c r="E19" s="133">
        <v>1</v>
      </c>
      <c r="F19" s="101" t="s">
        <v>86</v>
      </c>
      <c r="G19" s="102">
        <v>10268.83</v>
      </c>
      <c r="H19" s="102">
        <f t="shared" si="1"/>
        <v>10268.83</v>
      </c>
      <c r="I19" s="103" t="s">
        <v>87</v>
      </c>
      <c r="J19" s="466"/>
      <c r="K19" s="467">
        <v>2</v>
      </c>
      <c r="L19" s="13">
        <v>2</v>
      </c>
      <c r="N19" s="468">
        <v>1092</v>
      </c>
      <c r="O19" s="13">
        <f t="shared" si="0"/>
        <v>7639.53</v>
      </c>
    </row>
    <row r="20" spans="1:15" ht="32.25" customHeight="1">
      <c r="A20" s="99">
        <v>12</v>
      </c>
      <c r="B20" s="463" t="s">
        <v>98</v>
      </c>
      <c r="C20" s="464" t="s">
        <v>85</v>
      </c>
      <c r="D20" s="465"/>
      <c r="E20" s="133">
        <v>1</v>
      </c>
      <c r="F20" s="101" t="s">
        <v>86</v>
      </c>
      <c r="G20" s="102">
        <v>10268.83</v>
      </c>
      <c r="H20" s="102">
        <f t="shared" si="1"/>
        <v>10268.83</v>
      </c>
      <c r="I20" s="103" t="s">
        <v>87</v>
      </c>
      <c r="J20" s="466"/>
      <c r="K20" s="467">
        <v>2</v>
      </c>
      <c r="L20" s="13">
        <v>2</v>
      </c>
      <c r="N20" s="468">
        <v>1092</v>
      </c>
      <c r="O20" s="13">
        <f t="shared" si="0"/>
        <v>7639.53</v>
      </c>
    </row>
    <row r="21" spans="1:15" ht="32.25" customHeight="1">
      <c r="A21" s="99">
        <v>13</v>
      </c>
      <c r="B21" s="463" t="s">
        <v>99</v>
      </c>
      <c r="C21" s="464" t="s">
        <v>100</v>
      </c>
      <c r="D21" s="465"/>
      <c r="E21" s="133">
        <v>1</v>
      </c>
      <c r="F21" s="101" t="s">
        <v>86</v>
      </c>
      <c r="G21" s="102">
        <v>11284.43</v>
      </c>
      <c r="H21" s="102">
        <f t="shared" si="1"/>
        <v>11284.43</v>
      </c>
      <c r="I21" s="103" t="s">
        <v>87</v>
      </c>
      <c r="J21" s="466"/>
      <c r="K21" s="467">
        <v>1</v>
      </c>
      <c r="L21" s="13">
        <v>1</v>
      </c>
      <c r="N21" s="468">
        <v>1200</v>
      </c>
      <c r="O21" s="13">
        <f t="shared" si="0"/>
        <v>8395.09</v>
      </c>
    </row>
    <row r="22" spans="1:15" ht="32.25" customHeight="1">
      <c r="A22" s="99">
        <v>14</v>
      </c>
      <c r="B22" s="463" t="s">
        <v>101</v>
      </c>
      <c r="C22" s="464" t="s">
        <v>100</v>
      </c>
      <c r="D22" s="465"/>
      <c r="E22" s="133">
        <v>1</v>
      </c>
      <c r="F22" s="101" t="s">
        <v>86</v>
      </c>
      <c r="G22" s="102">
        <v>11284.43</v>
      </c>
      <c r="H22" s="102">
        <f t="shared" si="1"/>
        <v>11284.43</v>
      </c>
      <c r="I22" s="103" t="s">
        <v>87</v>
      </c>
      <c r="J22" s="466"/>
      <c r="K22" s="467">
        <v>2</v>
      </c>
      <c r="L22" s="13">
        <v>2</v>
      </c>
      <c r="N22" s="468">
        <v>1200</v>
      </c>
      <c r="O22" s="13">
        <f t="shared" si="0"/>
        <v>8395.09</v>
      </c>
    </row>
    <row r="23" spans="1:15" ht="32.25" customHeight="1">
      <c r="A23" s="99">
        <v>15</v>
      </c>
      <c r="B23" s="463" t="s">
        <v>102</v>
      </c>
      <c r="C23" s="464" t="s">
        <v>100</v>
      </c>
      <c r="D23" s="465"/>
      <c r="E23" s="133">
        <v>1</v>
      </c>
      <c r="F23" s="101" t="s">
        <v>86</v>
      </c>
      <c r="G23" s="102">
        <v>5507.95</v>
      </c>
      <c r="H23" s="102">
        <f t="shared" si="1"/>
        <v>5507.95</v>
      </c>
      <c r="I23" s="103" t="s">
        <v>87</v>
      </c>
      <c r="J23" s="466"/>
      <c r="K23" s="467">
        <v>1</v>
      </c>
      <c r="L23" s="13">
        <v>1</v>
      </c>
      <c r="N23" s="468">
        <v>1792</v>
      </c>
      <c r="O23" s="13">
        <f t="shared" si="0"/>
        <v>12536.67</v>
      </c>
    </row>
    <row r="24" spans="1:15" ht="32.25" customHeight="1">
      <c r="A24" s="99">
        <v>16</v>
      </c>
      <c r="B24" s="463" t="s">
        <v>103</v>
      </c>
      <c r="C24" s="464" t="s">
        <v>104</v>
      </c>
      <c r="D24" s="465"/>
      <c r="E24" s="133">
        <v>1</v>
      </c>
      <c r="F24" s="101" t="s">
        <v>86</v>
      </c>
      <c r="G24" s="102">
        <v>11848.65</v>
      </c>
      <c r="H24" s="102">
        <f t="shared" si="1"/>
        <v>11848.65</v>
      </c>
      <c r="I24" s="103" t="s">
        <v>87</v>
      </c>
      <c r="J24" s="466"/>
      <c r="K24" s="467">
        <v>1</v>
      </c>
      <c r="L24" s="13">
        <v>1</v>
      </c>
      <c r="N24" s="468">
        <v>1260</v>
      </c>
      <c r="O24" s="13">
        <f t="shared" si="0"/>
        <v>8814.85</v>
      </c>
    </row>
    <row r="25" spans="1:15" ht="32.25" customHeight="1">
      <c r="A25" s="99">
        <v>17</v>
      </c>
      <c r="B25" s="463" t="s">
        <v>105</v>
      </c>
      <c r="C25" s="464" t="s">
        <v>104</v>
      </c>
      <c r="D25" s="465"/>
      <c r="E25" s="133">
        <v>1</v>
      </c>
      <c r="F25" s="101" t="s">
        <v>86</v>
      </c>
      <c r="G25" s="102">
        <v>11848.65</v>
      </c>
      <c r="H25" s="102">
        <f t="shared" si="1"/>
        <v>11848.65</v>
      </c>
      <c r="I25" s="103" t="s">
        <v>87</v>
      </c>
      <c r="J25" s="466"/>
      <c r="K25" s="467">
        <v>1</v>
      </c>
      <c r="L25" s="13">
        <v>2</v>
      </c>
      <c r="N25" s="468">
        <v>1260</v>
      </c>
      <c r="O25" s="13">
        <f t="shared" si="0"/>
        <v>8814.85</v>
      </c>
    </row>
    <row r="26" spans="1:15" ht="32.25" customHeight="1">
      <c r="A26" s="99">
        <v>18</v>
      </c>
      <c r="B26" s="463" t="s">
        <v>106</v>
      </c>
      <c r="C26" s="464" t="s">
        <v>104</v>
      </c>
      <c r="D26" s="465"/>
      <c r="E26" s="133">
        <v>1</v>
      </c>
      <c r="F26" s="101" t="s">
        <v>86</v>
      </c>
      <c r="G26" s="102">
        <v>11848.65</v>
      </c>
      <c r="H26" s="102">
        <f t="shared" si="1"/>
        <v>11848.65</v>
      </c>
      <c r="I26" s="103" t="s">
        <v>87</v>
      </c>
      <c r="J26" s="466"/>
      <c r="K26" s="467">
        <v>2</v>
      </c>
      <c r="L26" s="13">
        <v>2</v>
      </c>
      <c r="N26" s="468">
        <v>1260</v>
      </c>
      <c r="O26" s="13">
        <f t="shared" si="0"/>
        <v>8814.85</v>
      </c>
    </row>
    <row r="27" spans="1:15" ht="32.25" customHeight="1">
      <c r="A27" s="99">
        <v>19</v>
      </c>
      <c r="B27" s="463" t="s">
        <v>107</v>
      </c>
      <c r="C27" s="464" t="s">
        <v>104</v>
      </c>
      <c r="D27" s="465"/>
      <c r="E27" s="133">
        <v>1</v>
      </c>
      <c r="F27" s="101" t="s">
        <v>86</v>
      </c>
      <c r="G27" s="102">
        <v>11848.65</v>
      </c>
      <c r="H27" s="102">
        <f t="shared" si="1"/>
        <v>11848.65</v>
      </c>
      <c r="I27" s="103" t="s">
        <v>87</v>
      </c>
      <c r="J27" s="466"/>
      <c r="K27" s="467">
        <v>2</v>
      </c>
      <c r="L27" s="13">
        <v>2</v>
      </c>
      <c r="N27" s="468">
        <v>1260</v>
      </c>
      <c r="O27" s="13">
        <f t="shared" si="0"/>
        <v>8814.85</v>
      </c>
    </row>
    <row r="28" spans="1:15" ht="32.25" customHeight="1">
      <c r="A28" s="99">
        <v>20</v>
      </c>
      <c r="B28" s="463" t="s">
        <v>108</v>
      </c>
      <c r="C28" s="464" t="s">
        <v>109</v>
      </c>
      <c r="D28" s="465"/>
      <c r="E28" s="133">
        <v>1</v>
      </c>
      <c r="F28" s="101" t="s">
        <v>86</v>
      </c>
      <c r="G28" s="102">
        <v>7658.79</v>
      </c>
      <c r="H28" s="102">
        <f t="shared" si="1"/>
        <v>7658.79</v>
      </c>
      <c r="I28" s="103" t="s">
        <v>87</v>
      </c>
      <c r="J28" s="466"/>
      <c r="K28" s="467">
        <v>1</v>
      </c>
      <c r="L28" s="13">
        <v>1</v>
      </c>
      <c r="N28" s="468">
        <v>1200</v>
      </c>
      <c r="O28" s="13">
        <f t="shared" ref="O28:O33" si="2">ROUND(N28*$M$72,2)</f>
        <v>9528.17</v>
      </c>
    </row>
    <row r="29" spans="1:15" ht="32.25" customHeight="1">
      <c r="A29" s="99">
        <v>21</v>
      </c>
      <c r="B29" s="463" t="s">
        <v>110</v>
      </c>
      <c r="C29" s="464" t="s">
        <v>109</v>
      </c>
      <c r="D29" s="465"/>
      <c r="E29" s="133">
        <v>1</v>
      </c>
      <c r="F29" s="101" t="s">
        <v>86</v>
      </c>
      <c r="G29" s="102">
        <v>7658.79</v>
      </c>
      <c r="H29" s="102">
        <f t="shared" si="1"/>
        <v>7658.79</v>
      </c>
      <c r="I29" s="103" t="s">
        <v>87</v>
      </c>
      <c r="J29" s="466"/>
      <c r="K29" s="467">
        <v>2</v>
      </c>
      <c r="L29" s="13">
        <v>1</v>
      </c>
      <c r="N29" s="468">
        <v>1200</v>
      </c>
      <c r="O29" s="13">
        <f t="shared" si="2"/>
        <v>9528.17</v>
      </c>
    </row>
    <row r="30" spans="1:15" ht="32.25" customHeight="1">
      <c r="A30" s="99">
        <v>22</v>
      </c>
      <c r="B30" s="463" t="s">
        <v>111</v>
      </c>
      <c r="C30" s="464" t="s">
        <v>112</v>
      </c>
      <c r="D30" s="465"/>
      <c r="E30" s="133">
        <v>1</v>
      </c>
      <c r="F30" s="101" t="s">
        <v>86</v>
      </c>
      <c r="G30" s="102">
        <v>12892.3</v>
      </c>
      <c r="H30" s="102">
        <f t="shared" si="1"/>
        <v>12892.3</v>
      </c>
      <c r="I30" s="103" t="s">
        <v>87</v>
      </c>
      <c r="J30" s="466"/>
      <c r="K30" s="467">
        <v>1</v>
      </c>
      <c r="L30" s="13">
        <v>1</v>
      </c>
      <c r="N30" s="468">
        <v>2020</v>
      </c>
      <c r="O30" s="13">
        <f t="shared" si="2"/>
        <v>16039.08</v>
      </c>
    </row>
    <row r="31" spans="1:15" ht="32.25" customHeight="1">
      <c r="A31" s="99">
        <v>23</v>
      </c>
      <c r="B31" s="463" t="s">
        <v>113</v>
      </c>
      <c r="C31" s="464" t="s">
        <v>112</v>
      </c>
      <c r="D31" s="465"/>
      <c r="E31" s="133">
        <v>1</v>
      </c>
      <c r="F31" s="101" t="s">
        <v>86</v>
      </c>
      <c r="G31" s="102">
        <v>38676.9</v>
      </c>
      <c r="H31" s="102">
        <f t="shared" si="1"/>
        <v>38676.9</v>
      </c>
      <c r="I31" s="103" t="s">
        <v>87</v>
      </c>
      <c r="J31" s="466"/>
      <c r="K31" s="467">
        <v>2</v>
      </c>
      <c r="L31" s="13">
        <v>1</v>
      </c>
      <c r="N31" s="468">
        <v>6060</v>
      </c>
      <c r="O31" s="13">
        <f t="shared" si="2"/>
        <v>48117.25</v>
      </c>
    </row>
    <row r="32" spans="1:15" ht="32.25" customHeight="1">
      <c r="A32" s="99">
        <v>24</v>
      </c>
      <c r="B32" s="463" t="s">
        <v>114</v>
      </c>
      <c r="C32" s="464" t="s">
        <v>115</v>
      </c>
      <c r="D32" s="465"/>
      <c r="E32" s="133">
        <v>1</v>
      </c>
      <c r="F32" s="101" t="s">
        <v>86</v>
      </c>
      <c r="G32" s="102">
        <v>3829.4</v>
      </c>
      <c r="H32" s="102">
        <f t="shared" si="1"/>
        <v>3829.4</v>
      </c>
      <c r="I32" s="103" t="s">
        <v>87</v>
      </c>
      <c r="J32" s="466"/>
      <c r="K32" s="467">
        <v>1</v>
      </c>
      <c r="L32" s="13">
        <v>1</v>
      </c>
      <c r="N32" s="468">
        <v>600</v>
      </c>
      <c r="O32" s="13">
        <f t="shared" si="2"/>
        <v>4764.08</v>
      </c>
    </row>
    <row r="33" spans="1:15" ht="32.25" customHeight="1">
      <c r="A33" s="99">
        <v>25</v>
      </c>
      <c r="B33" s="463" t="s">
        <v>116</v>
      </c>
      <c r="C33" s="464" t="s">
        <v>115</v>
      </c>
      <c r="D33" s="465"/>
      <c r="E33" s="133">
        <v>1</v>
      </c>
      <c r="F33" s="101" t="s">
        <v>86</v>
      </c>
      <c r="G33" s="102">
        <v>3829.4</v>
      </c>
      <c r="H33" s="102">
        <f t="shared" si="1"/>
        <v>3829.4</v>
      </c>
      <c r="I33" s="103" t="s">
        <v>87</v>
      </c>
      <c r="J33" s="466"/>
      <c r="K33" s="467">
        <v>1</v>
      </c>
      <c r="L33" s="13">
        <v>1</v>
      </c>
      <c r="N33" s="468">
        <v>600</v>
      </c>
      <c r="O33" s="13">
        <f t="shared" si="2"/>
        <v>4764.08</v>
      </c>
    </row>
    <row r="34" spans="1:15" ht="32.25" customHeight="1">
      <c r="A34" s="99">
        <v>26</v>
      </c>
      <c r="B34" s="463" t="s">
        <v>117</v>
      </c>
      <c r="C34" s="464" t="s">
        <v>115</v>
      </c>
      <c r="D34" s="465"/>
      <c r="E34" s="133">
        <v>1</v>
      </c>
      <c r="F34" s="101" t="s">
        <v>86</v>
      </c>
      <c r="G34" s="102">
        <v>3829.4</v>
      </c>
      <c r="H34" s="102">
        <f t="shared" si="1"/>
        <v>3829.4</v>
      </c>
      <c r="I34" s="103" t="s">
        <v>87</v>
      </c>
      <c r="J34" s="466"/>
      <c r="K34" s="467">
        <v>1</v>
      </c>
      <c r="L34" s="13">
        <v>1</v>
      </c>
      <c r="N34" s="468">
        <v>600</v>
      </c>
      <c r="O34" s="13">
        <f t="shared" ref="O34:O41" si="3">ROUND(N34*$M$72,2)</f>
        <v>4764.08</v>
      </c>
    </row>
    <row r="35" spans="1:15" ht="32.25" customHeight="1">
      <c r="A35" s="99">
        <v>27</v>
      </c>
      <c r="B35" s="463" t="s">
        <v>118</v>
      </c>
      <c r="C35" s="464" t="s">
        <v>115</v>
      </c>
      <c r="D35" s="465"/>
      <c r="E35" s="133">
        <v>1</v>
      </c>
      <c r="F35" s="101" t="s">
        <v>86</v>
      </c>
      <c r="G35" s="102">
        <v>3829.4</v>
      </c>
      <c r="H35" s="102">
        <f t="shared" si="1"/>
        <v>3829.4</v>
      </c>
      <c r="I35" s="103" t="s">
        <v>87</v>
      </c>
      <c r="J35" s="466"/>
      <c r="K35" s="467">
        <v>1</v>
      </c>
      <c r="L35" s="13">
        <v>1</v>
      </c>
      <c r="N35" s="468">
        <v>600</v>
      </c>
      <c r="O35" s="13">
        <f t="shared" si="3"/>
        <v>4764.08</v>
      </c>
    </row>
    <row r="36" spans="1:15" ht="32.25" customHeight="1">
      <c r="A36" s="99">
        <v>28</v>
      </c>
      <c r="B36" s="463" t="s">
        <v>119</v>
      </c>
      <c r="C36" s="464" t="s">
        <v>115</v>
      </c>
      <c r="D36" s="465"/>
      <c r="E36" s="133">
        <v>1</v>
      </c>
      <c r="F36" s="101" t="s">
        <v>86</v>
      </c>
      <c r="G36" s="102">
        <v>3829.4</v>
      </c>
      <c r="H36" s="102">
        <f t="shared" si="1"/>
        <v>3829.4</v>
      </c>
      <c r="I36" s="103" t="s">
        <v>87</v>
      </c>
      <c r="J36" s="466"/>
      <c r="K36" s="467">
        <v>2</v>
      </c>
      <c r="L36" s="13">
        <v>1</v>
      </c>
      <c r="N36" s="468">
        <v>600</v>
      </c>
      <c r="O36" s="13">
        <f t="shared" si="3"/>
        <v>4764.08</v>
      </c>
    </row>
    <row r="37" spans="1:15" ht="32.25" customHeight="1">
      <c r="A37" s="99">
        <v>29</v>
      </c>
      <c r="B37" s="463" t="s">
        <v>120</v>
      </c>
      <c r="C37" s="464" t="s">
        <v>115</v>
      </c>
      <c r="D37" s="465"/>
      <c r="E37" s="133">
        <v>1</v>
      </c>
      <c r="F37" s="101" t="s">
        <v>86</v>
      </c>
      <c r="G37" s="102">
        <v>3829.4</v>
      </c>
      <c r="H37" s="102">
        <f t="shared" si="1"/>
        <v>3829.4</v>
      </c>
      <c r="I37" s="103" t="s">
        <v>87</v>
      </c>
      <c r="J37" s="466"/>
      <c r="K37" s="467">
        <v>2</v>
      </c>
      <c r="L37" s="13">
        <v>1</v>
      </c>
      <c r="N37" s="468">
        <v>600</v>
      </c>
      <c r="O37" s="13">
        <f t="shared" si="3"/>
        <v>4764.08</v>
      </c>
    </row>
    <row r="38" spans="1:15" ht="32.25" customHeight="1">
      <c r="A38" s="99">
        <v>30</v>
      </c>
      <c r="B38" s="463" t="s">
        <v>121</v>
      </c>
      <c r="C38" s="464" t="s">
        <v>115</v>
      </c>
      <c r="D38" s="465"/>
      <c r="E38" s="133">
        <v>1</v>
      </c>
      <c r="F38" s="101" t="s">
        <v>86</v>
      </c>
      <c r="G38" s="102">
        <v>3829.4</v>
      </c>
      <c r="H38" s="102">
        <f t="shared" si="1"/>
        <v>3829.4</v>
      </c>
      <c r="I38" s="103" t="s">
        <v>87</v>
      </c>
      <c r="J38" s="466"/>
      <c r="K38" s="467">
        <v>2</v>
      </c>
      <c r="L38" s="13">
        <v>1</v>
      </c>
      <c r="N38" s="468">
        <v>600</v>
      </c>
      <c r="O38" s="13">
        <f t="shared" si="3"/>
        <v>4764.08</v>
      </c>
    </row>
    <row r="39" spans="1:15" ht="32.25" customHeight="1">
      <c r="A39" s="99">
        <v>31</v>
      </c>
      <c r="B39" s="463" t="s">
        <v>122</v>
      </c>
      <c r="C39" s="464" t="s">
        <v>115</v>
      </c>
      <c r="D39" s="465"/>
      <c r="E39" s="133">
        <v>1</v>
      </c>
      <c r="F39" s="101" t="s">
        <v>86</v>
      </c>
      <c r="G39" s="102">
        <v>3829.4</v>
      </c>
      <c r="H39" s="102">
        <f t="shared" si="1"/>
        <v>3829.4</v>
      </c>
      <c r="I39" s="103" t="s">
        <v>87</v>
      </c>
      <c r="J39" s="466"/>
      <c r="K39" s="467">
        <v>2</v>
      </c>
      <c r="L39" s="13">
        <v>1</v>
      </c>
      <c r="N39" s="468">
        <v>600</v>
      </c>
      <c r="O39" s="13">
        <f t="shared" si="3"/>
        <v>4764.08</v>
      </c>
    </row>
    <row r="40" spans="1:15" ht="32.25" customHeight="1">
      <c r="A40" s="99">
        <v>32</v>
      </c>
      <c r="B40" s="463" t="s">
        <v>123</v>
      </c>
      <c r="C40" s="464" t="s">
        <v>124</v>
      </c>
      <c r="D40" s="465"/>
      <c r="E40" s="133">
        <v>1</v>
      </c>
      <c r="F40" s="101" t="s">
        <v>86</v>
      </c>
      <c r="G40" s="102">
        <v>16166.15</v>
      </c>
      <c r="H40" s="102">
        <f t="shared" si="1"/>
        <v>16166.15</v>
      </c>
      <c r="I40" s="103" t="s">
        <v>87</v>
      </c>
      <c r="J40" s="466"/>
      <c r="K40" s="467">
        <v>1</v>
      </c>
      <c r="L40" s="13">
        <v>1</v>
      </c>
      <c r="N40" s="468">
        <v>2532.9559999999992</v>
      </c>
      <c r="O40" s="13">
        <f t="shared" si="3"/>
        <v>20112.03</v>
      </c>
    </row>
    <row r="41" spans="1:15" ht="32.25" customHeight="1">
      <c r="A41" s="99">
        <v>33</v>
      </c>
      <c r="B41" s="463" t="s">
        <v>125</v>
      </c>
      <c r="C41" s="464" t="s">
        <v>126</v>
      </c>
      <c r="D41" s="465"/>
      <c r="E41" s="133">
        <v>1</v>
      </c>
      <c r="F41" s="101" t="s">
        <v>86</v>
      </c>
      <c r="G41" s="102">
        <v>510.59</v>
      </c>
      <c r="H41" s="102">
        <f t="shared" si="1"/>
        <v>510.59</v>
      </c>
      <c r="I41" s="103" t="s">
        <v>87</v>
      </c>
      <c r="J41" s="466"/>
      <c r="K41" s="467">
        <v>2</v>
      </c>
      <c r="L41" s="13">
        <v>1</v>
      </c>
      <c r="N41" s="468">
        <v>80</v>
      </c>
      <c r="O41" s="13">
        <f t="shared" si="3"/>
        <v>635.21</v>
      </c>
    </row>
    <row r="42" spans="1:15" ht="32.25" customHeight="1">
      <c r="A42" s="99">
        <v>34</v>
      </c>
      <c r="B42" s="463" t="s">
        <v>127</v>
      </c>
      <c r="C42" s="464" t="s">
        <v>128</v>
      </c>
      <c r="D42" s="465"/>
      <c r="E42" s="133">
        <v>1</v>
      </c>
      <c r="F42" s="101" t="s">
        <v>86</v>
      </c>
      <c r="G42" s="102">
        <v>564.22</v>
      </c>
      <c r="H42" s="102">
        <f t="shared" si="1"/>
        <v>564.22</v>
      </c>
      <c r="I42" s="103" t="s">
        <v>87</v>
      </c>
      <c r="J42" s="466"/>
      <c r="K42" s="467">
        <v>2</v>
      </c>
      <c r="L42" s="13">
        <v>2</v>
      </c>
      <c r="N42" s="468">
        <v>60</v>
      </c>
      <c r="O42" s="13">
        <f>ROUND(N42*$M$73,2)</f>
        <v>419.75</v>
      </c>
    </row>
    <row r="43" spans="1:15" ht="32.25" customHeight="1">
      <c r="A43" s="99">
        <v>35</v>
      </c>
      <c r="B43" s="463" t="s">
        <v>129</v>
      </c>
      <c r="C43" s="464" t="s">
        <v>130</v>
      </c>
      <c r="D43" s="465"/>
      <c r="E43" s="133">
        <v>1</v>
      </c>
      <c r="F43" s="101" t="s">
        <v>86</v>
      </c>
      <c r="G43" s="102">
        <v>1659.4</v>
      </c>
      <c r="H43" s="102">
        <f t="shared" si="1"/>
        <v>1659.4</v>
      </c>
      <c r="I43" s="103" t="s">
        <v>87</v>
      </c>
      <c r="J43" s="466"/>
      <c r="K43" s="467">
        <v>1</v>
      </c>
      <c r="L43" s="13">
        <v>1</v>
      </c>
      <c r="N43" s="468">
        <v>260</v>
      </c>
      <c r="O43" s="13">
        <f t="shared" ref="O43:O48" si="4">ROUND(N43*$M$72,2)</f>
        <v>2064.44</v>
      </c>
    </row>
    <row r="44" spans="1:15" ht="32.25" customHeight="1">
      <c r="A44" s="99">
        <v>36</v>
      </c>
      <c r="B44" s="463" t="s">
        <v>131</v>
      </c>
      <c r="C44" s="464" t="s">
        <v>130</v>
      </c>
      <c r="D44" s="465"/>
      <c r="E44" s="133">
        <v>1</v>
      </c>
      <c r="F44" s="101" t="s">
        <v>86</v>
      </c>
      <c r="G44" s="102">
        <v>1659.4</v>
      </c>
      <c r="H44" s="102">
        <f t="shared" si="1"/>
        <v>1659.4</v>
      </c>
      <c r="I44" s="103" t="s">
        <v>87</v>
      </c>
      <c r="J44" s="466"/>
      <c r="K44" s="467">
        <v>1</v>
      </c>
      <c r="L44" s="13">
        <v>1</v>
      </c>
      <c r="N44" s="468">
        <v>260</v>
      </c>
      <c r="O44" s="13">
        <f t="shared" si="4"/>
        <v>2064.44</v>
      </c>
    </row>
    <row r="45" spans="1:15" ht="32.25" customHeight="1">
      <c r="A45" s="99">
        <v>37</v>
      </c>
      <c r="B45" s="463" t="s">
        <v>132</v>
      </c>
      <c r="C45" s="464" t="s">
        <v>130</v>
      </c>
      <c r="D45" s="465"/>
      <c r="E45" s="133">
        <v>1</v>
      </c>
      <c r="F45" s="101" t="s">
        <v>86</v>
      </c>
      <c r="G45" s="102">
        <v>1659.4</v>
      </c>
      <c r="H45" s="102">
        <f t="shared" si="1"/>
        <v>1659.4</v>
      </c>
      <c r="I45" s="103" t="s">
        <v>87</v>
      </c>
      <c r="J45" s="466"/>
      <c r="K45" s="467">
        <v>1</v>
      </c>
      <c r="L45" s="13">
        <v>1</v>
      </c>
      <c r="N45" s="468">
        <v>260</v>
      </c>
      <c r="O45" s="13">
        <f t="shared" si="4"/>
        <v>2064.44</v>
      </c>
    </row>
    <row r="46" spans="1:15" ht="32.25" customHeight="1">
      <c r="A46" s="99">
        <v>38</v>
      </c>
      <c r="B46" s="463" t="s">
        <v>133</v>
      </c>
      <c r="C46" s="464" t="s">
        <v>130</v>
      </c>
      <c r="D46" s="465"/>
      <c r="E46" s="133">
        <v>1</v>
      </c>
      <c r="F46" s="101" t="s">
        <v>86</v>
      </c>
      <c r="G46" s="102">
        <v>1659.4</v>
      </c>
      <c r="H46" s="102">
        <f t="shared" si="1"/>
        <v>1659.4</v>
      </c>
      <c r="I46" s="103" t="s">
        <v>87</v>
      </c>
      <c r="J46" s="466"/>
      <c r="K46" s="467">
        <v>2</v>
      </c>
      <c r="L46" s="13">
        <v>1</v>
      </c>
      <c r="N46" s="468">
        <v>260</v>
      </c>
      <c r="O46" s="13">
        <f t="shared" si="4"/>
        <v>2064.44</v>
      </c>
    </row>
    <row r="47" spans="1:15" ht="32.25" customHeight="1">
      <c r="A47" s="99">
        <v>39</v>
      </c>
      <c r="B47" s="463" t="s">
        <v>134</v>
      </c>
      <c r="C47" s="464" t="s">
        <v>130</v>
      </c>
      <c r="D47" s="465"/>
      <c r="E47" s="133">
        <v>1</v>
      </c>
      <c r="F47" s="101" t="s">
        <v>86</v>
      </c>
      <c r="G47" s="102">
        <f>29213.38-5033.77</f>
        <v>24179.61</v>
      </c>
      <c r="H47" s="102">
        <f t="shared" si="1"/>
        <v>24179.61</v>
      </c>
      <c r="I47" s="103" t="s">
        <v>87</v>
      </c>
      <c r="J47" s="466"/>
      <c r="K47" s="467">
        <v>2</v>
      </c>
      <c r="L47" s="13">
        <v>2</v>
      </c>
      <c r="N47" s="468">
        <v>913</v>
      </c>
      <c r="O47" s="13">
        <f t="shared" si="4"/>
        <v>7249.35</v>
      </c>
    </row>
    <row r="48" spans="1:15" ht="32.25" customHeight="1">
      <c r="A48" s="99">
        <v>40</v>
      </c>
      <c r="B48" s="463" t="s">
        <v>135</v>
      </c>
      <c r="C48" s="464" t="s">
        <v>130</v>
      </c>
      <c r="D48" s="465"/>
      <c r="E48" s="133">
        <v>1</v>
      </c>
      <c r="F48" s="101" t="s">
        <v>86</v>
      </c>
      <c r="G48" s="102">
        <v>16851.41</v>
      </c>
      <c r="H48" s="102">
        <f t="shared" si="1"/>
        <v>16851.41</v>
      </c>
      <c r="I48" s="103" t="s">
        <v>87</v>
      </c>
      <c r="J48" s="466"/>
      <c r="K48" s="467">
        <v>2</v>
      </c>
      <c r="L48" s="13">
        <v>2</v>
      </c>
      <c r="N48" s="468">
        <v>863</v>
      </c>
      <c r="O48" s="13">
        <f t="shared" si="4"/>
        <v>6852.34</v>
      </c>
    </row>
    <row r="49" spans="1:15" ht="32.25" customHeight="1">
      <c r="A49" s="99">
        <v>41</v>
      </c>
      <c r="B49" s="463" t="s">
        <v>136</v>
      </c>
      <c r="C49" s="464" t="s">
        <v>137</v>
      </c>
      <c r="D49" s="465"/>
      <c r="E49" s="133">
        <v>1</v>
      </c>
      <c r="F49" s="101" t="s">
        <v>86</v>
      </c>
      <c r="G49" s="102">
        <v>16418.84</v>
      </c>
      <c r="H49" s="102">
        <f t="shared" si="1"/>
        <v>16418.84</v>
      </c>
      <c r="I49" s="103" t="s">
        <v>87</v>
      </c>
      <c r="J49" s="466"/>
      <c r="K49" s="467">
        <v>2</v>
      </c>
      <c r="L49" s="13">
        <v>2</v>
      </c>
      <c r="N49" s="468">
        <v>1746</v>
      </c>
      <c r="O49" s="13">
        <f t="shared" ref="O49:O55" si="5">ROUND(N49*$M$73,2)</f>
        <v>12214.86</v>
      </c>
    </row>
    <row r="50" spans="1:15" ht="32.25" customHeight="1">
      <c r="A50" s="99">
        <v>42</v>
      </c>
      <c r="B50" s="463" t="s">
        <v>138</v>
      </c>
      <c r="C50" s="464" t="s">
        <v>139</v>
      </c>
      <c r="D50" s="465"/>
      <c r="E50" s="133">
        <v>1</v>
      </c>
      <c r="F50" s="101" t="s">
        <v>86</v>
      </c>
      <c r="G50" s="102">
        <v>7522.95</v>
      </c>
      <c r="H50" s="102">
        <f t="shared" si="1"/>
        <v>7522.95</v>
      </c>
      <c r="I50" s="103" t="s">
        <v>87</v>
      </c>
      <c r="J50" s="466"/>
      <c r="K50" s="467">
        <v>2</v>
      </c>
      <c r="L50" s="13">
        <v>2</v>
      </c>
      <c r="N50" s="468">
        <v>800</v>
      </c>
      <c r="O50" s="13">
        <f t="shared" si="5"/>
        <v>5596.73</v>
      </c>
    </row>
    <row r="51" spans="1:15" ht="32.25" customHeight="1">
      <c r="A51" s="99">
        <v>43</v>
      </c>
      <c r="B51" s="463" t="s">
        <v>140</v>
      </c>
      <c r="C51" s="464" t="s">
        <v>141</v>
      </c>
      <c r="D51" s="465"/>
      <c r="E51" s="133">
        <v>1</v>
      </c>
      <c r="F51" s="101" t="s">
        <v>86</v>
      </c>
      <c r="G51" s="102">
        <f>50911.57-9944.7+1760.38-7688.83</f>
        <v>35038.419999999991</v>
      </c>
      <c r="H51" s="102">
        <f t="shared" si="1"/>
        <v>35038.419999999991</v>
      </c>
      <c r="I51" s="103" t="s">
        <v>87</v>
      </c>
      <c r="J51" s="466"/>
      <c r="K51" s="467">
        <v>1</v>
      </c>
      <c r="L51" s="13">
        <v>2</v>
      </c>
      <c r="N51" s="468">
        <v>5414</v>
      </c>
      <c r="O51" s="13">
        <f t="shared" si="5"/>
        <v>37875.86</v>
      </c>
    </row>
    <row r="52" spans="1:15" ht="32.25" customHeight="1">
      <c r="A52" s="99">
        <v>44</v>
      </c>
      <c r="B52" s="463" t="s">
        <v>142</v>
      </c>
      <c r="C52" s="464" t="s">
        <v>141</v>
      </c>
      <c r="D52" s="465"/>
      <c r="E52" s="133">
        <v>1</v>
      </c>
      <c r="F52" s="101" t="s">
        <v>86</v>
      </c>
      <c r="G52" s="102">
        <v>39709.130000000005</v>
      </c>
      <c r="H52" s="102">
        <f t="shared" si="1"/>
        <v>39709.130000000005</v>
      </c>
      <c r="I52" s="103" t="s">
        <v>87</v>
      </c>
      <c r="J52" s="466"/>
      <c r="K52" s="467">
        <v>1</v>
      </c>
      <c r="L52" s="13">
        <v>1</v>
      </c>
      <c r="N52" s="468">
        <v>2084</v>
      </c>
      <c r="O52" s="13">
        <f t="shared" si="5"/>
        <v>14579.48</v>
      </c>
    </row>
    <row r="53" spans="1:15" ht="32.25" customHeight="1">
      <c r="A53" s="99">
        <v>45</v>
      </c>
      <c r="B53" s="463" t="s">
        <v>143</v>
      </c>
      <c r="C53" s="464" t="s">
        <v>141</v>
      </c>
      <c r="D53" s="465"/>
      <c r="E53" s="133">
        <v>1</v>
      </c>
      <c r="F53" s="101" t="s">
        <v>86</v>
      </c>
      <c r="G53" s="102">
        <v>41330.17</v>
      </c>
      <c r="H53" s="102">
        <f t="shared" si="1"/>
        <v>41330.17</v>
      </c>
      <c r="I53" s="103" t="s">
        <v>87</v>
      </c>
      <c r="J53" s="466"/>
      <c r="K53" s="467">
        <v>1</v>
      </c>
      <c r="L53" s="13">
        <v>1</v>
      </c>
      <c r="N53" s="468">
        <v>1822</v>
      </c>
      <c r="O53" s="13">
        <f t="shared" si="5"/>
        <v>12746.55</v>
      </c>
    </row>
    <row r="54" spans="1:15" ht="32.25" customHeight="1">
      <c r="A54" s="99">
        <v>46</v>
      </c>
      <c r="B54" s="463" t="s">
        <v>144</v>
      </c>
      <c r="C54" s="464" t="s">
        <v>141</v>
      </c>
      <c r="D54" s="465"/>
      <c r="E54" s="133">
        <v>1</v>
      </c>
      <c r="F54" s="101" t="s">
        <v>86</v>
      </c>
      <c r="G54" s="102">
        <v>10827.06</v>
      </c>
      <c r="H54" s="102">
        <f t="shared" si="1"/>
        <v>10827.06</v>
      </c>
      <c r="I54" s="103" t="s">
        <v>87</v>
      </c>
      <c r="J54" s="466"/>
      <c r="K54" s="467">
        <v>2</v>
      </c>
      <c r="L54" s="13">
        <v>1</v>
      </c>
      <c r="N54" s="468">
        <v>4170</v>
      </c>
      <c r="O54" s="13">
        <f t="shared" si="5"/>
        <v>29172.94</v>
      </c>
    </row>
    <row r="55" spans="1:15" ht="32.25" customHeight="1">
      <c r="A55" s="99">
        <v>47</v>
      </c>
      <c r="B55" s="463" t="s">
        <v>145</v>
      </c>
      <c r="C55" s="464" t="s">
        <v>141</v>
      </c>
      <c r="D55" s="465"/>
      <c r="E55" s="133">
        <v>1</v>
      </c>
      <c r="F55" s="101" t="s">
        <v>86</v>
      </c>
      <c r="G55" s="102">
        <v>5312.57</v>
      </c>
      <c r="H55" s="102">
        <f t="shared" si="1"/>
        <v>5312.57</v>
      </c>
      <c r="I55" s="103" t="s">
        <v>87</v>
      </c>
      <c r="J55" s="466"/>
      <c r="K55" s="467">
        <v>2</v>
      </c>
      <c r="L55" s="13">
        <v>2</v>
      </c>
      <c r="N55" s="468">
        <v>564.94499999999994</v>
      </c>
      <c r="O55" s="13">
        <f t="shared" si="5"/>
        <v>3952.3</v>
      </c>
    </row>
    <row r="56" spans="1:15" ht="32.25" customHeight="1">
      <c r="A56" s="99">
        <v>48</v>
      </c>
      <c r="B56" s="463" t="s">
        <v>146</v>
      </c>
      <c r="C56" s="464" t="s">
        <v>147</v>
      </c>
      <c r="D56" s="465"/>
      <c r="E56" s="133">
        <v>1</v>
      </c>
      <c r="F56" s="101" t="s">
        <v>86</v>
      </c>
      <c r="G56" s="102">
        <v>29101.72</v>
      </c>
      <c r="H56" s="102">
        <f t="shared" si="1"/>
        <v>29101.72</v>
      </c>
      <c r="I56" s="103" t="s">
        <v>87</v>
      </c>
      <c r="J56" s="466"/>
      <c r="K56" s="467">
        <v>2</v>
      </c>
      <c r="L56" s="13">
        <v>1</v>
      </c>
      <c r="N56" s="468">
        <v>4559.735615999999</v>
      </c>
      <c r="O56" s="13">
        <f>ROUND(N56*$M$72,2)</f>
        <v>36204.94</v>
      </c>
    </row>
    <row r="57" spans="1:15" ht="32.25" customHeight="1">
      <c r="A57" s="99">
        <v>49</v>
      </c>
      <c r="B57" s="463" t="s">
        <v>148</v>
      </c>
      <c r="C57" s="464" t="s">
        <v>149</v>
      </c>
      <c r="D57" s="465"/>
      <c r="E57" s="133">
        <v>1</v>
      </c>
      <c r="F57" s="101" t="s">
        <v>86</v>
      </c>
      <c r="G57" s="102">
        <v>3937.9</v>
      </c>
      <c r="H57" s="102">
        <f t="shared" si="1"/>
        <v>3937.9</v>
      </c>
      <c r="I57" s="103" t="s">
        <v>87</v>
      </c>
      <c r="J57" s="466"/>
      <c r="K57" s="467">
        <v>2</v>
      </c>
      <c r="L57" s="13">
        <v>1</v>
      </c>
      <c r="N57" s="468">
        <v>617</v>
      </c>
      <c r="O57" s="13">
        <f>ROUND(N57*$M$72,2)</f>
        <v>4899.07</v>
      </c>
    </row>
    <row r="58" spans="1:15" ht="32.25" customHeight="1">
      <c r="A58" s="99">
        <v>50</v>
      </c>
      <c r="B58" s="463" t="s">
        <v>150</v>
      </c>
      <c r="C58" s="464" t="s">
        <v>151</v>
      </c>
      <c r="D58" s="465"/>
      <c r="E58" s="133">
        <v>1</v>
      </c>
      <c r="F58" s="101" t="s">
        <v>86</v>
      </c>
      <c r="G58" s="102">
        <f>15572.43+23.73</f>
        <v>15596.16</v>
      </c>
      <c r="H58" s="102">
        <f t="shared" si="1"/>
        <v>15596.16</v>
      </c>
      <c r="I58" s="103" t="s">
        <v>87</v>
      </c>
      <c r="J58" s="466"/>
      <c r="K58" s="467">
        <v>2</v>
      </c>
      <c r="L58" s="13">
        <v>1</v>
      </c>
      <c r="N58" s="468">
        <v>1656</v>
      </c>
      <c r="O58" s="13">
        <f>ROUND(N58*$M$73,2)</f>
        <v>11585.23</v>
      </c>
    </row>
    <row r="59" spans="1:15" ht="32.25" customHeight="1">
      <c r="A59" s="99">
        <v>51</v>
      </c>
      <c r="B59" s="463" t="s">
        <v>152</v>
      </c>
      <c r="C59" s="464" t="s">
        <v>153</v>
      </c>
      <c r="D59" s="465"/>
      <c r="E59" s="133">
        <v>1</v>
      </c>
      <c r="F59" s="101" t="s">
        <v>86</v>
      </c>
      <c r="G59" s="102">
        <f>31278.9+23.73</f>
        <v>31302.63</v>
      </c>
      <c r="H59" s="102">
        <f t="shared" si="1"/>
        <v>31302.63</v>
      </c>
      <c r="I59" s="103" t="s">
        <v>87</v>
      </c>
      <c r="J59" s="466"/>
      <c r="K59" s="467">
        <v>1</v>
      </c>
      <c r="L59" s="13">
        <v>1</v>
      </c>
      <c r="N59" s="468">
        <v>4905.1942799999979</v>
      </c>
      <c r="O59" s="13">
        <f t="shared" ref="O59:O66" si="6">ROUND(N59*$M$72,2)</f>
        <v>38947.93</v>
      </c>
    </row>
    <row r="60" spans="1:15" ht="32.25" customHeight="1">
      <c r="A60" s="99">
        <v>52</v>
      </c>
      <c r="B60" s="463" t="s">
        <v>154</v>
      </c>
      <c r="C60" s="464" t="s">
        <v>153</v>
      </c>
      <c r="D60" s="465"/>
      <c r="E60" s="133">
        <v>1</v>
      </c>
      <c r="F60" s="101" t="s">
        <v>86</v>
      </c>
      <c r="G60" s="102">
        <v>22161.17</v>
      </c>
      <c r="H60" s="102">
        <f t="shared" si="1"/>
        <v>22161.17</v>
      </c>
      <c r="I60" s="103" t="s">
        <v>87</v>
      </c>
      <c r="J60" s="466"/>
      <c r="K60" s="467">
        <v>1</v>
      </c>
      <c r="L60" s="13">
        <v>2</v>
      </c>
      <c r="N60" s="468">
        <v>5696.6399999999994</v>
      </c>
      <c r="O60" s="13">
        <f t="shared" si="6"/>
        <v>45232.12</v>
      </c>
    </row>
    <row r="61" spans="1:15" ht="32.25" customHeight="1">
      <c r="A61" s="99">
        <v>53</v>
      </c>
      <c r="B61" s="463" t="s">
        <v>155</v>
      </c>
      <c r="C61" s="464" t="s">
        <v>153</v>
      </c>
      <c r="D61" s="465"/>
      <c r="E61" s="133">
        <v>1</v>
      </c>
      <c r="F61" s="101" t="s">
        <v>86</v>
      </c>
      <c r="G61" s="102">
        <v>26284.43</v>
      </c>
      <c r="H61" s="102">
        <f t="shared" si="1"/>
        <v>26284.43</v>
      </c>
      <c r="I61" s="103" t="s">
        <v>87</v>
      </c>
      <c r="J61" s="466"/>
      <c r="K61" s="467">
        <v>1</v>
      </c>
      <c r="L61" s="13">
        <v>2</v>
      </c>
      <c r="N61" s="468">
        <v>6472.2000000000007</v>
      </c>
      <c r="O61" s="13">
        <f t="shared" si="6"/>
        <v>51390.18</v>
      </c>
    </row>
    <row r="62" spans="1:15" ht="32.25" customHeight="1">
      <c r="A62" s="99">
        <v>54</v>
      </c>
      <c r="B62" s="463" t="s">
        <v>156</v>
      </c>
      <c r="C62" s="464" t="s">
        <v>153</v>
      </c>
      <c r="D62" s="465"/>
      <c r="E62" s="133">
        <v>1</v>
      </c>
      <c r="F62" s="101" t="s">
        <v>86</v>
      </c>
      <c r="G62" s="102">
        <f>16848.65+5619.89+4040.78+25</f>
        <v>26534.32</v>
      </c>
      <c r="H62" s="102">
        <f t="shared" si="1"/>
        <v>26534.32</v>
      </c>
      <c r="I62" s="103" t="s">
        <v>87</v>
      </c>
      <c r="J62" s="466"/>
      <c r="K62" s="467">
        <v>1</v>
      </c>
      <c r="L62" s="13">
        <v>2</v>
      </c>
      <c r="N62" s="468">
        <v>5931.2400000000007</v>
      </c>
      <c r="O62" s="13">
        <f t="shared" si="6"/>
        <v>47094.879999999997</v>
      </c>
    </row>
    <row r="63" spans="1:15" ht="32.25" customHeight="1">
      <c r="A63" s="99">
        <v>55</v>
      </c>
      <c r="B63" s="463" t="s">
        <v>157</v>
      </c>
      <c r="C63" s="464" t="s">
        <v>153</v>
      </c>
      <c r="D63" s="465"/>
      <c r="E63" s="133">
        <v>1</v>
      </c>
      <c r="F63" s="101" t="s">
        <v>86</v>
      </c>
      <c r="G63" s="102">
        <f>14624.94+4040.78-25</f>
        <v>18640.72</v>
      </c>
      <c r="H63" s="102">
        <f t="shared" si="1"/>
        <v>18640.72</v>
      </c>
      <c r="I63" s="103" t="s">
        <v>87</v>
      </c>
      <c r="J63" s="466"/>
      <c r="K63" s="467">
        <v>2</v>
      </c>
      <c r="L63" s="13">
        <v>2</v>
      </c>
      <c r="N63" s="468">
        <v>6280.84</v>
      </c>
      <c r="O63" s="13">
        <f t="shared" si="6"/>
        <v>49870.75</v>
      </c>
    </row>
    <row r="64" spans="1:15" ht="32.25" customHeight="1">
      <c r="A64" s="99">
        <v>56</v>
      </c>
      <c r="B64" s="463" t="s">
        <v>158</v>
      </c>
      <c r="C64" s="464" t="s">
        <v>153</v>
      </c>
      <c r="D64" s="465"/>
      <c r="E64" s="133">
        <v>1</v>
      </c>
      <c r="F64" s="101" t="s">
        <v>86</v>
      </c>
      <c r="G64" s="102">
        <f>42338.23-5619.89</f>
        <v>36718.340000000004</v>
      </c>
      <c r="H64" s="102">
        <f t="shared" si="1"/>
        <v>36718.340000000004</v>
      </c>
      <c r="I64" s="103" t="s">
        <v>87</v>
      </c>
      <c r="J64" s="466"/>
      <c r="K64" s="467">
        <v>2</v>
      </c>
      <c r="L64" s="13">
        <v>1</v>
      </c>
      <c r="N64" s="468">
        <v>3278.88</v>
      </c>
      <c r="O64" s="13">
        <f t="shared" si="6"/>
        <v>26034.77</v>
      </c>
    </row>
    <row r="65" spans="1:15" ht="32.25" customHeight="1">
      <c r="A65" s="99">
        <v>57</v>
      </c>
      <c r="B65" s="463" t="s">
        <v>159</v>
      </c>
      <c r="C65" s="464" t="s">
        <v>153</v>
      </c>
      <c r="D65" s="465"/>
      <c r="E65" s="133">
        <v>1</v>
      </c>
      <c r="F65" s="101" t="s">
        <v>86</v>
      </c>
      <c r="G65" s="102">
        <v>35954.31</v>
      </c>
      <c r="H65" s="102">
        <f t="shared" si="1"/>
        <v>35954.31</v>
      </c>
      <c r="I65" s="103" t="s">
        <v>87</v>
      </c>
      <c r="J65" s="466"/>
      <c r="K65" s="467">
        <v>2</v>
      </c>
      <c r="L65" s="13">
        <v>1</v>
      </c>
      <c r="N65" s="468">
        <v>3275.2</v>
      </c>
      <c r="O65" s="13">
        <f t="shared" si="6"/>
        <v>26005.55</v>
      </c>
    </row>
    <row r="66" spans="1:15" ht="32.25" customHeight="1">
      <c r="A66" s="99">
        <v>58</v>
      </c>
      <c r="B66" s="463" t="s">
        <v>160</v>
      </c>
      <c r="C66" s="464" t="s">
        <v>161</v>
      </c>
      <c r="D66" s="465"/>
      <c r="E66" s="133">
        <v>1</v>
      </c>
      <c r="F66" s="101" t="s">
        <v>86</v>
      </c>
      <c r="G66" s="102">
        <v>2037.23</v>
      </c>
      <c r="H66" s="102">
        <f t="shared" si="1"/>
        <v>2037.23</v>
      </c>
      <c r="I66" s="103" t="s">
        <v>87</v>
      </c>
      <c r="J66" s="466"/>
      <c r="K66" s="467">
        <v>2</v>
      </c>
      <c r="L66" s="13">
        <v>1</v>
      </c>
      <c r="N66" s="468">
        <v>319.19910000000004</v>
      </c>
      <c r="O66" s="13">
        <f t="shared" si="6"/>
        <v>2534.4899999999998</v>
      </c>
    </row>
    <row r="67" spans="1:15" ht="30" customHeight="1" thickBot="1">
      <c r="A67" s="105"/>
      <c r="B67" s="106"/>
      <c r="C67" s="534" t="s">
        <v>162</v>
      </c>
      <c r="D67" s="534"/>
      <c r="E67" s="534"/>
      <c r="F67" s="534"/>
      <c r="G67" s="131"/>
      <c r="H67" s="115">
        <f>SUM(H9:H66)</f>
        <v>765557.00000000023</v>
      </c>
      <c r="I67" s="107"/>
      <c r="J67" s="108"/>
    </row>
    <row r="68" spans="1:15" s="17" customFormat="1">
      <c r="A68" s="13"/>
      <c r="B68" s="36"/>
      <c r="C68" s="36"/>
      <c r="D68" s="36"/>
      <c r="E68" s="114"/>
      <c r="F68" s="36"/>
      <c r="G68" s="36"/>
      <c r="H68" s="36"/>
      <c r="I68" s="109"/>
    </row>
    <row r="69" spans="1:15" s="17" customFormat="1">
      <c r="A69" s="13"/>
      <c r="B69" s="36"/>
      <c r="C69" s="36"/>
      <c r="D69" s="36"/>
      <c r="E69" s="114"/>
      <c r="F69" s="36"/>
      <c r="G69" s="36"/>
      <c r="H69" s="36"/>
      <c r="I69" s="109"/>
    </row>
    <row r="72" spans="1:15">
      <c r="G72" s="471">
        <f>H72/2</f>
        <v>0</v>
      </c>
      <c r="H72" s="471">
        <f>I72-J72</f>
        <v>0</v>
      </c>
      <c r="I72" s="110">
        <v>395992</v>
      </c>
      <c r="J72" s="39">
        <f>SUMIF(L9:L66, 1, G9:G66)</f>
        <v>395991.99999999994</v>
      </c>
      <c r="L72" s="468">
        <f>SUMIF(L9:L66, 1, N9:N66)</f>
        <v>49872.164995999985</v>
      </c>
      <c r="M72" s="469">
        <f>I72/L72</f>
        <v>7.9401405579998521</v>
      </c>
    </row>
    <row r="73" spans="1:15">
      <c r="G73" s="471">
        <f>H73/2</f>
        <v>0</v>
      </c>
      <c r="H73" s="471">
        <f>I73-J73</f>
        <v>0</v>
      </c>
      <c r="I73" s="110">
        <v>369565</v>
      </c>
      <c r="J73" s="39">
        <f>SUMIF(L9:L66, 2, G9:G66)</f>
        <v>369565</v>
      </c>
      <c r="L73" s="468">
        <f>SUMIF(L9:L66, 2, N9:N66)</f>
        <v>52825.865000000005</v>
      </c>
      <c r="M73" s="469">
        <f>I73/L73</f>
        <v>6.9959100527743363</v>
      </c>
    </row>
    <row r="76" spans="1:15">
      <c r="J76" s="39">
        <f>SUMIF(K9:K66, 1, G9:G66)</f>
        <v>381475.96999999991</v>
      </c>
    </row>
    <row r="77" spans="1:15">
      <c r="J77" s="39">
        <f>SUMIF(K9:K66, 2, G9:G66)</f>
        <v>384081.03</v>
      </c>
    </row>
    <row r="79" spans="1:15">
      <c r="J79" s="470">
        <f>SUMIFS($G$9:$G$66, $L$9:$L$66, 1, $K$9:$K$66, 1)</f>
        <v>197996</v>
      </c>
    </row>
    <row r="80" spans="1:15">
      <c r="J80" s="470">
        <f>SUMIFS($G$9:$G$66, $L$9:$L$66, 1, $K$9:$K$66, 2)</f>
        <v>197996.00000000003</v>
      </c>
    </row>
    <row r="81" spans="10:11">
      <c r="J81" s="470">
        <f>J79-J80</f>
        <v>0</v>
      </c>
    </row>
    <row r="82" spans="10:11">
      <c r="J82" s="470">
        <f>J81/2</f>
        <v>0</v>
      </c>
      <c r="K82" s="469">
        <f>J82/2</f>
        <v>0</v>
      </c>
    </row>
    <row r="83" spans="10:11">
      <c r="J83" s="470">
        <f>SUMIFS($G$9:$G$66, $L$9:$L$66, 2, $K$9:$K$66, 1)</f>
        <v>183479.97</v>
      </c>
    </row>
    <row r="84" spans="10:11">
      <c r="J84" s="470">
        <f>SUMIFS($G$9:$G$66, $L$9:$L$66, 2, $K$9:$K$66, 2)</f>
        <v>186085.03</v>
      </c>
    </row>
    <row r="85" spans="10:11">
      <c r="J85" s="470">
        <f>J83-J84</f>
        <v>-2605.0599999999977</v>
      </c>
    </row>
    <row r="86" spans="10:11">
      <c r="J86" s="470"/>
    </row>
  </sheetData>
  <protectedRanges>
    <protectedRange sqref="C9:H66" name="범위1_12"/>
  </protectedRanges>
  <mergeCells count="2">
    <mergeCell ref="A6:J6"/>
    <mergeCell ref="C67:F67"/>
  </mergeCells>
  <phoneticPr fontId="3" type="noConversion"/>
  <printOptions horizontalCentered="1"/>
  <pageMargins left="0.59055118110236227" right="0.59055118110236227" top="0.35433070866141736" bottom="0.27559055118110237" header="0.23622047244094491" footer="0.23622047244094491"/>
  <pageSetup paperSize="9" scale="45" orientation="landscape" horizontalDpi="1200" verticalDpi="1200" r:id="rId1"/>
  <headerFooter alignWithMargins="0">
    <oddFooter xml:space="preserve">&amp;C&amp;"Calibri,보통"&amp;12Doosan Enerbility&amp;R_x000D_&amp;1#&amp;"Aptos"&amp;8&amp;K000000 중요비(Confidential): sanghwan.bae@doosan.com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V60"/>
  <sheetViews>
    <sheetView showGridLines="0" view="pageBreakPreview" zoomScale="85" zoomScaleNormal="100" zoomScaleSheetLayoutView="85" workbookViewId="0">
      <selection activeCell="B43" sqref="B43"/>
    </sheetView>
  </sheetViews>
  <sheetFormatPr defaultColWidth="3" defaultRowHeight="12"/>
  <cols>
    <col min="1" max="6" width="3" style="5" customWidth="1"/>
    <col min="7" max="7" width="4" style="5" customWidth="1"/>
    <col min="8" max="8" width="9.09765625" style="5" customWidth="1"/>
    <col min="9" max="16" width="3" style="5" customWidth="1"/>
    <col min="17" max="17" width="7.69921875" style="5" customWidth="1"/>
    <col min="18" max="18" width="2.3984375" style="5" customWidth="1"/>
    <col min="19" max="20" width="4.8984375" style="5" customWidth="1"/>
    <col min="21" max="21" width="2.5" style="5" customWidth="1"/>
    <col min="22" max="24" width="4.3984375" style="5" customWidth="1"/>
    <col min="25" max="25" width="2.3984375" style="5" customWidth="1"/>
    <col min="26" max="28" width="4.3984375" style="5" customWidth="1"/>
    <col min="29" max="29" width="15.59765625" style="5" customWidth="1"/>
    <col min="30" max="31" width="3" style="8" customWidth="1"/>
    <col min="32" max="32" width="12.69921875" style="8" customWidth="1"/>
    <col min="33" max="16384" width="3" style="8"/>
  </cols>
  <sheetData>
    <row r="1" spans="1:29">
      <c r="A1" s="45"/>
      <c r="B1" s="46"/>
      <c r="C1" s="46"/>
      <c r="D1" s="46"/>
      <c r="E1" s="46"/>
      <c r="F1" s="46"/>
      <c r="G1" s="46"/>
      <c r="H1" s="46"/>
      <c r="I1" s="46"/>
      <c r="J1" s="46"/>
      <c r="K1" s="46"/>
      <c r="L1" s="46"/>
      <c r="M1" s="46"/>
      <c r="N1" s="46"/>
      <c r="O1" s="46"/>
      <c r="P1" s="46"/>
      <c r="Q1" s="46"/>
      <c r="R1" s="46"/>
      <c r="S1" s="46"/>
      <c r="T1" s="46"/>
      <c r="U1" s="46"/>
      <c r="V1" s="46"/>
      <c r="W1" s="46" t="s">
        <v>0</v>
      </c>
      <c r="X1" s="46"/>
      <c r="Y1" s="46"/>
      <c r="Z1" s="46"/>
      <c r="AA1" s="46"/>
      <c r="AB1" s="46"/>
      <c r="AC1" s="47"/>
    </row>
    <row r="2" spans="1:29">
      <c r="A2" s="48"/>
      <c r="W2" s="5" t="s">
        <v>1</v>
      </c>
      <c r="AC2" s="49"/>
    </row>
    <row r="3" spans="1:29">
      <c r="A3" s="48"/>
      <c r="W3" s="5" t="s">
        <v>2</v>
      </c>
      <c r="AC3" s="49"/>
    </row>
    <row r="4" spans="1:29">
      <c r="A4" s="48"/>
      <c r="W4" s="5" t="s">
        <v>3</v>
      </c>
      <c r="AC4" s="49"/>
    </row>
    <row r="5" spans="1:29">
      <c r="A5" s="48"/>
      <c r="W5" s="5" t="s">
        <v>4</v>
      </c>
      <c r="AC5" s="49"/>
    </row>
    <row r="6" spans="1:29" ht="39.9" customHeight="1">
      <c r="A6" s="480" t="s">
        <v>163</v>
      </c>
      <c r="B6" s="481"/>
      <c r="C6" s="481"/>
      <c r="D6" s="481"/>
      <c r="E6" s="481"/>
      <c r="F6" s="481"/>
      <c r="G6" s="481"/>
      <c r="H6" s="481"/>
      <c r="I6" s="481"/>
      <c r="J6" s="481"/>
      <c r="K6" s="481"/>
      <c r="L6" s="481"/>
      <c r="M6" s="481"/>
      <c r="N6" s="481"/>
      <c r="O6" s="481"/>
      <c r="P6" s="481"/>
      <c r="Q6" s="481"/>
      <c r="R6" s="481"/>
      <c r="S6" s="481"/>
      <c r="T6" s="481"/>
      <c r="U6" s="481"/>
      <c r="V6" s="481"/>
      <c r="W6" s="481"/>
      <c r="X6" s="481"/>
      <c r="Y6" s="481"/>
      <c r="Z6" s="481"/>
      <c r="AA6" s="481"/>
      <c r="AB6" s="481"/>
      <c r="AC6" s="482"/>
    </row>
    <row r="7" spans="1:29" ht="14.4" thickBot="1">
      <c r="A7" s="50"/>
      <c r="B7" s="51"/>
      <c r="C7" s="51"/>
      <c r="D7" s="51"/>
      <c r="E7" s="51"/>
      <c r="F7" s="51"/>
      <c r="G7" s="51"/>
      <c r="H7" s="51"/>
      <c r="I7" s="51"/>
      <c r="J7" s="51"/>
      <c r="K7" s="51"/>
      <c r="L7" s="51"/>
      <c r="M7" s="51"/>
      <c r="N7" s="51"/>
      <c r="O7" s="51"/>
      <c r="P7" s="51"/>
      <c r="Q7" s="51"/>
      <c r="R7" s="51"/>
      <c r="S7" s="51"/>
      <c r="T7" s="51"/>
      <c r="U7" s="51"/>
      <c r="V7" s="51"/>
      <c r="W7" s="51"/>
      <c r="X7" s="51"/>
      <c r="Y7" s="51"/>
      <c r="Z7" s="51"/>
      <c r="AA7" s="51"/>
      <c r="AB7" s="51"/>
      <c r="AC7" s="52"/>
    </row>
    <row r="8" spans="1:29" s="20" customFormat="1" ht="15.45" customHeight="1">
      <c r="A8" s="53" t="s">
        <v>6</v>
      </c>
      <c r="B8" s="54"/>
      <c r="C8" s="54"/>
      <c r="D8" s="54"/>
      <c r="E8" s="54"/>
      <c r="F8" s="54"/>
      <c r="G8" s="54"/>
      <c r="H8" s="54"/>
      <c r="I8" s="54"/>
      <c r="J8" s="54"/>
      <c r="K8" s="54"/>
      <c r="L8" s="54"/>
      <c r="M8" s="54"/>
      <c r="N8" s="54"/>
      <c r="O8" s="54"/>
      <c r="P8" s="54"/>
      <c r="Q8" s="55"/>
      <c r="R8" s="56" t="s">
        <v>164</v>
      </c>
      <c r="S8" s="54"/>
      <c r="T8" s="54"/>
      <c r="U8" s="56"/>
      <c r="V8" s="483" t="s">
        <v>8</v>
      </c>
      <c r="W8" s="483"/>
      <c r="X8" s="483"/>
      <c r="Y8" s="483"/>
      <c r="Z8" s="483"/>
      <c r="AA8" s="54"/>
      <c r="AB8" s="54"/>
      <c r="AC8" s="137"/>
    </row>
    <row r="9" spans="1:29" s="20" customFormat="1" ht="15.45" customHeight="1">
      <c r="A9" s="57"/>
      <c r="B9" s="85" t="s">
        <v>9</v>
      </c>
      <c r="C9" s="17"/>
      <c r="D9" s="17"/>
      <c r="E9" s="17"/>
      <c r="F9" s="17"/>
      <c r="G9" s="17"/>
      <c r="H9" s="17"/>
      <c r="I9" s="17"/>
      <c r="J9" s="17"/>
      <c r="K9" s="17"/>
      <c r="L9" s="17"/>
      <c r="M9" s="17"/>
      <c r="N9" s="17"/>
      <c r="O9" s="17"/>
      <c r="P9" s="17"/>
      <c r="Q9" s="73"/>
      <c r="R9" s="71" t="s">
        <v>10</v>
      </c>
      <c r="S9" s="59"/>
      <c r="T9" s="59"/>
      <c r="U9" s="59"/>
      <c r="V9" s="59"/>
      <c r="W9" s="59"/>
      <c r="X9" s="59"/>
      <c r="Y9" s="59"/>
      <c r="Z9" s="59"/>
      <c r="AA9" s="59"/>
      <c r="AB9" s="59"/>
      <c r="AC9" s="138"/>
    </row>
    <row r="10" spans="1:29" s="20" customFormat="1" ht="15.45" customHeight="1">
      <c r="A10" s="57"/>
      <c r="B10" s="17" t="s">
        <v>11</v>
      </c>
      <c r="C10" s="17"/>
      <c r="D10" s="17"/>
      <c r="E10" s="17"/>
      <c r="F10" s="17"/>
      <c r="G10" s="17"/>
      <c r="H10" s="17"/>
      <c r="I10" s="17"/>
      <c r="J10" s="17"/>
      <c r="K10" s="17"/>
      <c r="L10" s="17"/>
      <c r="M10" s="17"/>
      <c r="N10" s="17"/>
      <c r="O10" s="17"/>
      <c r="P10" s="17"/>
      <c r="Q10" s="58"/>
      <c r="R10" s="85" t="s">
        <v>12</v>
      </c>
      <c r="S10" s="17"/>
      <c r="T10" s="17"/>
      <c r="U10" s="17"/>
      <c r="V10" s="484">
        <v>45566</v>
      </c>
      <c r="W10" s="484"/>
      <c r="X10" s="484"/>
      <c r="Y10" s="484"/>
      <c r="Z10" s="484"/>
      <c r="AA10" s="17"/>
      <c r="AB10" s="17"/>
      <c r="AC10" s="60"/>
    </row>
    <row r="11" spans="1:29" s="20" customFormat="1" ht="15.45" customHeight="1">
      <c r="A11" s="61"/>
      <c r="B11" s="59" t="s">
        <v>13</v>
      </c>
      <c r="C11" s="59"/>
      <c r="D11" s="59"/>
      <c r="E11" s="59"/>
      <c r="F11" s="59"/>
      <c r="G11" s="59"/>
      <c r="H11" s="59"/>
      <c r="I11" s="59"/>
      <c r="J11" s="59"/>
      <c r="K11" s="59"/>
      <c r="L11" s="59"/>
      <c r="M11" s="59"/>
      <c r="N11" s="59"/>
      <c r="O11" s="59"/>
      <c r="P11" s="59"/>
      <c r="Q11" s="62"/>
      <c r="R11" s="71" t="s">
        <v>14</v>
      </c>
      <c r="S11" s="59"/>
      <c r="T11" s="59"/>
      <c r="U11" s="59"/>
      <c r="V11" s="59"/>
      <c r="W11" s="59"/>
      <c r="X11" s="59"/>
      <c r="Y11" s="59"/>
      <c r="Z11" s="59"/>
      <c r="AA11" s="59"/>
      <c r="AB11" s="59"/>
      <c r="AC11" s="138"/>
    </row>
    <row r="12" spans="1:29" s="20" customFormat="1" ht="15.45" customHeight="1">
      <c r="A12" s="63" t="s">
        <v>15</v>
      </c>
      <c r="B12" s="17"/>
      <c r="C12" s="17"/>
      <c r="D12" s="17"/>
      <c r="E12" s="17"/>
      <c r="F12" s="17"/>
      <c r="G12" s="17"/>
      <c r="H12" s="17"/>
      <c r="I12" s="17"/>
      <c r="J12" s="17"/>
      <c r="K12" s="17"/>
      <c r="L12" s="17"/>
      <c r="M12" s="17"/>
      <c r="N12" s="17"/>
      <c r="O12" s="17"/>
      <c r="P12" s="17"/>
      <c r="Q12" s="58"/>
      <c r="R12" s="85" t="s">
        <v>16</v>
      </c>
      <c r="S12" s="17"/>
      <c r="T12" s="17"/>
      <c r="U12" s="17"/>
      <c r="V12" s="17"/>
      <c r="W12" s="17"/>
      <c r="X12" s="17"/>
      <c r="Y12" s="17"/>
      <c r="Z12" s="17"/>
      <c r="AA12" s="17"/>
      <c r="AB12" s="17"/>
      <c r="AC12" s="60"/>
    </row>
    <row r="13" spans="1:29" s="183" customFormat="1" ht="15.45" customHeight="1">
      <c r="A13" s="181"/>
      <c r="B13" s="85" t="s">
        <v>17</v>
      </c>
      <c r="C13" s="454"/>
      <c r="D13" s="454"/>
      <c r="E13" s="454"/>
      <c r="F13" s="454"/>
      <c r="G13" s="454"/>
      <c r="H13" s="454"/>
      <c r="I13" s="454"/>
      <c r="J13" s="454"/>
      <c r="K13" s="454"/>
      <c r="L13" s="454"/>
      <c r="M13" s="454"/>
      <c r="N13" s="454"/>
      <c r="O13" s="454"/>
      <c r="P13" s="454"/>
      <c r="Q13" s="182"/>
      <c r="R13" s="454"/>
      <c r="AC13" s="184"/>
    </row>
    <row r="14" spans="1:29" s="183" customFormat="1" ht="15.45" customHeight="1">
      <c r="A14" s="185"/>
      <c r="B14" s="17" t="s">
        <v>18</v>
      </c>
      <c r="C14" s="454"/>
      <c r="D14" s="454"/>
      <c r="E14" s="454"/>
      <c r="F14" s="454"/>
      <c r="G14" s="454"/>
      <c r="H14" s="454"/>
      <c r="I14" s="454"/>
      <c r="J14" s="454"/>
      <c r="K14" s="454"/>
      <c r="L14" s="454"/>
      <c r="M14" s="454"/>
      <c r="N14" s="454"/>
      <c r="O14" s="454"/>
      <c r="P14" s="454"/>
      <c r="Q14" s="182"/>
      <c r="R14" s="455"/>
      <c r="S14" s="87" t="s">
        <v>19</v>
      </c>
      <c r="T14" s="17"/>
      <c r="U14" s="17"/>
      <c r="V14" s="17"/>
      <c r="W14" s="17"/>
      <c r="X14" s="17"/>
      <c r="Y14" s="17"/>
      <c r="Z14" s="17"/>
      <c r="AA14" s="17"/>
      <c r="AB14" s="17"/>
      <c r="AC14" s="60"/>
    </row>
    <row r="15" spans="1:29" s="183" customFormat="1" ht="15.45" customHeight="1">
      <c r="A15" s="181"/>
      <c r="B15" s="17" t="s">
        <v>20</v>
      </c>
      <c r="C15" s="454"/>
      <c r="D15" s="454"/>
      <c r="E15" s="454"/>
      <c r="F15" s="454"/>
      <c r="G15" s="454"/>
      <c r="H15" s="454"/>
      <c r="I15" s="454"/>
      <c r="J15" s="454"/>
      <c r="K15" s="454"/>
      <c r="L15" s="454"/>
      <c r="M15" s="454"/>
      <c r="N15" s="454"/>
      <c r="O15" s="454"/>
      <c r="P15" s="454"/>
      <c r="Q15" s="182"/>
      <c r="R15" s="454"/>
      <c r="S15" s="485" t="s">
        <v>21</v>
      </c>
      <c r="T15" s="485"/>
      <c r="U15" s="485"/>
      <c r="V15" s="485"/>
      <c r="W15" s="485"/>
      <c r="X15" s="485"/>
      <c r="Y15" s="485"/>
      <c r="Z15" s="485"/>
      <c r="AA15" s="485"/>
      <c r="AB15" s="485"/>
      <c r="AC15" s="486"/>
    </row>
    <row r="16" spans="1:29" s="20" customFormat="1" ht="15.45" customHeight="1">
      <c r="A16" s="57"/>
      <c r="B16" s="17"/>
      <c r="C16" s="17"/>
      <c r="D16" s="17"/>
      <c r="E16" s="17"/>
      <c r="F16" s="17"/>
      <c r="G16" s="17"/>
      <c r="H16" s="17"/>
      <c r="I16" s="17"/>
      <c r="J16" s="17"/>
      <c r="K16" s="17"/>
      <c r="L16" s="17"/>
      <c r="M16" s="17"/>
      <c r="N16" s="17"/>
      <c r="O16" s="17"/>
      <c r="P16" s="17"/>
      <c r="Q16" s="58"/>
      <c r="R16" s="85"/>
      <c r="S16" s="487" t="s">
        <v>22</v>
      </c>
      <c r="T16" s="487"/>
      <c r="U16" s="487"/>
      <c r="V16" s="487"/>
      <c r="W16" s="487"/>
      <c r="X16" s="487"/>
      <c r="Y16" s="487"/>
      <c r="Z16" s="487"/>
      <c r="AA16" s="487"/>
      <c r="AB16" s="487"/>
      <c r="AC16" s="488"/>
    </row>
    <row r="17" spans="1:48" s="20" customFormat="1" ht="15.45" customHeight="1">
      <c r="A17" s="61"/>
      <c r="B17" s="453"/>
      <c r="C17" s="59"/>
      <c r="D17" s="59"/>
      <c r="E17" s="59"/>
      <c r="F17" s="59"/>
      <c r="G17" s="59"/>
      <c r="H17" s="59"/>
      <c r="I17" s="59"/>
      <c r="J17" s="59"/>
      <c r="K17" s="59"/>
      <c r="L17" s="59"/>
      <c r="M17" s="59"/>
      <c r="N17" s="59"/>
      <c r="O17" s="59"/>
      <c r="P17" s="59"/>
      <c r="Q17" s="62"/>
      <c r="R17" s="85"/>
      <c r="S17" s="87" t="s">
        <v>23</v>
      </c>
      <c r="T17" s="17"/>
      <c r="U17" s="17"/>
      <c r="V17" s="17"/>
      <c r="W17" s="17"/>
      <c r="X17" s="17"/>
      <c r="Y17" s="17"/>
      <c r="Z17" s="17"/>
      <c r="AA17" s="17"/>
      <c r="AB17" s="17"/>
      <c r="AC17" s="60"/>
    </row>
    <row r="18" spans="1:48" s="20" customFormat="1" ht="15.45" customHeight="1">
      <c r="A18" s="63" t="s">
        <v>25</v>
      </c>
      <c r="B18" s="1"/>
      <c r="C18" s="17"/>
      <c r="D18" s="17"/>
      <c r="E18" s="17"/>
      <c r="F18" s="17"/>
      <c r="G18" s="17"/>
      <c r="H18" s="17"/>
      <c r="I18" s="17"/>
      <c r="J18" s="17"/>
      <c r="K18" s="17"/>
      <c r="L18" s="17"/>
      <c r="M18" s="17"/>
      <c r="N18" s="17"/>
      <c r="O18" s="17"/>
      <c r="P18" s="17"/>
      <c r="Q18" s="58"/>
      <c r="R18" s="85"/>
      <c r="S18" s="489" t="s">
        <v>24</v>
      </c>
      <c r="T18" s="489"/>
      <c r="U18" s="489"/>
      <c r="V18" s="489"/>
      <c r="W18" s="489"/>
      <c r="X18" s="489"/>
      <c r="Y18" s="489"/>
      <c r="Z18" s="489"/>
      <c r="AA18" s="489"/>
      <c r="AB18" s="489"/>
      <c r="AC18" s="490"/>
    </row>
    <row r="19" spans="1:48" s="20" customFormat="1" ht="15.45" customHeight="1">
      <c r="A19" s="57"/>
      <c r="B19" s="456" t="s">
        <v>27</v>
      </c>
      <c r="C19" s="17"/>
      <c r="D19" s="17"/>
      <c r="E19" s="17"/>
      <c r="F19" s="17"/>
      <c r="G19" s="17"/>
      <c r="H19" s="17"/>
      <c r="I19" s="17"/>
      <c r="J19" s="17"/>
      <c r="K19" s="17"/>
      <c r="L19" s="17"/>
      <c r="M19" s="17"/>
      <c r="N19" s="17"/>
      <c r="O19" s="17"/>
      <c r="P19" s="17"/>
      <c r="Q19" s="58"/>
      <c r="R19" s="85"/>
      <c r="S19" s="87" t="s">
        <v>26</v>
      </c>
      <c r="T19" s="17"/>
      <c r="U19" s="17"/>
      <c r="V19" s="17"/>
      <c r="W19" s="74"/>
      <c r="X19" s="74"/>
      <c r="Y19" s="74"/>
      <c r="Z19" s="85"/>
      <c r="AA19" s="85"/>
      <c r="AB19" s="85"/>
      <c r="AC19" s="60"/>
    </row>
    <row r="20" spans="1:48" s="20" customFormat="1" ht="15.45" customHeight="1">
      <c r="A20" s="57"/>
      <c r="B20" s="156" t="s">
        <v>28</v>
      </c>
      <c r="C20" s="17"/>
      <c r="D20" s="17"/>
      <c r="E20" s="17"/>
      <c r="F20" s="17"/>
      <c r="G20" s="17"/>
      <c r="H20" s="17"/>
      <c r="I20" s="17"/>
      <c r="J20" s="17"/>
      <c r="K20" s="17"/>
      <c r="L20" s="17"/>
      <c r="M20" s="17"/>
      <c r="N20" s="17"/>
      <c r="O20" s="17"/>
      <c r="P20" s="17"/>
      <c r="Q20" s="58"/>
      <c r="R20" s="85"/>
      <c r="S20" s="489">
        <v>2024</v>
      </c>
      <c r="T20" s="489"/>
      <c r="U20" s="489"/>
      <c r="V20" s="489"/>
      <c r="W20" s="489"/>
      <c r="X20" s="489"/>
      <c r="Y20" s="489"/>
      <c r="Z20" s="489"/>
      <c r="AA20" s="489"/>
      <c r="AB20" s="489"/>
      <c r="AC20" s="490"/>
    </row>
    <row r="21" spans="1:48" s="20" customFormat="1" ht="15.45" customHeight="1">
      <c r="A21" s="186"/>
      <c r="B21" s="156" t="s">
        <v>30</v>
      </c>
      <c r="C21" s="17"/>
      <c r="D21" s="17"/>
      <c r="E21" s="17"/>
      <c r="F21" s="17"/>
      <c r="G21" s="17"/>
      <c r="H21" s="17"/>
      <c r="I21" s="17"/>
      <c r="J21" s="17"/>
      <c r="K21" s="17"/>
      <c r="L21" s="17"/>
      <c r="M21" s="17"/>
      <c r="N21" s="17"/>
      <c r="O21" s="17"/>
      <c r="P21" s="17"/>
      <c r="Q21" s="58"/>
      <c r="R21" s="17"/>
      <c r="S21" s="87" t="s">
        <v>29</v>
      </c>
      <c r="T21" s="87"/>
      <c r="U21" s="87"/>
      <c r="V21" s="87"/>
      <c r="W21" s="142"/>
      <c r="X21" s="142"/>
      <c r="Y21" s="142"/>
      <c r="Z21" s="85"/>
      <c r="AA21" s="17"/>
      <c r="AB21" s="17"/>
      <c r="AC21" s="60"/>
      <c r="AV21" s="1"/>
    </row>
    <row r="22" spans="1:48" s="20" customFormat="1" ht="15.45" customHeight="1">
      <c r="A22" s="57"/>
      <c r="B22" s="156" t="s">
        <v>31</v>
      </c>
      <c r="C22" s="17"/>
      <c r="D22" s="17"/>
      <c r="E22" s="17"/>
      <c r="F22" s="17"/>
      <c r="G22" s="17"/>
      <c r="H22" s="17"/>
      <c r="I22" s="17"/>
      <c r="J22" s="17"/>
      <c r="K22" s="17"/>
      <c r="L22" s="17"/>
      <c r="M22" s="17"/>
      <c r="N22" s="17"/>
      <c r="O22" s="17"/>
      <c r="P22" s="17"/>
      <c r="Q22" s="58"/>
      <c r="R22" s="64"/>
      <c r="S22" s="489" t="str">
        <f>B11</f>
        <v>Republic of Korea</v>
      </c>
      <c r="T22" s="489"/>
      <c r="U22" s="489"/>
      <c r="V22" s="489"/>
      <c r="W22" s="489"/>
      <c r="X22" s="489"/>
      <c r="Y22" s="489"/>
      <c r="Z22" s="489"/>
      <c r="AA22" s="489"/>
      <c r="AB22" s="489"/>
      <c r="AC22" s="490"/>
    </row>
    <row r="23" spans="1:48" s="20" customFormat="1" ht="15.45" customHeight="1">
      <c r="A23" s="186"/>
      <c r="R23" s="65"/>
      <c r="S23" s="87" t="s">
        <v>32</v>
      </c>
      <c r="T23" s="457"/>
      <c r="U23" s="17"/>
      <c r="V23" s="17"/>
      <c r="AA23" s="17"/>
      <c r="AB23" s="17"/>
      <c r="AC23" s="60"/>
    </row>
    <row r="24" spans="1:48" s="20" customFormat="1" ht="15.45" customHeight="1">
      <c r="A24" s="57"/>
      <c r="C24" s="17"/>
      <c r="D24" s="17"/>
      <c r="E24" s="17"/>
      <c r="F24" s="17"/>
      <c r="G24" s="17"/>
      <c r="H24" s="17"/>
      <c r="I24" s="17"/>
      <c r="J24" s="17"/>
      <c r="K24" s="17"/>
      <c r="L24" s="17"/>
      <c r="M24" s="17"/>
      <c r="N24" s="17"/>
      <c r="O24" s="17"/>
      <c r="P24" s="17"/>
      <c r="Q24" s="58"/>
      <c r="R24" s="143"/>
      <c r="S24" s="489" t="s">
        <v>33</v>
      </c>
      <c r="T24" s="489"/>
      <c r="U24" s="489"/>
      <c r="V24" s="489"/>
      <c r="W24" s="489"/>
      <c r="X24" s="489"/>
      <c r="Y24" s="489"/>
      <c r="Z24" s="489"/>
      <c r="AA24" s="489"/>
      <c r="AB24" s="489"/>
      <c r="AC24" s="490"/>
    </row>
    <row r="25" spans="1:48" s="20" customFormat="1" ht="15.45" customHeight="1">
      <c r="A25" s="57"/>
      <c r="C25" s="17"/>
      <c r="D25" s="17"/>
      <c r="E25" s="17"/>
      <c r="F25" s="17"/>
      <c r="H25" s="458"/>
      <c r="I25" s="17"/>
      <c r="J25" s="17"/>
      <c r="K25" s="17"/>
      <c r="L25" s="17"/>
      <c r="M25" s="17"/>
      <c r="N25" s="17"/>
      <c r="O25" s="17"/>
      <c r="P25" s="17"/>
      <c r="Q25" s="58"/>
      <c r="R25" s="17"/>
      <c r="AC25" s="187"/>
    </row>
    <row r="26" spans="1:48" s="20" customFormat="1" ht="15.45" customHeight="1">
      <c r="A26" s="57"/>
      <c r="B26" s="86"/>
      <c r="C26" s="17"/>
      <c r="D26" s="17"/>
      <c r="E26" s="17"/>
      <c r="F26" s="17"/>
      <c r="G26" s="17"/>
      <c r="H26" s="17"/>
      <c r="I26" s="17"/>
      <c r="J26" s="17"/>
      <c r="K26" s="17"/>
      <c r="L26" s="17"/>
      <c r="M26" s="17"/>
      <c r="N26" s="17"/>
      <c r="O26" s="17"/>
      <c r="P26" s="17"/>
      <c r="Q26" s="58"/>
      <c r="R26" s="146"/>
      <c r="S26" s="147"/>
      <c r="T26" s="147"/>
      <c r="U26" s="147"/>
      <c r="V26" s="147"/>
      <c r="W26" s="147"/>
      <c r="X26" s="147"/>
      <c r="Y26" s="147"/>
      <c r="Z26" s="147"/>
      <c r="AA26" s="147"/>
      <c r="AB26" s="147"/>
      <c r="AC26" s="148"/>
    </row>
    <row r="27" spans="1:48" s="20" customFormat="1" ht="15" customHeight="1">
      <c r="A27" s="66" t="s">
        <v>34</v>
      </c>
      <c r="B27" s="67"/>
      <c r="C27" s="67"/>
      <c r="D27" s="67"/>
      <c r="E27" s="67"/>
      <c r="F27" s="67"/>
      <c r="G27" s="67"/>
      <c r="H27" s="68"/>
      <c r="I27" s="472" t="s">
        <v>35</v>
      </c>
      <c r="J27" s="473"/>
      <c r="K27" s="473"/>
      <c r="L27" s="473"/>
      <c r="M27" s="473"/>
      <c r="N27" s="473"/>
      <c r="O27" s="473"/>
      <c r="P27" s="473"/>
      <c r="Q27" s="474"/>
      <c r="R27" s="144" t="s">
        <v>36</v>
      </c>
      <c r="S27" s="455"/>
      <c r="T27" s="455"/>
      <c r="U27" s="455"/>
      <c r="V27" s="455"/>
      <c r="W27" s="455"/>
      <c r="X27" s="455"/>
      <c r="Y27" s="455"/>
      <c r="Z27" s="455"/>
      <c r="AA27" s="455"/>
      <c r="AB27" s="455"/>
      <c r="AC27" s="145"/>
    </row>
    <row r="28" spans="1:48" s="20" customFormat="1" ht="14.4">
      <c r="A28" s="57"/>
      <c r="B28" s="17" t="s">
        <v>37</v>
      </c>
      <c r="C28" s="17"/>
      <c r="D28" s="17"/>
      <c r="E28" s="17"/>
      <c r="F28" s="17"/>
      <c r="G28" s="17"/>
      <c r="H28" s="58"/>
      <c r="I28" s="17"/>
      <c r="J28" s="17" t="s">
        <v>37</v>
      </c>
      <c r="K28" s="17"/>
      <c r="L28" s="17"/>
      <c r="M28" s="17"/>
      <c r="N28" s="17"/>
      <c r="O28" s="17"/>
      <c r="P28" s="17"/>
      <c r="Q28" s="58"/>
      <c r="R28" s="17"/>
      <c r="AA28" s="17"/>
      <c r="AB28" s="17"/>
      <c r="AC28" s="60"/>
    </row>
    <row r="29" spans="1:48" s="20" customFormat="1" ht="14.4">
      <c r="A29" s="61"/>
      <c r="B29" s="69"/>
      <c r="C29" s="59"/>
      <c r="D29" s="59"/>
      <c r="E29" s="59"/>
      <c r="F29" s="59"/>
      <c r="G29" s="59"/>
      <c r="H29" s="62"/>
      <c r="I29" s="59"/>
      <c r="J29" s="69"/>
      <c r="K29" s="59"/>
      <c r="L29" s="59"/>
      <c r="M29" s="59"/>
      <c r="N29" s="59"/>
      <c r="O29" s="59"/>
      <c r="P29" s="59"/>
      <c r="Q29" s="62"/>
      <c r="R29" s="17"/>
      <c r="S29" s="87" t="s">
        <v>38</v>
      </c>
      <c r="U29" s="17"/>
      <c r="V29" s="17"/>
      <c r="X29" s="17" t="s">
        <v>39</v>
      </c>
      <c r="Y29" s="17" t="s">
        <v>40</v>
      </c>
      <c r="AA29" s="17"/>
      <c r="AB29" s="17"/>
      <c r="AC29" s="60"/>
    </row>
    <row r="30" spans="1:48" s="20" customFormat="1" ht="14.4">
      <c r="A30" s="63" t="s">
        <v>41</v>
      </c>
      <c r="B30" s="17"/>
      <c r="C30" s="17"/>
      <c r="D30" s="17"/>
      <c r="E30" s="17"/>
      <c r="F30" s="17"/>
      <c r="G30" s="17"/>
      <c r="H30" s="58"/>
      <c r="I30" s="472" t="s">
        <v>42</v>
      </c>
      <c r="J30" s="473"/>
      <c r="K30" s="473"/>
      <c r="L30" s="473"/>
      <c r="M30" s="473"/>
      <c r="N30" s="473"/>
      <c r="O30" s="473"/>
      <c r="P30" s="473"/>
      <c r="Q30" s="474"/>
      <c r="R30" s="17"/>
      <c r="S30" s="87" t="s">
        <v>43</v>
      </c>
      <c r="T30" s="17"/>
      <c r="X30" s="17" t="s">
        <v>39</v>
      </c>
      <c r="Y30" s="478">
        <f>COUNT('Summary PL'!A14:A71)</f>
        <v>58</v>
      </c>
      <c r="Z30" s="478"/>
      <c r="AA30" s="478"/>
      <c r="AB30" s="478"/>
      <c r="AC30" s="60" t="s">
        <v>44</v>
      </c>
    </row>
    <row r="31" spans="1:48" s="20" customFormat="1" ht="14.4">
      <c r="A31" s="63"/>
      <c r="B31" s="17"/>
      <c r="C31" s="17"/>
      <c r="D31" s="17"/>
      <c r="E31" s="17"/>
      <c r="F31" s="17"/>
      <c r="G31" s="17"/>
      <c r="H31" s="58"/>
      <c r="I31" s="475"/>
      <c r="J31" s="476"/>
      <c r="K31" s="476"/>
      <c r="L31" s="476"/>
      <c r="M31" s="476"/>
      <c r="N31" s="476"/>
      <c r="O31" s="476"/>
      <c r="P31" s="476"/>
      <c r="Q31" s="477"/>
      <c r="R31" s="17"/>
      <c r="S31" s="87" t="s">
        <v>45</v>
      </c>
      <c r="X31" s="17" t="s">
        <v>39</v>
      </c>
      <c r="Y31" s="479">
        <f>'Summary PL'!L72</f>
        <v>102698.029996</v>
      </c>
      <c r="Z31" s="479"/>
      <c r="AA31" s="479"/>
      <c r="AB31" s="479"/>
      <c r="AC31" s="60" t="s">
        <v>46</v>
      </c>
    </row>
    <row r="32" spans="1:48" s="20" customFormat="1" ht="14.4">
      <c r="A32" s="57"/>
      <c r="B32" s="17" t="s">
        <v>37</v>
      </c>
      <c r="C32" s="17"/>
      <c r="D32" s="17"/>
      <c r="E32" s="17"/>
      <c r="F32" s="17"/>
      <c r="G32" s="17"/>
      <c r="H32" s="58"/>
      <c r="I32" s="17"/>
      <c r="J32" s="499" t="s">
        <v>165</v>
      </c>
      <c r="K32" s="499"/>
      <c r="L32" s="499"/>
      <c r="M32" s="499"/>
      <c r="N32" s="499"/>
      <c r="O32" s="499"/>
      <c r="P32" s="499"/>
      <c r="Q32" s="58"/>
      <c r="R32" s="17"/>
      <c r="S32" s="87" t="s">
        <v>48</v>
      </c>
      <c r="X32" s="17" t="s">
        <v>39</v>
      </c>
      <c r="Y32" s="498">
        <f>'Summary PL'!M72</f>
        <v>110478.029996</v>
      </c>
      <c r="Z32" s="498"/>
      <c r="AA32" s="498"/>
      <c r="AB32" s="498"/>
      <c r="AC32" s="60" t="s">
        <v>46</v>
      </c>
    </row>
    <row r="33" spans="1:39" s="20" customFormat="1" ht="16.2">
      <c r="A33" s="61"/>
      <c r="B33" s="59"/>
      <c r="C33" s="59"/>
      <c r="D33" s="59"/>
      <c r="E33" s="59"/>
      <c r="F33" s="59"/>
      <c r="G33" s="59"/>
      <c r="H33" s="62"/>
      <c r="I33" s="59"/>
      <c r="J33" s="59"/>
      <c r="K33" s="59"/>
      <c r="L33" s="59"/>
      <c r="M33" s="59"/>
      <c r="N33" s="59"/>
      <c r="O33" s="59"/>
      <c r="P33" s="59"/>
      <c r="Q33" s="62"/>
      <c r="R33" s="17"/>
      <c r="S33" s="87" t="s">
        <v>49</v>
      </c>
      <c r="U33" s="17"/>
      <c r="V33" s="17"/>
      <c r="W33" s="17"/>
      <c r="X33" s="17" t="s">
        <v>39</v>
      </c>
      <c r="Y33" s="498">
        <f>'Summary PL'!K72</f>
        <v>515.99099999999976</v>
      </c>
      <c r="Z33" s="498"/>
      <c r="AA33" s="498"/>
      <c r="AB33" s="498"/>
      <c r="AC33" s="60" t="s">
        <v>50</v>
      </c>
    </row>
    <row r="34" spans="1:39" s="17" customFormat="1" ht="16.5" customHeight="1">
      <c r="A34" s="63" t="s">
        <v>166</v>
      </c>
      <c r="H34" s="58"/>
      <c r="I34" s="472" t="s">
        <v>52</v>
      </c>
      <c r="J34" s="473"/>
      <c r="K34" s="473"/>
      <c r="L34" s="473"/>
      <c r="M34" s="473"/>
      <c r="N34" s="473"/>
      <c r="O34" s="473"/>
      <c r="P34" s="473"/>
      <c r="Q34" s="474"/>
      <c r="AC34" s="60"/>
    </row>
    <row r="35" spans="1:39" s="20" customFormat="1" ht="14.4">
      <c r="A35" s="63"/>
      <c r="B35" s="17" t="s">
        <v>37</v>
      </c>
      <c r="C35" s="17"/>
      <c r="D35" s="17"/>
      <c r="E35" s="17"/>
      <c r="F35" s="17"/>
      <c r="G35" s="17"/>
      <c r="H35" s="58"/>
      <c r="I35" s="475"/>
      <c r="J35" s="476"/>
      <c r="K35" s="476"/>
      <c r="L35" s="476"/>
      <c r="M35" s="476"/>
      <c r="N35" s="476"/>
      <c r="O35" s="476"/>
      <c r="P35" s="476"/>
      <c r="Q35" s="477"/>
      <c r="R35" s="17"/>
      <c r="S35" s="17"/>
      <c r="T35" s="17"/>
      <c r="U35" s="17"/>
      <c r="V35" s="17"/>
      <c r="W35" s="17"/>
      <c r="X35" s="17"/>
      <c r="AA35" s="17"/>
      <c r="AB35" s="17"/>
      <c r="AC35" s="60"/>
    </row>
    <row r="36" spans="1:39" s="20" customFormat="1" ht="14.4" customHeight="1">
      <c r="A36" s="57"/>
      <c r="C36" s="17"/>
      <c r="D36" s="17"/>
      <c r="E36" s="17"/>
      <c r="F36" s="17"/>
      <c r="G36" s="17"/>
      <c r="H36" s="58"/>
      <c r="I36" s="17"/>
      <c r="J36" s="499" t="s">
        <v>37</v>
      </c>
      <c r="K36" s="499"/>
      <c r="L36" s="499"/>
      <c r="M36" s="499"/>
      <c r="N36" s="499"/>
      <c r="O36" s="499"/>
      <c r="P36" s="499"/>
      <c r="Q36" s="58"/>
      <c r="R36" s="17"/>
      <c r="S36" s="551"/>
      <c r="T36" s="551"/>
      <c r="U36" s="551"/>
      <c r="V36" s="551"/>
      <c r="W36" s="551"/>
      <c r="X36" s="551"/>
      <c r="Y36" s="551"/>
      <c r="Z36" s="551"/>
      <c r="AA36" s="551"/>
      <c r="AB36" s="551"/>
      <c r="AC36" s="552"/>
    </row>
    <row r="37" spans="1:39" s="20" customFormat="1" ht="14.4">
      <c r="A37" s="61"/>
      <c r="B37" s="59"/>
      <c r="C37" s="59"/>
      <c r="D37" s="59"/>
      <c r="E37" s="59"/>
      <c r="F37" s="59"/>
      <c r="G37" s="59"/>
      <c r="H37" s="62"/>
      <c r="I37" s="59"/>
      <c r="J37" s="59"/>
      <c r="K37" s="59"/>
      <c r="L37" s="59"/>
      <c r="M37" s="59"/>
      <c r="N37" s="59"/>
      <c r="O37" s="59"/>
      <c r="P37" s="59"/>
      <c r="Q37" s="62"/>
      <c r="R37" s="17"/>
      <c r="S37" s="551"/>
      <c r="T37" s="551"/>
      <c r="U37" s="551"/>
      <c r="V37" s="551"/>
      <c r="W37" s="551"/>
      <c r="X37" s="551"/>
      <c r="Y37" s="551"/>
      <c r="Z37" s="551"/>
      <c r="AA37" s="551"/>
      <c r="AB37" s="551"/>
      <c r="AC37" s="552"/>
    </row>
    <row r="38" spans="1:39" s="20" customFormat="1" ht="14.4">
      <c r="A38" s="66" t="s">
        <v>53</v>
      </c>
      <c r="B38" s="67"/>
      <c r="C38" s="67"/>
      <c r="D38" s="67"/>
      <c r="E38" s="67"/>
      <c r="F38" s="67"/>
      <c r="G38" s="67"/>
      <c r="H38" s="67"/>
      <c r="I38" s="140"/>
      <c r="J38" s="67"/>
      <c r="K38" s="67"/>
      <c r="L38" s="67"/>
      <c r="M38" s="67"/>
      <c r="N38" s="67"/>
      <c r="O38" s="67"/>
      <c r="P38" s="67"/>
      <c r="Q38" s="68"/>
      <c r="R38" s="17"/>
      <c r="S38" s="551"/>
      <c r="T38" s="551"/>
      <c r="U38" s="551"/>
      <c r="V38" s="551"/>
      <c r="W38" s="551"/>
      <c r="X38" s="551"/>
      <c r="Y38" s="551"/>
      <c r="Z38" s="551"/>
      <c r="AA38" s="551"/>
      <c r="AB38" s="551"/>
      <c r="AC38" s="552"/>
    </row>
    <row r="39" spans="1:39" s="20" customFormat="1" ht="14.4">
      <c r="A39" s="57"/>
      <c r="B39" s="17" t="str">
        <f>B14</f>
        <v>321 Tauke Khan Avenue, Turkestan region, Turkestan, Kazakhstan, 161200</v>
      </c>
      <c r="C39" s="17"/>
      <c r="D39" s="17"/>
      <c r="E39" s="17"/>
      <c r="F39" s="17"/>
      <c r="G39" s="17"/>
      <c r="H39" s="17"/>
      <c r="I39" s="17"/>
      <c r="J39" s="374"/>
      <c r="K39" s="374"/>
      <c r="L39" s="374"/>
      <c r="M39" s="374"/>
      <c r="N39" s="374"/>
      <c r="O39" s="374"/>
      <c r="P39" s="374"/>
      <c r="Q39" s="58"/>
      <c r="R39" s="17"/>
      <c r="S39" s="551"/>
      <c r="T39" s="551"/>
      <c r="U39" s="551"/>
      <c r="V39" s="551"/>
      <c r="W39" s="551"/>
      <c r="X39" s="551"/>
      <c r="Y39" s="551"/>
      <c r="Z39" s="551"/>
      <c r="AA39" s="551"/>
      <c r="AB39" s="551"/>
      <c r="AC39" s="552"/>
    </row>
    <row r="40" spans="1:39" s="20" customFormat="1" ht="14.4">
      <c r="A40" s="61"/>
      <c r="B40" s="59"/>
      <c r="C40" s="59"/>
      <c r="D40" s="59"/>
      <c r="E40" s="59"/>
      <c r="F40" s="59"/>
      <c r="G40" s="59"/>
      <c r="H40" s="59"/>
      <c r="I40" s="59"/>
      <c r="J40" s="59"/>
      <c r="K40" s="59"/>
      <c r="L40" s="59"/>
      <c r="M40" s="59"/>
      <c r="N40" s="59"/>
      <c r="O40" s="59"/>
      <c r="P40" s="59"/>
      <c r="Q40" s="62"/>
      <c r="R40" s="17"/>
      <c r="S40" s="188"/>
      <c r="T40" s="188"/>
      <c r="U40" s="188"/>
      <c r="V40" s="188"/>
      <c r="W40" s="188"/>
      <c r="X40" s="188"/>
      <c r="Y40" s="188"/>
      <c r="Z40" s="188"/>
      <c r="AA40" s="188"/>
      <c r="AB40" s="188"/>
      <c r="AC40" s="189"/>
    </row>
    <row r="41" spans="1:39" s="20" customFormat="1" ht="16.5" customHeight="1">
      <c r="A41" s="523" t="s">
        <v>54</v>
      </c>
      <c r="B41" s="524"/>
      <c r="C41" s="524"/>
      <c r="D41" s="524"/>
      <c r="E41" s="524"/>
      <c r="F41" s="524"/>
      <c r="G41" s="524"/>
      <c r="H41" s="524"/>
      <c r="I41" s="524"/>
      <c r="J41" s="524"/>
      <c r="K41" s="524"/>
      <c r="L41" s="524"/>
      <c r="M41" s="524"/>
      <c r="N41" s="524"/>
      <c r="O41" s="524"/>
      <c r="P41" s="524"/>
      <c r="Q41" s="525"/>
      <c r="R41" s="529" t="s">
        <v>167</v>
      </c>
      <c r="S41" s="530"/>
      <c r="T41" s="531"/>
      <c r="U41" s="529" t="s">
        <v>168</v>
      </c>
      <c r="V41" s="530"/>
      <c r="W41" s="530"/>
      <c r="X41" s="531"/>
      <c r="Y41" s="529" t="s">
        <v>169</v>
      </c>
      <c r="Z41" s="530"/>
      <c r="AA41" s="530"/>
      <c r="AB41" s="531"/>
      <c r="AC41" s="448" t="s">
        <v>170</v>
      </c>
    </row>
    <row r="42" spans="1:39" s="20" customFormat="1" ht="16.5" customHeight="1">
      <c r="A42" s="526"/>
      <c r="B42" s="527"/>
      <c r="C42" s="527"/>
      <c r="D42" s="527"/>
      <c r="E42" s="527"/>
      <c r="F42" s="527"/>
      <c r="G42" s="527"/>
      <c r="H42" s="527"/>
      <c r="I42" s="527"/>
      <c r="J42" s="527"/>
      <c r="K42" s="527"/>
      <c r="L42" s="527"/>
      <c r="M42" s="527"/>
      <c r="N42" s="527"/>
      <c r="O42" s="527"/>
      <c r="P42" s="527"/>
      <c r="Q42" s="528"/>
      <c r="R42" s="507" t="s">
        <v>171</v>
      </c>
      <c r="S42" s="508"/>
      <c r="T42" s="509"/>
      <c r="U42" s="507" t="s">
        <v>172</v>
      </c>
      <c r="V42" s="508"/>
      <c r="W42" s="508"/>
      <c r="X42" s="509"/>
      <c r="Y42" s="507" t="s">
        <v>172</v>
      </c>
      <c r="Z42" s="508"/>
      <c r="AA42" s="508"/>
      <c r="AB42" s="509"/>
      <c r="AC42" s="447" t="s">
        <v>173</v>
      </c>
      <c r="AF42" s="544"/>
      <c r="AG42" s="544"/>
      <c r="AH42" s="544"/>
      <c r="AI42" s="544"/>
      <c r="AJ42" s="544"/>
      <c r="AK42" s="544"/>
      <c r="AL42" s="544"/>
      <c r="AM42" s="544"/>
    </row>
    <row r="43" spans="1:39" s="72" customFormat="1" ht="18" customHeight="1">
      <c r="A43" s="153"/>
      <c r="B43" s="17" t="str">
        <f>CI!B42</f>
        <v>Fin Fan Cooler_Rotating Parts</v>
      </c>
      <c r="C43" s="70"/>
      <c r="D43" s="70"/>
      <c r="E43" s="70"/>
      <c r="F43" s="70"/>
      <c r="G43" s="70"/>
      <c r="H43" s="70"/>
      <c r="I43" s="67"/>
      <c r="J43" s="67"/>
      <c r="K43" s="67"/>
      <c r="L43" s="67"/>
      <c r="M43" s="67"/>
      <c r="N43" s="67"/>
      <c r="O43" s="67"/>
      <c r="P43" s="67"/>
      <c r="Q43" s="58"/>
      <c r="R43" s="545">
        <v>2</v>
      </c>
      <c r="S43" s="546"/>
      <c r="T43" s="547"/>
      <c r="U43" s="548">
        <f>'Summary PL'!L72</f>
        <v>102698.029996</v>
      </c>
      <c r="V43" s="549"/>
      <c r="W43" s="549"/>
      <c r="X43" s="550"/>
      <c r="Y43" s="548">
        <f>'Summary PL'!M72</f>
        <v>110478.029996</v>
      </c>
      <c r="Z43" s="549"/>
      <c r="AA43" s="549"/>
      <c r="AB43" s="550"/>
      <c r="AC43" s="199">
        <f>'Summary PL'!K72</f>
        <v>515.99099999999976</v>
      </c>
      <c r="AE43" s="70"/>
    </row>
    <row r="44" spans="1:39" s="20" customFormat="1" ht="18" customHeight="1">
      <c r="A44" s="153"/>
      <c r="B44" s="17"/>
      <c r="C44" s="17"/>
      <c r="D44" s="17"/>
      <c r="E44" s="17"/>
      <c r="F44" s="17"/>
      <c r="G44" s="17"/>
      <c r="H44" s="17"/>
      <c r="I44" s="17"/>
      <c r="J44" s="17"/>
      <c r="K44" s="17"/>
      <c r="L44" s="17"/>
      <c r="M44" s="17"/>
      <c r="N44" s="17"/>
      <c r="O44" s="17"/>
      <c r="P44" s="17"/>
      <c r="Q44" s="58"/>
      <c r="R44" s="553"/>
      <c r="S44" s="554"/>
      <c r="T44" s="555"/>
      <c r="U44" s="556"/>
      <c r="V44" s="557"/>
      <c r="W44" s="557"/>
      <c r="X44" s="558"/>
      <c r="Y44" s="556"/>
      <c r="Z44" s="557"/>
      <c r="AA44" s="557"/>
      <c r="AB44" s="558"/>
      <c r="AC44" s="199"/>
      <c r="AE44" s="17"/>
    </row>
    <row r="45" spans="1:39" s="20" customFormat="1" ht="18" customHeight="1" thickBot="1">
      <c r="A45" s="63"/>
      <c r="B45" s="85"/>
      <c r="C45" s="85"/>
      <c r="D45" s="85"/>
      <c r="E45" s="85"/>
      <c r="F45" s="85"/>
      <c r="G45" s="85"/>
      <c r="H45" s="85"/>
      <c r="I45" s="141"/>
      <c r="J45" s="141"/>
      <c r="K45" s="141"/>
      <c r="L45" s="141"/>
      <c r="M45" s="141"/>
      <c r="N45" s="141"/>
      <c r="O45" s="141"/>
      <c r="P45" s="141"/>
      <c r="Q45" s="135"/>
      <c r="R45" s="459"/>
      <c r="S45" s="459"/>
      <c r="T45" s="190"/>
      <c r="U45" s="85"/>
      <c r="V45" s="85"/>
      <c r="W45" s="85"/>
      <c r="X45" s="176"/>
      <c r="Y45" s="76"/>
      <c r="Z45" s="76"/>
      <c r="AA45" s="76"/>
      <c r="AB45" s="176"/>
      <c r="AC45" s="199"/>
    </row>
    <row r="46" spans="1:39" s="20" customFormat="1" ht="18" customHeight="1" thickBot="1">
      <c r="A46" s="78"/>
      <c r="B46" s="79"/>
      <c r="C46" s="79"/>
      <c r="D46" s="79"/>
      <c r="E46" s="79"/>
      <c r="F46" s="79"/>
      <c r="G46" s="79"/>
      <c r="H46" s="79"/>
      <c r="I46" s="500"/>
      <c r="J46" s="500"/>
      <c r="K46" s="500"/>
      <c r="L46" s="500"/>
      <c r="M46" s="500"/>
      <c r="N46" s="500"/>
      <c r="O46" s="500"/>
      <c r="P46" s="500"/>
      <c r="Q46" s="535"/>
      <c r="R46" s="536"/>
      <c r="S46" s="537"/>
      <c r="T46" s="538"/>
      <c r="U46" s="539">
        <f>SUM(U43:X44)</f>
        <v>102698.029996</v>
      </c>
      <c r="V46" s="503"/>
      <c r="W46" s="503"/>
      <c r="X46" s="540"/>
      <c r="Y46" s="541">
        <f>SUM(Y43:AB44)</f>
        <v>110478.029996</v>
      </c>
      <c r="Z46" s="542"/>
      <c r="AA46" s="542"/>
      <c r="AB46" s="543"/>
      <c r="AC46" s="200">
        <f>SUM(AC43:AC44)</f>
        <v>515.99099999999976</v>
      </c>
    </row>
    <row r="47" spans="1:39">
      <c r="A47" s="45"/>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7"/>
    </row>
    <row r="48" spans="1:39">
      <c r="A48" s="48"/>
      <c r="AC48" s="49"/>
    </row>
    <row r="49" spans="1:29">
      <c r="A49" s="48"/>
      <c r="AC49" s="49"/>
    </row>
    <row r="50" spans="1:29">
      <c r="A50" s="48"/>
      <c r="AC50" s="49"/>
    </row>
    <row r="51" spans="1:29">
      <c r="A51" s="48"/>
      <c r="AC51" s="49"/>
    </row>
    <row r="52" spans="1:29">
      <c r="A52" s="48"/>
      <c r="AC52" s="49"/>
    </row>
    <row r="53" spans="1:29">
      <c r="A53" s="48"/>
      <c r="AC53" s="49"/>
    </row>
    <row r="54" spans="1:29" ht="14.4">
      <c r="A54" s="57"/>
      <c r="B54" s="17"/>
      <c r="C54" s="17"/>
      <c r="D54" s="17"/>
      <c r="E54" s="17"/>
      <c r="F54" s="17"/>
      <c r="G54" s="17"/>
      <c r="H54" s="17"/>
      <c r="I54" s="17"/>
      <c r="J54" s="17"/>
      <c r="K54" s="17"/>
      <c r="L54" s="17"/>
      <c r="M54" s="17"/>
      <c r="N54" s="17"/>
      <c r="S54" s="17" t="s">
        <v>65</v>
      </c>
      <c r="AC54" s="49"/>
    </row>
    <row r="55" spans="1:29" ht="14.4">
      <c r="A55" s="57" t="s">
        <v>66</v>
      </c>
      <c r="B55" s="17"/>
      <c r="C55" s="17"/>
      <c r="D55" s="17"/>
      <c r="E55" s="17"/>
      <c r="F55" s="17"/>
      <c r="G55" s="17"/>
      <c r="H55" s="17"/>
      <c r="I55" s="17"/>
      <c r="J55" s="17"/>
      <c r="K55" s="17"/>
      <c r="L55" s="17"/>
      <c r="M55" s="17"/>
      <c r="N55" s="17"/>
      <c r="AC55" s="49"/>
    </row>
    <row r="56" spans="1:29" ht="14.4">
      <c r="A56" s="57" t="s">
        <v>67</v>
      </c>
      <c r="B56" s="17"/>
      <c r="C56" s="17"/>
      <c r="D56" s="17"/>
      <c r="E56" s="17"/>
      <c r="F56" s="17"/>
      <c r="G56" s="17"/>
      <c r="H56" s="17"/>
      <c r="I56" s="17"/>
      <c r="J56" s="17"/>
      <c r="K56" s="17"/>
      <c r="L56" s="17"/>
      <c r="M56" s="17"/>
      <c r="N56" s="17"/>
      <c r="W56" s="80"/>
      <c r="X56" s="80"/>
      <c r="AC56" s="49"/>
    </row>
    <row r="57" spans="1:29" ht="14.4">
      <c r="A57" s="57" t="s">
        <v>174</v>
      </c>
      <c r="B57" s="17"/>
      <c r="C57" s="17"/>
      <c r="D57" s="17"/>
      <c r="E57" s="17"/>
      <c r="F57" s="17"/>
      <c r="G57" s="17"/>
      <c r="H57" s="17"/>
      <c r="I57" s="17"/>
      <c r="J57" s="17"/>
      <c r="K57" s="17"/>
      <c r="L57" s="17"/>
      <c r="M57" s="17"/>
      <c r="N57" s="17"/>
      <c r="V57" s="505" t="s">
        <v>69</v>
      </c>
      <c r="W57" s="505"/>
      <c r="X57" s="505"/>
      <c r="Y57" s="505"/>
      <c r="Z57" s="505"/>
      <c r="AA57" s="505"/>
      <c r="AB57" s="505"/>
      <c r="AC57" s="506"/>
    </row>
    <row r="58" spans="1:29" ht="14.4">
      <c r="A58" s="57" t="s">
        <v>70</v>
      </c>
      <c r="B58" s="17"/>
      <c r="C58" s="17"/>
      <c r="D58" s="17"/>
      <c r="E58" s="17"/>
      <c r="F58" s="17"/>
      <c r="G58" s="17"/>
      <c r="H58" s="17"/>
      <c r="I58" s="17"/>
      <c r="J58" s="17"/>
      <c r="K58" s="17"/>
      <c r="L58" s="17"/>
      <c r="M58" s="17"/>
      <c r="N58" s="17"/>
      <c r="S58" s="87"/>
      <c r="U58" s="88"/>
      <c r="V58" s="88"/>
      <c r="W58" s="88"/>
      <c r="X58" s="88"/>
      <c r="Y58" s="88"/>
      <c r="Z58" s="88"/>
      <c r="AA58" s="88"/>
      <c r="AB58" s="88"/>
      <c r="AC58" s="49"/>
    </row>
    <row r="59" spans="1:29" ht="12.6" thickBot="1">
      <c r="A59" s="8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2"/>
    </row>
    <row r="60" spans="1:29" ht="15" thickBot="1">
      <c r="A60" s="82" t="s">
        <v>71</v>
      </c>
      <c r="B60" s="83"/>
      <c r="C60" s="83"/>
      <c r="D60" s="83"/>
      <c r="E60" s="83"/>
      <c r="F60" s="83"/>
      <c r="G60" s="83"/>
      <c r="H60" s="83"/>
      <c r="I60" s="83"/>
      <c r="J60" s="83"/>
      <c r="K60" s="83"/>
      <c r="L60" s="83"/>
      <c r="M60" s="83"/>
      <c r="N60" s="83"/>
      <c r="O60" s="83"/>
      <c r="P60" s="83"/>
      <c r="Q60" s="83"/>
      <c r="R60" s="83"/>
      <c r="S60" s="83"/>
      <c r="T60" s="83"/>
      <c r="U60" s="83"/>
      <c r="V60" s="83"/>
      <c r="W60" s="83"/>
      <c r="X60" s="83"/>
      <c r="Y60" s="83"/>
      <c r="Z60" s="83"/>
      <c r="AA60" s="83"/>
      <c r="AB60" s="83"/>
      <c r="AC60" s="84"/>
    </row>
  </sheetData>
  <mergeCells count="39">
    <mergeCell ref="S22:AC22"/>
    <mergeCell ref="S24:AC24"/>
    <mergeCell ref="A6:AC6"/>
    <mergeCell ref="V8:Z8"/>
    <mergeCell ref="V10:Z10"/>
    <mergeCell ref="S15:AC15"/>
    <mergeCell ref="S16:AC16"/>
    <mergeCell ref="S18:AC18"/>
    <mergeCell ref="S20:AC20"/>
    <mergeCell ref="I27:Q27"/>
    <mergeCell ref="I30:Q31"/>
    <mergeCell ref="Y30:AB30"/>
    <mergeCell ref="Y31:AB31"/>
    <mergeCell ref="J32:P32"/>
    <mergeCell ref="Y32:AB32"/>
    <mergeCell ref="Y33:AB33"/>
    <mergeCell ref="I34:Q35"/>
    <mergeCell ref="J36:P36"/>
    <mergeCell ref="S36:AC39"/>
    <mergeCell ref="R44:T44"/>
    <mergeCell ref="U44:X44"/>
    <mergeCell ref="Y44:AB44"/>
    <mergeCell ref="A41:Q42"/>
    <mergeCell ref="R41:T41"/>
    <mergeCell ref="U41:X41"/>
    <mergeCell ref="Y41:AB41"/>
    <mergeCell ref="R42:T42"/>
    <mergeCell ref="U42:X42"/>
    <mergeCell ref="Y42:AB42"/>
    <mergeCell ref="AF42:AI42"/>
    <mergeCell ref="AJ42:AM42"/>
    <mergeCell ref="R43:T43"/>
    <mergeCell ref="U43:X43"/>
    <mergeCell ref="Y43:AB43"/>
    <mergeCell ref="V57:AC57"/>
    <mergeCell ref="I46:Q46"/>
    <mergeCell ref="R46:T46"/>
    <mergeCell ref="U46:X46"/>
    <mergeCell ref="Y46:AB46"/>
  </mergeCells>
  <phoneticPr fontId="3" type="noConversion"/>
  <pageMargins left="0.39370078740157483" right="0.39370078740157483" top="0.59055118110236227" bottom="0.39370078740157483" header="0.31496062992125984" footer="0.23622047244094491"/>
  <pageSetup paperSize="9" scale="72" orientation="portrait" horizontalDpi="1200" verticalDpi="1200" r:id="rId1"/>
  <headerFooter alignWithMargins="0">
    <oddFooter xml:space="preserve">&amp;R_x000D_&amp;1#&amp;"Aptos"&amp;8&amp;K000000 중요비(Confidential): sanghwan.bae@doosan.com </oddFooter>
  </headerFooter>
  <ignoredErrors>
    <ignoredError sqref="Y30"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U120"/>
  <sheetViews>
    <sheetView showGridLines="0" view="pageBreakPreview" topLeftCell="A17" zoomScale="85" zoomScaleNormal="80" zoomScaleSheetLayoutView="85" workbookViewId="0">
      <selection activeCell="D48" sqref="D48"/>
    </sheetView>
  </sheetViews>
  <sheetFormatPr defaultColWidth="10" defaultRowHeight="13.8"/>
  <cols>
    <col min="1" max="1" width="18.09765625" style="36" customWidth="1"/>
    <col min="2" max="2" width="19.69921875" style="36" customWidth="1"/>
    <col min="3" max="3" width="26.5" style="36" customWidth="1"/>
    <col min="4" max="4" width="46.19921875" style="36" customWidth="1"/>
    <col min="5" max="5" width="17.09765625" style="409" customWidth="1"/>
    <col min="6" max="6" width="11.09765625" style="114" customWidth="1"/>
    <col min="7" max="7" width="9.09765625" style="37" customWidth="1"/>
    <col min="8" max="8" width="11.5" style="44" customWidth="1"/>
    <col min="9" max="10" width="11.5" style="44" bestFit="1" customWidth="1"/>
    <col min="11" max="11" width="11.59765625" style="44" customWidth="1"/>
    <col min="12" max="12" width="15.59765625" style="44" customWidth="1"/>
    <col min="13" max="13" width="17.3984375" style="44" customWidth="1"/>
    <col min="14" max="14" width="18.3984375" style="229" customWidth="1"/>
    <col min="15" max="15" width="15.8984375" style="38" customWidth="1"/>
    <col min="16" max="16" width="16.09765625" style="117" customWidth="1"/>
    <col min="17" max="17" width="10" style="11"/>
    <col min="18" max="18" width="21.59765625" style="11" customWidth="1"/>
    <col min="19" max="20" width="10" style="12"/>
    <col min="21" max="16384" width="10" style="13"/>
  </cols>
  <sheetData>
    <row r="1" spans="1:21" s="8" customFormat="1" ht="15.6">
      <c r="A1" s="5"/>
      <c r="B1" s="5"/>
      <c r="C1" s="5"/>
      <c r="D1" s="5"/>
      <c r="E1" s="6"/>
      <c r="F1" s="410"/>
      <c r="G1" s="37"/>
      <c r="H1" s="411"/>
      <c r="I1" s="412"/>
      <c r="J1" s="412"/>
      <c r="K1" s="412"/>
      <c r="L1" s="273"/>
      <c r="M1" s="412"/>
      <c r="N1" s="5"/>
      <c r="O1" s="9" t="s">
        <v>0</v>
      </c>
      <c r="P1" s="34"/>
      <c r="Q1" s="6"/>
      <c r="R1" s="158" t="s">
        <v>175</v>
      </c>
      <c r="S1" s="158" t="s">
        <v>176</v>
      </c>
      <c r="T1" s="10"/>
    </row>
    <row r="2" spans="1:21" s="8" customFormat="1" ht="15.6">
      <c r="A2" s="5"/>
      <c r="B2" s="5"/>
      <c r="C2" s="5"/>
      <c r="D2" s="5"/>
      <c r="E2" s="6"/>
      <c r="F2" s="410"/>
      <c r="G2" s="37"/>
      <c r="H2" s="411"/>
      <c r="I2" s="412"/>
      <c r="J2" s="412"/>
      <c r="K2" s="412"/>
      <c r="L2" s="273"/>
      <c r="M2" s="412"/>
      <c r="N2" s="5"/>
      <c r="O2" s="9" t="s">
        <v>1</v>
      </c>
      <c r="P2" s="34"/>
      <c r="Q2" s="157" t="s">
        <v>177</v>
      </c>
      <c r="R2" s="158" t="s">
        <v>178</v>
      </c>
      <c r="S2" s="158" t="s">
        <v>179</v>
      </c>
    </row>
    <row r="3" spans="1:21" s="8" customFormat="1" ht="15.6">
      <c r="A3" s="5"/>
      <c r="B3" s="5"/>
      <c r="C3" s="5"/>
      <c r="D3" s="5"/>
      <c r="E3" s="6"/>
      <c r="F3" s="410"/>
      <c r="G3" s="37"/>
      <c r="H3" s="411"/>
      <c r="I3" s="412"/>
      <c r="J3" s="412"/>
      <c r="K3" s="412"/>
      <c r="L3" s="273"/>
      <c r="M3" s="412"/>
      <c r="N3" s="5"/>
      <c r="O3" s="9" t="s">
        <v>2</v>
      </c>
      <c r="P3" s="34"/>
      <c r="Q3" s="159"/>
      <c r="R3" s="158" t="s">
        <v>180</v>
      </c>
      <c r="S3" s="158" t="s">
        <v>181</v>
      </c>
    </row>
    <row r="4" spans="1:21" s="8" customFormat="1" ht="15.6">
      <c r="A4" s="5"/>
      <c r="B4" s="5"/>
      <c r="C4" s="5"/>
      <c r="D4" s="5"/>
      <c r="E4" s="6"/>
      <c r="F4" s="410"/>
      <c r="G4" s="37"/>
      <c r="H4" s="411"/>
      <c r="I4" s="412"/>
      <c r="J4" s="412"/>
      <c r="K4" s="412"/>
      <c r="L4" s="273"/>
      <c r="M4" s="412"/>
      <c r="N4" s="5"/>
      <c r="O4" s="9" t="s">
        <v>3</v>
      </c>
      <c r="P4" s="34"/>
      <c r="Q4" s="159"/>
      <c r="R4" s="158" t="s">
        <v>182</v>
      </c>
      <c r="S4" s="158" t="s">
        <v>183</v>
      </c>
    </row>
    <row r="5" spans="1:21" s="8" customFormat="1" ht="15.6">
      <c r="A5" s="5"/>
      <c r="B5" s="5"/>
      <c r="C5" s="5"/>
      <c r="D5" s="5"/>
      <c r="E5" s="6"/>
      <c r="F5" s="410"/>
      <c r="G5" s="37"/>
      <c r="H5" s="411"/>
      <c r="I5" s="412"/>
      <c r="J5" s="412"/>
      <c r="K5" s="412"/>
      <c r="L5" s="273"/>
      <c r="M5" s="412"/>
      <c r="N5" s="5"/>
      <c r="O5" s="9" t="s">
        <v>4</v>
      </c>
      <c r="P5" s="34"/>
      <c r="Q5" s="159"/>
    </row>
    <row r="6" spans="1:21" ht="51.9" customHeight="1">
      <c r="A6" s="533" t="s">
        <v>184</v>
      </c>
      <c r="B6" s="533"/>
      <c r="C6" s="481"/>
      <c r="D6" s="481"/>
      <c r="E6" s="481"/>
      <c r="F6" s="481"/>
      <c r="G6" s="481"/>
      <c r="H6" s="481"/>
      <c r="I6" s="481"/>
      <c r="J6" s="481"/>
      <c r="K6" s="481"/>
      <c r="L6" s="481"/>
      <c r="M6" s="481"/>
      <c r="N6" s="481"/>
      <c r="O6" s="481"/>
      <c r="P6" s="481"/>
      <c r="Q6" s="21"/>
    </row>
    <row r="7" spans="1:21" ht="17.25" customHeight="1">
      <c r="A7" s="161" t="s">
        <v>185</v>
      </c>
      <c r="B7" s="161" t="s">
        <v>186</v>
      </c>
      <c r="C7" s="162"/>
      <c r="D7" s="162"/>
      <c r="E7" s="162"/>
      <c r="F7" s="413"/>
      <c r="G7" s="416"/>
      <c r="H7" s="280"/>
      <c r="I7" s="280"/>
      <c r="J7" s="280"/>
      <c r="K7" s="280"/>
      <c r="L7" s="280"/>
      <c r="M7" s="280"/>
      <c r="N7" s="139"/>
      <c r="O7" s="139"/>
      <c r="P7" s="139"/>
      <c r="Q7" s="21"/>
    </row>
    <row r="8" spans="1:21" ht="17.25" customHeight="1">
      <c r="A8" s="161"/>
      <c r="B8" s="161" t="s">
        <v>187</v>
      </c>
      <c r="C8" s="162"/>
      <c r="D8" s="162"/>
      <c r="E8" s="162"/>
      <c r="F8" s="413"/>
      <c r="G8" s="416"/>
      <c r="H8" s="280"/>
      <c r="I8" s="280"/>
      <c r="J8" s="280"/>
      <c r="K8" s="280"/>
      <c r="L8" s="280"/>
      <c r="M8" s="280"/>
      <c r="N8" s="139"/>
      <c r="O8" s="139"/>
      <c r="P8" s="139"/>
      <c r="T8" s="159"/>
      <c r="U8" s="160"/>
    </row>
    <row r="9" spans="1:21" s="20" customFormat="1" ht="17.25" customHeight="1" thickBot="1">
      <c r="A9" s="161" t="s">
        <v>188</v>
      </c>
      <c r="B9" s="446" t="str">
        <f>PL!V8</f>
        <v>PGU-DE-0139-001</v>
      </c>
      <c r="C9" s="161"/>
      <c r="D9" s="163"/>
      <c r="E9" s="27"/>
      <c r="F9" s="414"/>
      <c r="G9" s="37"/>
      <c r="H9" s="415">
        <v>6</v>
      </c>
      <c r="I9" s="415"/>
      <c r="J9" s="415"/>
      <c r="K9" s="286"/>
      <c r="L9" s="415"/>
      <c r="M9" s="415"/>
      <c r="N9" s="223"/>
      <c r="O9" s="18"/>
      <c r="P9" s="18"/>
      <c r="T9" s="159"/>
      <c r="U9" s="160"/>
    </row>
    <row r="10" spans="1:21" s="20" customFormat="1" ht="21" hidden="1" customHeight="1">
      <c r="A10" s="191" t="s">
        <v>189</v>
      </c>
      <c r="B10" s="164" t="str">
        <f>PL!B13</f>
        <v>Branch of JSC "Doosan Enerbility" in the Turkestan region</v>
      </c>
      <c r="C10" s="164"/>
      <c r="D10" s="290"/>
      <c r="E10" s="403"/>
      <c r="F10" s="231"/>
      <c r="G10" s="37"/>
      <c r="H10" s="39"/>
      <c r="I10" s="39"/>
      <c r="J10" s="39"/>
      <c r="K10" s="120"/>
      <c r="L10" s="39"/>
      <c r="M10" s="39"/>
      <c r="N10" s="223"/>
      <c r="O10" s="18"/>
      <c r="P10" s="18"/>
      <c r="Q10" s="15"/>
      <c r="R10" s="15"/>
      <c r="S10" s="19"/>
      <c r="T10" s="19"/>
    </row>
    <row r="11" spans="1:21" s="20" customFormat="1" ht="21" hidden="1" customHeight="1" thickBot="1">
      <c r="A11" s="192" t="s">
        <v>190</v>
      </c>
      <c r="B11" s="165" t="s">
        <v>191</v>
      </c>
      <c r="C11" s="193"/>
      <c r="D11" s="194"/>
      <c r="E11" s="404"/>
      <c r="F11" s="371"/>
      <c r="G11" s="417"/>
      <c r="H11" s="39"/>
      <c r="I11" s="39"/>
      <c r="J11" s="39"/>
      <c r="K11" s="120"/>
      <c r="L11" s="39"/>
      <c r="M11" s="39"/>
      <c r="N11" s="223"/>
      <c r="O11" s="18"/>
      <c r="P11" s="18"/>
      <c r="Q11" s="15"/>
      <c r="R11" s="15"/>
      <c r="S11" s="19"/>
      <c r="T11" s="19"/>
    </row>
    <row r="12" spans="1:21" s="23" customFormat="1" ht="30" customHeight="1">
      <c r="A12" s="567" t="s">
        <v>192</v>
      </c>
      <c r="B12" s="569" t="s">
        <v>193</v>
      </c>
      <c r="C12" s="569" t="s">
        <v>194</v>
      </c>
      <c r="D12" s="569" t="s">
        <v>195</v>
      </c>
      <c r="E12" s="571" t="s">
        <v>196</v>
      </c>
      <c r="F12" s="573" t="s">
        <v>197</v>
      </c>
      <c r="G12" s="574"/>
      <c r="H12" s="575" t="s">
        <v>198</v>
      </c>
      <c r="I12" s="575"/>
      <c r="J12" s="575"/>
      <c r="K12" s="576"/>
      <c r="L12" s="577" t="s">
        <v>199</v>
      </c>
      <c r="M12" s="577" t="s">
        <v>200</v>
      </c>
      <c r="N12" s="579" t="s">
        <v>201</v>
      </c>
      <c r="O12" s="559" t="s">
        <v>202</v>
      </c>
      <c r="P12" s="561" t="s">
        <v>203</v>
      </c>
      <c r="R12" s="22"/>
      <c r="S12" s="22"/>
      <c r="T12" s="22"/>
    </row>
    <row r="13" spans="1:21" s="23" customFormat="1" ht="39" customHeight="1" thickBot="1">
      <c r="A13" s="568"/>
      <c r="B13" s="570"/>
      <c r="C13" s="570"/>
      <c r="D13" s="570"/>
      <c r="E13" s="572"/>
      <c r="F13" s="400" t="s">
        <v>204</v>
      </c>
      <c r="G13" s="401" t="s">
        <v>205</v>
      </c>
      <c r="H13" s="402" t="s">
        <v>206</v>
      </c>
      <c r="I13" s="402" t="s">
        <v>207</v>
      </c>
      <c r="J13" s="402" t="s">
        <v>208</v>
      </c>
      <c r="K13" s="402" t="s">
        <v>209</v>
      </c>
      <c r="L13" s="578"/>
      <c r="M13" s="578"/>
      <c r="N13" s="580"/>
      <c r="O13" s="560"/>
      <c r="P13" s="562"/>
      <c r="R13" s="22"/>
      <c r="S13" s="22"/>
      <c r="T13" s="22"/>
    </row>
    <row r="14" spans="1:21" s="119" customFormat="1" ht="24.9" customHeight="1">
      <c r="A14" s="396">
        <v>1</v>
      </c>
      <c r="B14" s="397"/>
      <c r="C14" s="398" t="s">
        <v>210</v>
      </c>
      <c r="D14" s="197" t="s">
        <v>85</v>
      </c>
      <c r="E14" s="461" t="s">
        <v>211</v>
      </c>
      <c r="F14" s="364">
        <v>1</v>
      </c>
      <c r="G14" s="207" t="s">
        <v>86</v>
      </c>
      <c r="H14" s="364">
        <v>200</v>
      </c>
      <c r="I14" s="364">
        <v>138</v>
      </c>
      <c r="J14" s="364">
        <v>120</v>
      </c>
      <c r="K14" s="218">
        <v>3.3119999999999998</v>
      </c>
      <c r="L14" s="364">
        <v>1092</v>
      </c>
      <c r="M14" s="364">
        <v>1232</v>
      </c>
      <c r="N14" s="319"/>
      <c r="O14" s="320" t="s">
        <v>212</v>
      </c>
      <c r="P14" s="399" t="s">
        <v>213</v>
      </c>
      <c r="Q14" s="26"/>
      <c r="R14" s="426" t="s">
        <v>214</v>
      </c>
      <c r="S14" s="27"/>
      <c r="T14" s="118"/>
    </row>
    <row r="15" spans="1:21" s="119" customFormat="1" ht="24.9" customHeight="1">
      <c r="A15" s="24">
        <v>2</v>
      </c>
      <c r="B15" s="215"/>
      <c r="C15" s="395" t="s">
        <v>88</v>
      </c>
      <c r="D15" s="197" t="s">
        <v>85</v>
      </c>
      <c r="E15" s="207" t="s">
        <v>211</v>
      </c>
      <c r="F15" s="364">
        <v>1</v>
      </c>
      <c r="G15" s="207" t="s">
        <v>86</v>
      </c>
      <c r="H15" s="364">
        <v>200</v>
      </c>
      <c r="I15" s="364">
        <v>138</v>
      </c>
      <c r="J15" s="364">
        <v>120</v>
      </c>
      <c r="K15" s="218">
        <v>3.3119999999999998</v>
      </c>
      <c r="L15" s="364">
        <v>1092</v>
      </c>
      <c r="M15" s="364">
        <v>1232</v>
      </c>
      <c r="N15" s="209"/>
      <c r="O15" s="25" t="s">
        <v>212</v>
      </c>
      <c r="P15" s="173" t="s">
        <v>213</v>
      </c>
      <c r="Q15" s="26"/>
      <c r="R15" s="426" t="s">
        <v>214</v>
      </c>
      <c r="S15" s="27"/>
      <c r="T15" s="118"/>
    </row>
    <row r="16" spans="1:21" s="119" customFormat="1" ht="24.9" customHeight="1">
      <c r="A16" s="24">
        <v>3</v>
      </c>
      <c r="B16" s="215"/>
      <c r="C16" s="395" t="s">
        <v>89</v>
      </c>
      <c r="D16" s="197" t="s">
        <v>85</v>
      </c>
      <c r="E16" s="207" t="s">
        <v>211</v>
      </c>
      <c r="F16" s="364">
        <v>1</v>
      </c>
      <c r="G16" s="207" t="s">
        <v>86</v>
      </c>
      <c r="H16" s="364">
        <v>200</v>
      </c>
      <c r="I16" s="364">
        <v>138</v>
      </c>
      <c r="J16" s="364">
        <v>120</v>
      </c>
      <c r="K16" s="218">
        <v>3.3119999999999998</v>
      </c>
      <c r="L16" s="364">
        <v>1092</v>
      </c>
      <c r="M16" s="364">
        <v>1232</v>
      </c>
      <c r="N16" s="209"/>
      <c r="O16" s="25" t="s">
        <v>212</v>
      </c>
      <c r="P16" s="173" t="s">
        <v>213</v>
      </c>
      <c r="Q16" s="26"/>
      <c r="R16" s="426" t="s">
        <v>214</v>
      </c>
      <c r="S16" s="27"/>
      <c r="T16" s="118"/>
    </row>
    <row r="17" spans="1:20" s="119" customFormat="1" ht="24.9" customHeight="1">
      <c r="A17" s="24">
        <v>4</v>
      </c>
      <c r="B17" s="215"/>
      <c r="C17" s="395" t="s">
        <v>90</v>
      </c>
      <c r="D17" s="197" t="s">
        <v>85</v>
      </c>
      <c r="E17" s="207" t="s">
        <v>211</v>
      </c>
      <c r="F17" s="364">
        <v>1</v>
      </c>
      <c r="G17" s="207" t="s">
        <v>86</v>
      </c>
      <c r="H17" s="364">
        <v>200</v>
      </c>
      <c r="I17" s="364">
        <v>138</v>
      </c>
      <c r="J17" s="364">
        <v>120</v>
      </c>
      <c r="K17" s="218">
        <v>3.3119999999999998</v>
      </c>
      <c r="L17" s="364">
        <v>1092</v>
      </c>
      <c r="M17" s="364">
        <v>1232</v>
      </c>
      <c r="N17" s="209"/>
      <c r="O17" s="25" t="s">
        <v>212</v>
      </c>
      <c r="P17" s="173" t="s">
        <v>213</v>
      </c>
      <c r="Q17" s="26"/>
      <c r="R17" s="426" t="s">
        <v>214</v>
      </c>
      <c r="S17" s="27"/>
      <c r="T17" s="118"/>
    </row>
    <row r="18" spans="1:20" s="119" customFormat="1" ht="24.9" customHeight="1">
      <c r="A18" s="24">
        <v>5</v>
      </c>
      <c r="B18" s="215"/>
      <c r="C18" s="395" t="s">
        <v>91</v>
      </c>
      <c r="D18" s="197" t="s">
        <v>85</v>
      </c>
      <c r="E18" s="207" t="s">
        <v>211</v>
      </c>
      <c r="F18" s="364">
        <v>1</v>
      </c>
      <c r="G18" s="207" t="s">
        <v>86</v>
      </c>
      <c r="H18" s="364">
        <v>200</v>
      </c>
      <c r="I18" s="364">
        <v>138</v>
      </c>
      <c r="J18" s="364">
        <v>120</v>
      </c>
      <c r="K18" s="218">
        <v>3.3119999999999998</v>
      </c>
      <c r="L18" s="364">
        <v>1092</v>
      </c>
      <c r="M18" s="364">
        <v>1232</v>
      </c>
      <c r="N18" s="209"/>
      <c r="O18" s="25" t="s">
        <v>212</v>
      </c>
      <c r="P18" s="173" t="s">
        <v>213</v>
      </c>
      <c r="Q18" s="26"/>
      <c r="R18" s="426" t="s">
        <v>214</v>
      </c>
      <c r="S18" s="27"/>
      <c r="T18" s="118"/>
    </row>
    <row r="19" spans="1:20" s="119" customFormat="1" ht="24.9" customHeight="1">
      <c r="A19" s="24">
        <v>6</v>
      </c>
      <c r="B19" s="215"/>
      <c r="C19" s="395" t="s">
        <v>92</v>
      </c>
      <c r="D19" s="197" t="s">
        <v>85</v>
      </c>
      <c r="E19" s="207" t="s">
        <v>211</v>
      </c>
      <c r="F19" s="364">
        <v>1</v>
      </c>
      <c r="G19" s="207" t="s">
        <v>86</v>
      </c>
      <c r="H19" s="364">
        <v>200</v>
      </c>
      <c r="I19" s="364">
        <v>138</v>
      </c>
      <c r="J19" s="364">
        <v>120</v>
      </c>
      <c r="K19" s="218">
        <v>3.3119999999999998</v>
      </c>
      <c r="L19" s="364">
        <v>1092</v>
      </c>
      <c r="M19" s="364">
        <v>1232</v>
      </c>
      <c r="N19" s="209"/>
      <c r="O19" s="25" t="s">
        <v>212</v>
      </c>
      <c r="P19" s="173" t="s">
        <v>213</v>
      </c>
      <c r="Q19" s="26"/>
      <c r="R19" s="426" t="s">
        <v>214</v>
      </c>
      <c r="S19" s="27"/>
      <c r="T19" s="118"/>
    </row>
    <row r="20" spans="1:20" s="119" customFormat="1" ht="24.9" customHeight="1">
      <c r="A20" s="24">
        <v>7</v>
      </c>
      <c r="B20" s="215"/>
      <c r="C20" s="395" t="s">
        <v>93</v>
      </c>
      <c r="D20" s="197" t="s">
        <v>85</v>
      </c>
      <c r="E20" s="207" t="s">
        <v>211</v>
      </c>
      <c r="F20" s="364">
        <v>1</v>
      </c>
      <c r="G20" s="207" t="s">
        <v>86</v>
      </c>
      <c r="H20" s="364">
        <v>200</v>
      </c>
      <c r="I20" s="364">
        <v>138</v>
      </c>
      <c r="J20" s="364">
        <v>120</v>
      </c>
      <c r="K20" s="218">
        <v>3.3119999999999998</v>
      </c>
      <c r="L20" s="364">
        <v>1092</v>
      </c>
      <c r="M20" s="364">
        <v>1232</v>
      </c>
      <c r="N20" s="209"/>
      <c r="O20" s="25" t="s">
        <v>212</v>
      </c>
      <c r="P20" s="173" t="s">
        <v>213</v>
      </c>
      <c r="Q20" s="26"/>
      <c r="R20" s="426" t="s">
        <v>214</v>
      </c>
      <c r="S20" s="27"/>
      <c r="T20" s="118"/>
    </row>
    <row r="21" spans="1:20" s="119" customFormat="1" ht="24.9" customHeight="1">
      <c r="A21" s="24">
        <v>8</v>
      </c>
      <c r="B21" s="215"/>
      <c r="C21" s="395" t="s">
        <v>94</v>
      </c>
      <c r="D21" s="197" t="s">
        <v>85</v>
      </c>
      <c r="E21" s="207" t="s">
        <v>211</v>
      </c>
      <c r="F21" s="364">
        <v>1</v>
      </c>
      <c r="G21" s="207" t="s">
        <v>86</v>
      </c>
      <c r="H21" s="364">
        <v>200</v>
      </c>
      <c r="I21" s="364">
        <v>138</v>
      </c>
      <c r="J21" s="364">
        <v>120</v>
      </c>
      <c r="K21" s="218">
        <v>3.3119999999999998</v>
      </c>
      <c r="L21" s="364">
        <v>1092</v>
      </c>
      <c r="M21" s="364">
        <v>1232</v>
      </c>
      <c r="N21" s="209"/>
      <c r="O21" s="25" t="s">
        <v>212</v>
      </c>
      <c r="P21" s="173" t="s">
        <v>213</v>
      </c>
      <c r="Q21" s="26"/>
      <c r="R21" s="426" t="s">
        <v>214</v>
      </c>
      <c r="S21" s="27"/>
      <c r="T21" s="118"/>
    </row>
    <row r="22" spans="1:20" s="119" customFormat="1" ht="24.9" customHeight="1">
      <c r="A22" s="24">
        <v>9</v>
      </c>
      <c r="B22" s="215"/>
      <c r="C22" s="395" t="s">
        <v>95</v>
      </c>
      <c r="D22" s="197" t="s">
        <v>85</v>
      </c>
      <c r="E22" s="207" t="s">
        <v>211</v>
      </c>
      <c r="F22" s="364">
        <v>1</v>
      </c>
      <c r="G22" s="207" t="s">
        <v>86</v>
      </c>
      <c r="H22" s="364">
        <v>200</v>
      </c>
      <c r="I22" s="364">
        <v>138</v>
      </c>
      <c r="J22" s="364">
        <v>120</v>
      </c>
      <c r="K22" s="218">
        <v>3.3119999999999998</v>
      </c>
      <c r="L22" s="364">
        <v>1092</v>
      </c>
      <c r="M22" s="364">
        <v>1232</v>
      </c>
      <c r="N22" s="209"/>
      <c r="O22" s="25" t="s">
        <v>212</v>
      </c>
      <c r="P22" s="173" t="s">
        <v>213</v>
      </c>
      <c r="Q22" s="26"/>
      <c r="R22" s="426" t="s">
        <v>214</v>
      </c>
      <c r="S22" s="27"/>
      <c r="T22" s="118"/>
    </row>
    <row r="23" spans="1:20" s="119" customFormat="1" ht="24.9" customHeight="1">
      <c r="A23" s="24">
        <v>10</v>
      </c>
      <c r="B23" s="215"/>
      <c r="C23" s="395" t="s">
        <v>96</v>
      </c>
      <c r="D23" s="197" t="s">
        <v>85</v>
      </c>
      <c r="E23" s="207" t="s">
        <v>211</v>
      </c>
      <c r="F23" s="364">
        <v>1</v>
      </c>
      <c r="G23" s="207" t="s">
        <v>86</v>
      </c>
      <c r="H23" s="364">
        <v>200</v>
      </c>
      <c r="I23" s="364">
        <v>138</v>
      </c>
      <c r="J23" s="364">
        <v>120</v>
      </c>
      <c r="K23" s="218">
        <v>3.3119999999999998</v>
      </c>
      <c r="L23" s="364">
        <v>1092</v>
      </c>
      <c r="M23" s="364">
        <v>1232</v>
      </c>
      <c r="N23" s="209"/>
      <c r="O23" s="25" t="s">
        <v>212</v>
      </c>
      <c r="P23" s="173" t="s">
        <v>213</v>
      </c>
      <c r="Q23" s="26"/>
      <c r="R23" s="426" t="s">
        <v>214</v>
      </c>
      <c r="S23" s="27"/>
      <c r="T23" s="118"/>
    </row>
    <row r="24" spans="1:20" s="119" customFormat="1" ht="24.9" customHeight="1">
      <c r="A24" s="24">
        <v>11</v>
      </c>
      <c r="B24" s="215"/>
      <c r="C24" s="395" t="s">
        <v>97</v>
      </c>
      <c r="D24" s="197" t="s">
        <v>85</v>
      </c>
      <c r="E24" s="207" t="s">
        <v>211</v>
      </c>
      <c r="F24" s="364">
        <v>1</v>
      </c>
      <c r="G24" s="207" t="s">
        <v>86</v>
      </c>
      <c r="H24" s="364">
        <v>200</v>
      </c>
      <c r="I24" s="364">
        <v>138</v>
      </c>
      <c r="J24" s="364">
        <v>120</v>
      </c>
      <c r="K24" s="218">
        <v>3.3119999999999998</v>
      </c>
      <c r="L24" s="364">
        <v>1092</v>
      </c>
      <c r="M24" s="364">
        <v>1232</v>
      </c>
      <c r="N24" s="209"/>
      <c r="O24" s="25" t="s">
        <v>212</v>
      </c>
      <c r="P24" s="173" t="s">
        <v>213</v>
      </c>
      <c r="Q24" s="26"/>
      <c r="R24" s="426" t="s">
        <v>214</v>
      </c>
      <c r="S24" s="27"/>
      <c r="T24" s="118"/>
    </row>
    <row r="25" spans="1:20" s="119" customFormat="1" ht="24.9" customHeight="1">
      <c r="A25" s="24">
        <v>12</v>
      </c>
      <c r="B25" s="215"/>
      <c r="C25" s="395" t="s">
        <v>98</v>
      </c>
      <c r="D25" s="197" t="s">
        <v>85</v>
      </c>
      <c r="E25" s="207" t="s">
        <v>211</v>
      </c>
      <c r="F25" s="364">
        <v>1</v>
      </c>
      <c r="G25" s="207" t="s">
        <v>86</v>
      </c>
      <c r="H25" s="364">
        <v>200</v>
      </c>
      <c r="I25" s="364">
        <v>138</v>
      </c>
      <c r="J25" s="364">
        <v>120</v>
      </c>
      <c r="K25" s="218">
        <v>3.3119999999999998</v>
      </c>
      <c r="L25" s="364">
        <v>1092</v>
      </c>
      <c r="M25" s="364">
        <v>1232</v>
      </c>
      <c r="N25" s="209"/>
      <c r="O25" s="25" t="s">
        <v>212</v>
      </c>
      <c r="P25" s="173" t="s">
        <v>213</v>
      </c>
      <c r="Q25" s="26"/>
      <c r="R25" s="426" t="s">
        <v>214</v>
      </c>
      <c r="S25" s="27"/>
      <c r="T25" s="118"/>
    </row>
    <row r="26" spans="1:20" s="119" customFormat="1" ht="24.9" customHeight="1">
      <c r="A26" s="24">
        <v>13</v>
      </c>
      <c r="B26" s="215"/>
      <c r="C26" s="395" t="s">
        <v>99</v>
      </c>
      <c r="D26" s="197" t="s">
        <v>100</v>
      </c>
      <c r="E26" s="207" t="s">
        <v>211</v>
      </c>
      <c r="F26" s="364">
        <v>1</v>
      </c>
      <c r="G26" s="207" t="s">
        <v>86</v>
      </c>
      <c r="H26" s="364">
        <v>280</v>
      </c>
      <c r="I26" s="364">
        <v>230</v>
      </c>
      <c r="J26" s="364">
        <v>210</v>
      </c>
      <c r="K26" s="218">
        <v>13.523999999999999</v>
      </c>
      <c r="L26" s="364">
        <v>1200</v>
      </c>
      <c r="M26" s="364">
        <v>1340</v>
      </c>
      <c r="N26" s="209"/>
      <c r="O26" s="25" t="s">
        <v>212</v>
      </c>
      <c r="P26" s="173" t="s">
        <v>213</v>
      </c>
      <c r="Q26" s="26"/>
      <c r="R26" s="27"/>
      <c r="S26" s="27"/>
      <c r="T26" s="118"/>
    </row>
    <row r="27" spans="1:20" s="119" customFormat="1" ht="24.9" customHeight="1">
      <c r="A27" s="24">
        <v>14</v>
      </c>
      <c r="B27" s="215"/>
      <c r="C27" s="395" t="s">
        <v>101</v>
      </c>
      <c r="D27" s="197" t="s">
        <v>100</v>
      </c>
      <c r="E27" s="207" t="s">
        <v>211</v>
      </c>
      <c r="F27" s="364">
        <v>1</v>
      </c>
      <c r="G27" s="207" t="s">
        <v>86</v>
      </c>
      <c r="H27" s="364">
        <v>280</v>
      </c>
      <c r="I27" s="364">
        <v>230</v>
      </c>
      <c r="J27" s="364">
        <v>210</v>
      </c>
      <c r="K27" s="218">
        <v>13.523999999999999</v>
      </c>
      <c r="L27" s="364">
        <v>1200</v>
      </c>
      <c r="M27" s="364">
        <v>1340</v>
      </c>
      <c r="N27" s="209"/>
      <c r="O27" s="25" t="s">
        <v>212</v>
      </c>
      <c r="P27" s="173" t="s">
        <v>213</v>
      </c>
      <c r="Q27" s="26"/>
      <c r="R27" s="27"/>
      <c r="S27" s="27"/>
      <c r="T27" s="118"/>
    </row>
    <row r="28" spans="1:20" s="119" customFormat="1" ht="24.9" customHeight="1">
      <c r="A28" s="24">
        <v>15</v>
      </c>
      <c r="B28" s="215"/>
      <c r="C28" s="395" t="s">
        <v>102</v>
      </c>
      <c r="D28" s="197" t="s">
        <v>100</v>
      </c>
      <c r="E28" s="207" t="s">
        <v>211</v>
      </c>
      <c r="F28" s="364">
        <v>1</v>
      </c>
      <c r="G28" s="207" t="s">
        <v>86</v>
      </c>
      <c r="H28" s="364">
        <v>280</v>
      </c>
      <c r="I28" s="364">
        <v>230</v>
      </c>
      <c r="J28" s="364">
        <v>255</v>
      </c>
      <c r="K28" s="218">
        <v>16.422000000000001</v>
      </c>
      <c r="L28" s="364">
        <v>1792</v>
      </c>
      <c r="M28" s="364">
        <v>1932</v>
      </c>
      <c r="N28" s="209"/>
      <c r="O28" s="25" t="s">
        <v>212</v>
      </c>
      <c r="P28" s="173" t="s">
        <v>213</v>
      </c>
      <c r="Q28" s="26"/>
      <c r="R28" s="27"/>
      <c r="S28" s="27"/>
      <c r="T28" s="118"/>
    </row>
    <row r="29" spans="1:20" s="119" customFormat="1" ht="24.9" customHeight="1">
      <c r="A29" s="24">
        <v>16</v>
      </c>
      <c r="B29" s="215"/>
      <c r="C29" s="395" t="s">
        <v>103</v>
      </c>
      <c r="D29" s="197" t="s">
        <v>104</v>
      </c>
      <c r="E29" s="207" t="s">
        <v>211</v>
      </c>
      <c r="F29" s="364">
        <v>1</v>
      </c>
      <c r="G29" s="207" t="s">
        <v>86</v>
      </c>
      <c r="H29" s="364">
        <v>244</v>
      </c>
      <c r="I29" s="364">
        <v>165</v>
      </c>
      <c r="J29" s="364">
        <v>150</v>
      </c>
      <c r="K29" s="218">
        <v>6.0389999999999997</v>
      </c>
      <c r="L29" s="364">
        <v>1260</v>
      </c>
      <c r="M29" s="364">
        <v>1360</v>
      </c>
      <c r="N29" s="209"/>
      <c r="O29" s="25" t="s">
        <v>212</v>
      </c>
      <c r="P29" s="173" t="s">
        <v>213</v>
      </c>
      <c r="Q29" s="26"/>
      <c r="R29" s="27"/>
      <c r="S29" s="27"/>
      <c r="T29" s="118"/>
    </row>
    <row r="30" spans="1:20" s="119" customFormat="1" ht="24.9" customHeight="1">
      <c r="A30" s="24">
        <v>17</v>
      </c>
      <c r="B30" s="215"/>
      <c r="C30" s="395" t="s">
        <v>105</v>
      </c>
      <c r="D30" s="197" t="s">
        <v>104</v>
      </c>
      <c r="E30" s="207" t="s">
        <v>211</v>
      </c>
      <c r="F30" s="364">
        <v>1</v>
      </c>
      <c r="G30" s="207" t="s">
        <v>86</v>
      </c>
      <c r="H30" s="364">
        <v>244</v>
      </c>
      <c r="I30" s="364">
        <v>165</v>
      </c>
      <c r="J30" s="364">
        <v>150</v>
      </c>
      <c r="K30" s="218">
        <v>6.0389999999999997</v>
      </c>
      <c r="L30" s="364">
        <v>1260</v>
      </c>
      <c r="M30" s="364">
        <v>1360</v>
      </c>
      <c r="N30" s="209"/>
      <c r="O30" s="25" t="s">
        <v>212</v>
      </c>
      <c r="P30" s="173" t="s">
        <v>213</v>
      </c>
      <c r="Q30" s="26"/>
      <c r="R30" s="27"/>
      <c r="S30" s="27"/>
      <c r="T30" s="118"/>
    </row>
    <row r="31" spans="1:20" s="119" customFormat="1" ht="24.9" customHeight="1">
      <c r="A31" s="24">
        <v>18</v>
      </c>
      <c r="B31" s="215"/>
      <c r="C31" s="395" t="s">
        <v>106</v>
      </c>
      <c r="D31" s="197" t="s">
        <v>104</v>
      </c>
      <c r="E31" s="207" t="s">
        <v>211</v>
      </c>
      <c r="F31" s="364">
        <v>1</v>
      </c>
      <c r="G31" s="207" t="s">
        <v>86</v>
      </c>
      <c r="H31" s="364">
        <v>244</v>
      </c>
      <c r="I31" s="364">
        <v>165</v>
      </c>
      <c r="J31" s="364">
        <v>150</v>
      </c>
      <c r="K31" s="218">
        <v>6.0389999999999997</v>
      </c>
      <c r="L31" s="364">
        <v>1260</v>
      </c>
      <c r="M31" s="364">
        <v>1360</v>
      </c>
      <c r="N31" s="209"/>
      <c r="O31" s="25" t="s">
        <v>212</v>
      </c>
      <c r="P31" s="173" t="s">
        <v>213</v>
      </c>
      <c r="Q31" s="26"/>
      <c r="R31" s="27"/>
      <c r="S31" s="27"/>
      <c r="T31" s="118"/>
    </row>
    <row r="32" spans="1:20" s="119" customFormat="1" ht="24.9" customHeight="1">
      <c r="A32" s="24">
        <v>19</v>
      </c>
      <c r="B32" s="215"/>
      <c r="C32" s="395" t="s">
        <v>107</v>
      </c>
      <c r="D32" s="197" t="s">
        <v>104</v>
      </c>
      <c r="E32" s="207" t="s">
        <v>211</v>
      </c>
      <c r="F32" s="364">
        <v>1</v>
      </c>
      <c r="G32" s="207" t="s">
        <v>86</v>
      </c>
      <c r="H32" s="364">
        <v>250</v>
      </c>
      <c r="I32" s="364">
        <v>185</v>
      </c>
      <c r="J32" s="364">
        <v>150</v>
      </c>
      <c r="K32" s="218">
        <v>6.9379999999999997</v>
      </c>
      <c r="L32" s="364">
        <v>1260</v>
      </c>
      <c r="M32" s="364">
        <v>1360</v>
      </c>
      <c r="N32" s="209"/>
      <c r="O32" s="25" t="s">
        <v>212</v>
      </c>
      <c r="P32" s="173" t="s">
        <v>213</v>
      </c>
      <c r="Q32" s="26"/>
      <c r="R32" s="27"/>
      <c r="S32" s="27"/>
      <c r="T32" s="118"/>
    </row>
    <row r="33" spans="1:20" s="119" customFormat="1" ht="24.9" customHeight="1">
      <c r="A33" s="24">
        <v>20</v>
      </c>
      <c r="B33" s="215"/>
      <c r="C33" s="395" t="s">
        <v>108</v>
      </c>
      <c r="D33" s="197" t="s">
        <v>109</v>
      </c>
      <c r="E33" s="207" t="s">
        <v>211</v>
      </c>
      <c r="F33" s="364">
        <v>1</v>
      </c>
      <c r="G33" s="207" t="s">
        <v>86</v>
      </c>
      <c r="H33" s="364">
        <v>250</v>
      </c>
      <c r="I33" s="364">
        <v>185</v>
      </c>
      <c r="J33" s="364">
        <v>110</v>
      </c>
      <c r="K33" s="218">
        <v>5.0880000000000001</v>
      </c>
      <c r="L33" s="364">
        <v>1200</v>
      </c>
      <c r="M33" s="364">
        <v>1300</v>
      </c>
      <c r="N33" s="209"/>
      <c r="O33" s="25" t="s">
        <v>212</v>
      </c>
      <c r="P33" s="173" t="s">
        <v>213</v>
      </c>
      <c r="Q33" s="26"/>
      <c r="R33" s="27"/>
      <c r="S33" s="27"/>
      <c r="T33" s="118"/>
    </row>
    <row r="34" spans="1:20" s="119" customFormat="1" ht="24.9" customHeight="1">
      <c r="A34" s="24">
        <v>21</v>
      </c>
      <c r="B34" s="215"/>
      <c r="C34" s="395" t="s">
        <v>110</v>
      </c>
      <c r="D34" s="197" t="s">
        <v>109</v>
      </c>
      <c r="E34" s="207" t="s">
        <v>211</v>
      </c>
      <c r="F34" s="364">
        <v>1</v>
      </c>
      <c r="G34" s="207" t="s">
        <v>86</v>
      </c>
      <c r="H34" s="364">
        <v>250</v>
      </c>
      <c r="I34" s="364">
        <v>185</v>
      </c>
      <c r="J34" s="364">
        <v>110</v>
      </c>
      <c r="K34" s="218">
        <v>5.0880000000000001</v>
      </c>
      <c r="L34" s="364">
        <v>1200</v>
      </c>
      <c r="M34" s="364">
        <v>1300</v>
      </c>
      <c r="N34" s="209"/>
      <c r="O34" s="25" t="s">
        <v>212</v>
      </c>
      <c r="P34" s="173" t="s">
        <v>213</v>
      </c>
      <c r="Q34" s="26"/>
      <c r="R34" s="27"/>
      <c r="S34" s="27"/>
      <c r="T34" s="118"/>
    </row>
    <row r="35" spans="1:20" s="119" customFormat="1" ht="24.9" customHeight="1">
      <c r="A35" s="24">
        <v>22</v>
      </c>
      <c r="B35" s="215"/>
      <c r="C35" s="395" t="s">
        <v>111</v>
      </c>
      <c r="D35" s="197" t="s">
        <v>112</v>
      </c>
      <c r="E35" s="462" t="s">
        <v>215</v>
      </c>
      <c r="F35" s="364">
        <v>1</v>
      </c>
      <c r="G35" s="207" t="s">
        <v>86</v>
      </c>
      <c r="H35" s="364">
        <v>370</v>
      </c>
      <c r="I35" s="364">
        <v>190</v>
      </c>
      <c r="J35" s="364">
        <v>210</v>
      </c>
      <c r="K35" s="218">
        <v>14.763</v>
      </c>
      <c r="L35" s="364">
        <v>2020</v>
      </c>
      <c r="M35" s="364">
        <v>2160</v>
      </c>
      <c r="N35" s="209"/>
      <c r="O35" s="25" t="s">
        <v>216</v>
      </c>
      <c r="P35" s="173" t="s">
        <v>213</v>
      </c>
      <c r="Q35" s="26"/>
      <c r="R35" s="27"/>
      <c r="S35" s="27"/>
      <c r="T35" s="118"/>
    </row>
    <row r="36" spans="1:20" s="119" customFormat="1" ht="24.9" customHeight="1">
      <c r="A36" s="24">
        <v>23</v>
      </c>
      <c r="B36" s="215"/>
      <c r="C36" s="395" t="s">
        <v>113</v>
      </c>
      <c r="D36" s="197" t="s">
        <v>112</v>
      </c>
      <c r="E36" s="462" t="s">
        <v>215</v>
      </c>
      <c r="F36" s="364">
        <v>1</v>
      </c>
      <c r="G36" s="207" t="s">
        <v>86</v>
      </c>
      <c r="H36" s="364">
        <v>370</v>
      </c>
      <c r="I36" s="364">
        <v>190</v>
      </c>
      <c r="J36" s="364">
        <v>210</v>
      </c>
      <c r="K36" s="218">
        <v>14.763</v>
      </c>
      <c r="L36" s="364">
        <v>6060</v>
      </c>
      <c r="M36" s="364">
        <v>6200</v>
      </c>
      <c r="N36" s="209"/>
      <c r="O36" s="25" t="s">
        <v>216</v>
      </c>
      <c r="P36" s="173" t="s">
        <v>213</v>
      </c>
      <c r="Q36" s="26"/>
      <c r="R36" s="27"/>
      <c r="S36" s="27"/>
      <c r="T36" s="118"/>
    </row>
    <row r="37" spans="1:20" s="119" customFormat="1" ht="24.9" customHeight="1">
      <c r="A37" s="24">
        <v>24</v>
      </c>
      <c r="B37" s="215"/>
      <c r="C37" s="395" t="s">
        <v>114</v>
      </c>
      <c r="D37" s="197" t="s">
        <v>115</v>
      </c>
      <c r="E37" s="207" t="s">
        <v>211</v>
      </c>
      <c r="F37" s="364">
        <v>1</v>
      </c>
      <c r="G37" s="207" t="s">
        <v>86</v>
      </c>
      <c r="H37" s="364">
        <v>136</v>
      </c>
      <c r="I37" s="364">
        <v>106</v>
      </c>
      <c r="J37" s="364">
        <v>101</v>
      </c>
      <c r="K37" s="218">
        <v>1.456</v>
      </c>
      <c r="L37" s="364">
        <v>600</v>
      </c>
      <c r="M37" s="364">
        <v>740</v>
      </c>
      <c r="N37" s="209"/>
      <c r="O37" s="25" t="s">
        <v>212</v>
      </c>
      <c r="P37" s="173" t="s">
        <v>213</v>
      </c>
      <c r="Q37" s="26"/>
      <c r="R37" s="27"/>
      <c r="S37" s="27"/>
      <c r="T37" s="118"/>
    </row>
    <row r="38" spans="1:20" s="119" customFormat="1" ht="24.9" customHeight="1">
      <c r="A38" s="24">
        <v>25</v>
      </c>
      <c r="B38" s="215"/>
      <c r="C38" s="395" t="s">
        <v>116</v>
      </c>
      <c r="D38" s="197" t="s">
        <v>115</v>
      </c>
      <c r="E38" s="207" t="s">
        <v>211</v>
      </c>
      <c r="F38" s="364">
        <v>1</v>
      </c>
      <c r="G38" s="207" t="s">
        <v>86</v>
      </c>
      <c r="H38" s="364">
        <v>136</v>
      </c>
      <c r="I38" s="364">
        <v>106</v>
      </c>
      <c r="J38" s="364">
        <v>101</v>
      </c>
      <c r="K38" s="218">
        <v>1.456</v>
      </c>
      <c r="L38" s="364">
        <v>600</v>
      </c>
      <c r="M38" s="364">
        <v>740</v>
      </c>
      <c r="N38" s="209"/>
      <c r="O38" s="25" t="s">
        <v>212</v>
      </c>
      <c r="P38" s="173" t="s">
        <v>213</v>
      </c>
      <c r="Q38" s="26"/>
      <c r="R38" s="27"/>
      <c r="S38" s="27"/>
      <c r="T38" s="118"/>
    </row>
    <row r="39" spans="1:20" s="119" customFormat="1" ht="24.9" customHeight="1">
      <c r="A39" s="24">
        <v>26</v>
      </c>
      <c r="B39" s="215"/>
      <c r="C39" s="395" t="s">
        <v>117</v>
      </c>
      <c r="D39" s="197" t="s">
        <v>115</v>
      </c>
      <c r="E39" s="207" t="s">
        <v>211</v>
      </c>
      <c r="F39" s="364">
        <v>1</v>
      </c>
      <c r="G39" s="207" t="s">
        <v>86</v>
      </c>
      <c r="H39" s="364">
        <v>136</v>
      </c>
      <c r="I39" s="364">
        <v>106</v>
      </c>
      <c r="J39" s="364">
        <v>101</v>
      </c>
      <c r="K39" s="218">
        <v>1.456</v>
      </c>
      <c r="L39" s="364">
        <v>600</v>
      </c>
      <c r="M39" s="364">
        <v>740</v>
      </c>
      <c r="N39" s="209"/>
      <c r="O39" s="25" t="s">
        <v>212</v>
      </c>
      <c r="P39" s="173" t="s">
        <v>213</v>
      </c>
      <c r="Q39" s="26"/>
      <c r="R39" s="27"/>
      <c r="S39" s="27"/>
      <c r="T39" s="118"/>
    </row>
    <row r="40" spans="1:20" s="119" customFormat="1" ht="24.9" customHeight="1">
      <c r="A40" s="24">
        <v>27</v>
      </c>
      <c r="B40" s="215"/>
      <c r="C40" s="395" t="s">
        <v>118</v>
      </c>
      <c r="D40" s="197" t="s">
        <v>115</v>
      </c>
      <c r="E40" s="207" t="s">
        <v>211</v>
      </c>
      <c r="F40" s="364">
        <v>1</v>
      </c>
      <c r="G40" s="207" t="s">
        <v>86</v>
      </c>
      <c r="H40" s="364">
        <v>136</v>
      </c>
      <c r="I40" s="364">
        <v>106</v>
      </c>
      <c r="J40" s="364">
        <v>101</v>
      </c>
      <c r="K40" s="218">
        <v>1.456</v>
      </c>
      <c r="L40" s="364">
        <v>600</v>
      </c>
      <c r="M40" s="364">
        <v>740</v>
      </c>
      <c r="N40" s="209"/>
      <c r="O40" s="25" t="s">
        <v>212</v>
      </c>
      <c r="P40" s="173" t="s">
        <v>213</v>
      </c>
      <c r="Q40" s="26"/>
      <c r="R40" s="27"/>
      <c r="S40" s="27"/>
      <c r="T40" s="118"/>
    </row>
    <row r="41" spans="1:20" s="119" customFormat="1" ht="24.9" customHeight="1">
      <c r="A41" s="24">
        <v>28</v>
      </c>
      <c r="B41" s="215"/>
      <c r="C41" s="395" t="s">
        <v>119</v>
      </c>
      <c r="D41" s="197" t="s">
        <v>115</v>
      </c>
      <c r="E41" s="207" t="s">
        <v>211</v>
      </c>
      <c r="F41" s="364">
        <v>1</v>
      </c>
      <c r="G41" s="207" t="s">
        <v>86</v>
      </c>
      <c r="H41" s="364">
        <v>136</v>
      </c>
      <c r="I41" s="364">
        <v>106</v>
      </c>
      <c r="J41" s="364">
        <v>101</v>
      </c>
      <c r="K41" s="218">
        <v>1.456</v>
      </c>
      <c r="L41" s="364">
        <v>600</v>
      </c>
      <c r="M41" s="364">
        <v>740</v>
      </c>
      <c r="N41" s="209"/>
      <c r="O41" s="25" t="s">
        <v>212</v>
      </c>
      <c r="P41" s="173" t="s">
        <v>213</v>
      </c>
      <c r="Q41" s="26"/>
      <c r="R41" s="27"/>
      <c r="S41" s="27"/>
      <c r="T41" s="118"/>
    </row>
    <row r="42" spans="1:20" s="119" customFormat="1" ht="24.9" customHeight="1">
      <c r="A42" s="24">
        <v>29</v>
      </c>
      <c r="B42" s="215"/>
      <c r="C42" s="395" t="s">
        <v>120</v>
      </c>
      <c r="D42" s="197" t="s">
        <v>115</v>
      </c>
      <c r="E42" s="207" t="s">
        <v>211</v>
      </c>
      <c r="F42" s="364">
        <v>1</v>
      </c>
      <c r="G42" s="207" t="s">
        <v>86</v>
      </c>
      <c r="H42" s="364">
        <v>136</v>
      </c>
      <c r="I42" s="364">
        <v>106</v>
      </c>
      <c r="J42" s="364">
        <v>101</v>
      </c>
      <c r="K42" s="218">
        <v>1.456</v>
      </c>
      <c r="L42" s="364">
        <v>600</v>
      </c>
      <c r="M42" s="364">
        <v>740</v>
      </c>
      <c r="N42" s="209"/>
      <c r="O42" s="25" t="s">
        <v>212</v>
      </c>
      <c r="P42" s="173" t="s">
        <v>213</v>
      </c>
      <c r="Q42" s="26"/>
      <c r="R42" s="27"/>
      <c r="S42" s="27"/>
      <c r="T42" s="118"/>
    </row>
    <row r="43" spans="1:20" s="119" customFormat="1" ht="24.9" customHeight="1">
      <c r="A43" s="24">
        <v>30</v>
      </c>
      <c r="B43" s="215"/>
      <c r="C43" s="395" t="s">
        <v>121</v>
      </c>
      <c r="D43" s="197" t="s">
        <v>115</v>
      </c>
      <c r="E43" s="207" t="s">
        <v>211</v>
      </c>
      <c r="F43" s="364">
        <v>1</v>
      </c>
      <c r="G43" s="207" t="s">
        <v>86</v>
      </c>
      <c r="H43" s="364">
        <v>136</v>
      </c>
      <c r="I43" s="364">
        <v>106</v>
      </c>
      <c r="J43" s="364">
        <v>101</v>
      </c>
      <c r="K43" s="218">
        <v>1.456</v>
      </c>
      <c r="L43" s="364">
        <v>600</v>
      </c>
      <c r="M43" s="364">
        <v>740</v>
      </c>
      <c r="N43" s="209"/>
      <c r="O43" s="25" t="s">
        <v>212</v>
      </c>
      <c r="P43" s="173" t="s">
        <v>213</v>
      </c>
      <c r="Q43" s="26"/>
      <c r="R43" s="27"/>
      <c r="S43" s="27"/>
      <c r="T43" s="118"/>
    </row>
    <row r="44" spans="1:20" s="119" customFormat="1" ht="24.9" customHeight="1">
      <c r="A44" s="24">
        <v>31</v>
      </c>
      <c r="B44" s="215"/>
      <c r="C44" s="395" t="s">
        <v>122</v>
      </c>
      <c r="D44" s="197" t="s">
        <v>115</v>
      </c>
      <c r="E44" s="207" t="s">
        <v>211</v>
      </c>
      <c r="F44" s="364">
        <v>1</v>
      </c>
      <c r="G44" s="207" t="s">
        <v>86</v>
      </c>
      <c r="H44" s="364">
        <v>136</v>
      </c>
      <c r="I44" s="364">
        <v>106</v>
      </c>
      <c r="J44" s="364">
        <v>101</v>
      </c>
      <c r="K44" s="218">
        <v>1.456</v>
      </c>
      <c r="L44" s="364">
        <v>600</v>
      </c>
      <c r="M44" s="364">
        <v>740</v>
      </c>
      <c r="N44" s="209"/>
      <c r="O44" s="25" t="s">
        <v>212</v>
      </c>
      <c r="P44" s="173" t="s">
        <v>213</v>
      </c>
      <c r="Q44" s="26"/>
      <c r="R44" s="27"/>
      <c r="S44" s="27"/>
      <c r="T44" s="118"/>
    </row>
    <row r="45" spans="1:20" s="119" customFormat="1" ht="24.9" customHeight="1">
      <c r="A45" s="24">
        <v>32</v>
      </c>
      <c r="B45" s="215"/>
      <c r="C45" s="395" t="s">
        <v>123</v>
      </c>
      <c r="D45" s="197" t="s">
        <v>124</v>
      </c>
      <c r="E45" s="207" t="s">
        <v>211</v>
      </c>
      <c r="F45" s="364">
        <v>1</v>
      </c>
      <c r="G45" s="207" t="s">
        <v>86</v>
      </c>
      <c r="H45" s="364">
        <v>630</v>
      </c>
      <c r="I45" s="364">
        <v>122</v>
      </c>
      <c r="J45" s="364">
        <v>100</v>
      </c>
      <c r="K45" s="218">
        <v>7.6859999999999999</v>
      </c>
      <c r="L45" s="364">
        <v>2532.9559999999992</v>
      </c>
      <c r="M45" s="364">
        <v>2672.9559999999992</v>
      </c>
      <c r="N45" s="209"/>
      <c r="O45" s="25" t="s">
        <v>212</v>
      </c>
      <c r="P45" s="173" t="s">
        <v>213</v>
      </c>
      <c r="Q45" s="26"/>
      <c r="R45" s="27"/>
      <c r="S45" s="27"/>
      <c r="T45" s="118"/>
    </row>
    <row r="46" spans="1:20" s="119" customFormat="1" ht="24.9" customHeight="1">
      <c r="A46" s="24">
        <v>33</v>
      </c>
      <c r="B46" s="215"/>
      <c r="C46" s="395" t="s">
        <v>125</v>
      </c>
      <c r="D46" s="197" t="s">
        <v>126</v>
      </c>
      <c r="E46" s="207" t="s">
        <v>211</v>
      </c>
      <c r="F46" s="364">
        <v>1</v>
      </c>
      <c r="G46" s="207" t="s">
        <v>86</v>
      </c>
      <c r="H46" s="364">
        <v>110</v>
      </c>
      <c r="I46" s="364">
        <v>110</v>
      </c>
      <c r="J46" s="364">
        <v>100</v>
      </c>
      <c r="K46" s="218">
        <v>1.21</v>
      </c>
      <c r="L46" s="364">
        <v>80</v>
      </c>
      <c r="M46" s="364">
        <v>180</v>
      </c>
      <c r="N46" s="209"/>
      <c r="O46" s="25" t="s">
        <v>212</v>
      </c>
      <c r="P46" s="173" t="s">
        <v>213</v>
      </c>
      <c r="Q46" s="26"/>
      <c r="R46" s="27"/>
      <c r="S46" s="27"/>
      <c r="T46" s="118"/>
    </row>
    <row r="47" spans="1:20" s="119" customFormat="1" ht="24.9" customHeight="1">
      <c r="A47" s="24">
        <v>34</v>
      </c>
      <c r="B47" s="215"/>
      <c r="C47" s="395" t="s">
        <v>127</v>
      </c>
      <c r="D47" s="197" t="s">
        <v>128</v>
      </c>
      <c r="E47" s="207" t="s">
        <v>211</v>
      </c>
      <c r="F47" s="364">
        <v>1</v>
      </c>
      <c r="G47" s="207" t="s">
        <v>86</v>
      </c>
      <c r="H47" s="364">
        <v>190</v>
      </c>
      <c r="I47" s="364">
        <v>150</v>
      </c>
      <c r="J47" s="364">
        <v>130</v>
      </c>
      <c r="K47" s="218">
        <v>3.7050000000000001</v>
      </c>
      <c r="L47" s="364">
        <v>60</v>
      </c>
      <c r="M47" s="364">
        <v>160</v>
      </c>
      <c r="N47" s="209"/>
      <c r="O47" s="25" t="s">
        <v>212</v>
      </c>
      <c r="P47" s="173" t="s">
        <v>213</v>
      </c>
      <c r="Q47" s="26"/>
      <c r="R47" s="27"/>
      <c r="S47" s="27"/>
      <c r="T47" s="118"/>
    </row>
    <row r="48" spans="1:20" s="119" customFormat="1" ht="24.9" customHeight="1">
      <c r="A48" s="24">
        <v>35</v>
      </c>
      <c r="B48" s="215"/>
      <c r="C48" s="395" t="s">
        <v>129</v>
      </c>
      <c r="D48" s="197" t="s">
        <v>217</v>
      </c>
      <c r="E48" s="207" t="s">
        <v>211</v>
      </c>
      <c r="F48" s="364">
        <v>1</v>
      </c>
      <c r="G48" s="207" t="s">
        <v>86</v>
      </c>
      <c r="H48" s="364">
        <v>240</v>
      </c>
      <c r="I48" s="364">
        <v>180</v>
      </c>
      <c r="J48" s="364">
        <v>220</v>
      </c>
      <c r="K48" s="218">
        <v>9.5039999999999996</v>
      </c>
      <c r="L48" s="364">
        <v>260</v>
      </c>
      <c r="M48" s="364">
        <v>400</v>
      </c>
      <c r="N48" s="209"/>
      <c r="O48" s="25" t="s">
        <v>212</v>
      </c>
      <c r="P48" s="173" t="s">
        <v>213</v>
      </c>
      <c r="Q48" s="26"/>
      <c r="R48" s="27"/>
      <c r="S48" s="27"/>
      <c r="T48" s="118"/>
    </row>
    <row r="49" spans="1:20" s="119" customFormat="1" ht="24.9" customHeight="1">
      <c r="A49" s="24">
        <v>36</v>
      </c>
      <c r="B49" s="215"/>
      <c r="C49" s="395" t="s">
        <v>131</v>
      </c>
      <c r="D49" s="197" t="s">
        <v>130</v>
      </c>
      <c r="E49" s="207" t="s">
        <v>211</v>
      </c>
      <c r="F49" s="364">
        <v>1</v>
      </c>
      <c r="G49" s="207" t="s">
        <v>86</v>
      </c>
      <c r="H49" s="364">
        <v>240</v>
      </c>
      <c r="I49" s="364">
        <v>180</v>
      </c>
      <c r="J49" s="364">
        <v>220</v>
      </c>
      <c r="K49" s="218">
        <v>9.5039999999999996</v>
      </c>
      <c r="L49" s="364">
        <v>260</v>
      </c>
      <c r="M49" s="364">
        <v>400</v>
      </c>
      <c r="N49" s="209"/>
      <c r="O49" s="25" t="s">
        <v>212</v>
      </c>
      <c r="P49" s="173" t="s">
        <v>213</v>
      </c>
      <c r="Q49" s="26"/>
      <c r="R49" s="27"/>
      <c r="S49" s="27"/>
      <c r="T49" s="118"/>
    </row>
    <row r="50" spans="1:20" s="119" customFormat="1" ht="24.9" customHeight="1">
      <c r="A50" s="24">
        <v>37</v>
      </c>
      <c r="B50" s="215"/>
      <c r="C50" s="395" t="s">
        <v>132</v>
      </c>
      <c r="D50" s="197" t="s">
        <v>130</v>
      </c>
      <c r="E50" s="207" t="s">
        <v>211</v>
      </c>
      <c r="F50" s="364">
        <v>1</v>
      </c>
      <c r="G50" s="207" t="s">
        <v>86</v>
      </c>
      <c r="H50" s="364">
        <v>240</v>
      </c>
      <c r="I50" s="364">
        <v>180</v>
      </c>
      <c r="J50" s="364">
        <v>220</v>
      </c>
      <c r="K50" s="218">
        <v>9.5039999999999996</v>
      </c>
      <c r="L50" s="364">
        <v>260</v>
      </c>
      <c r="M50" s="364">
        <v>400</v>
      </c>
      <c r="N50" s="209"/>
      <c r="O50" s="25" t="s">
        <v>212</v>
      </c>
      <c r="P50" s="173" t="s">
        <v>213</v>
      </c>
      <c r="Q50" s="26"/>
      <c r="R50" s="27"/>
      <c r="S50" s="27"/>
      <c r="T50" s="118"/>
    </row>
    <row r="51" spans="1:20" s="119" customFormat="1" ht="24.9" customHeight="1">
      <c r="A51" s="24">
        <v>38</v>
      </c>
      <c r="B51" s="215"/>
      <c r="C51" s="395" t="s">
        <v>133</v>
      </c>
      <c r="D51" s="197" t="s">
        <v>130</v>
      </c>
      <c r="E51" s="207" t="s">
        <v>211</v>
      </c>
      <c r="F51" s="364">
        <v>1</v>
      </c>
      <c r="G51" s="207" t="s">
        <v>86</v>
      </c>
      <c r="H51" s="364">
        <v>240</v>
      </c>
      <c r="I51" s="364">
        <v>180</v>
      </c>
      <c r="J51" s="364">
        <v>220</v>
      </c>
      <c r="K51" s="218">
        <v>9.5039999999999996</v>
      </c>
      <c r="L51" s="364">
        <v>260</v>
      </c>
      <c r="M51" s="364">
        <v>400</v>
      </c>
      <c r="N51" s="209"/>
      <c r="O51" s="25" t="s">
        <v>212</v>
      </c>
      <c r="P51" s="173" t="s">
        <v>213</v>
      </c>
      <c r="Q51" s="26"/>
      <c r="R51" s="27"/>
      <c r="S51" s="27"/>
      <c r="T51" s="118"/>
    </row>
    <row r="52" spans="1:20" s="119" customFormat="1" ht="24.9" customHeight="1">
      <c r="A52" s="24">
        <v>39</v>
      </c>
      <c r="B52" s="215"/>
      <c r="C52" s="395" t="s">
        <v>134</v>
      </c>
      <c r="D52" s="197" t="s">
        <v>130</v>
      </c>
      <c r="E52" s="207" t="s">
        <v>211</v>
      </c>
      <c r="F52" s="364">
        <v>1</v>
      </c>
      <c r="G52" s="207" t="s">
        <v>86</v>
      </c>
      <c r="H52" s="364">
        <v>228</v>
      </c>
      <c r="I52" s="364">
        <v>180</v>
      </c>
      <c r="J52" s="364">
        <v>180</v>
      </c>
      <c r="K52" s="218">
        <v>7.3869999999999996</v>
      </c>
      <c r="L52" s="364">
        <v>913</v>
      </c>
      <c r="M52" s="364">
        <v>1053</v>
      </c>
      <c r="N52" s="209"/>
      <c r="O52" s="25" t="s">
        <v>212</v>
      </c>
      <c r="P52" s="173" t="s">
        <v>213</v>
      </c>
      <c r="Q52" s="26"/>
      <c r="R52" s="27"/>
      <c r="S52" s="27"/>
      <c r="T52" s="118"/>
    </row>
    <row r="53" spans="1:20" s="119" customFormat="1" ht="24.9" customHeight="1">
      <c r="A53" s="24">
        <v>40</v>
      </c>
      <c r="B53" s="215"/>
      <c r="C53" s="395" t="s">
        <v>135</v>
      </c>
      <c r="D53" s="197" t="s">
        <v>130</v>
      </c>
      <c r="E53" s="207" t="s">
        <v>211</v>
      </c>
      <c r="F53" s="364">
        <v>1</v>
      </c>
      <c r="G53" s="207" t="s">
        <v>86</v>
      </c>
      <c r="H53" s="364">
        <v>228</v>
      </c>
      <c r="I53" s="364">
        <v>180</v>
      </c>
      <c r="J53" s="364">
        <v>180</v>
      </c>
      <c r="K53" s="218">
        <v>7.3869999999999996</v>
      </c>
      <c r="L53" s="364">
        <v>863</v>
      </c>
      <c r="M53" s="364">
        <v>1003</v>
      </c>
      <c r="N53" s="209"/>
      <c r="O53" s="25" t="s">
        <v>212</v>
      </c>
      <c r="P53" s="173" t="s">
        <v>213</v>
      </c>
      <c r="Q53" s="26"/>
      <c r="R53" s="27"/>
      <c r="S53" s="27"/>
      <c r="T53" s="118"/>
    </row>
    <row r="54" spans="1:20" s="119" customFormat="1" ht="24.9" customHeight="1">
      <c r="A54" s="24">
        <v>41</v>
      </c>
      <c r="B54" s="215"/>
      <c r="C54" s="395" t="s">
        <v>136</v>
      </c>
      <c r="D54" s="197" t="s">
        <v>137</v>
      </c>
      <c r="E54" s="207" t="s">
        <v>211</v>
      </c>
      <c r="F54" s="364">
        <v>1</v>
      </c>
      <c r="G54" s="207" t="s">
        <v>86</v>
      </c>
      <c r="H54" s="364">
        <v>300</v>
      </c>
      <c r="I54" s="364">
        <v>225</v>
      </c>
      <c r="J54" s="364">
        <v>160</v>
      </c>
      <c r="K54" s="218">
        <v>10.8</v>
      </c>
      <c r="L54" s="364">
        <v>1746</v>
      </c>
      <c r="M54" s="364">
        <v>1886</v>
      </c>
      <c r="N54" s="209"/>
      <c r="O54" s="25" t="s">
        <v>212</v>
      </c>
      <c r="P54" s="173" t="s">
        <v>213</v>
      </c>
      <c r="Q54" s="26"/>
      <c r="R54" s="27"/>
      <c r="S54" s="27"/>
      <c r="T54" s="118"/>
    </row>
    <row r="55" spans="1:20" s="119" customFormat="1" ht="24.9" customHeight="1">
      <c r="A55" s="24">
        <v>42</v>
      </c>
      <c r="B55" s="215"/>
      <c r="C55" s="395" t="s">
        <v>138</v>
      </c>
      <c r="D55" s="197" t="s">
        <v>139</v>
      </c>
      <c r="E55" s="207" t="s">
        <v>211</v>
      </c>
      <c r="F55" s="364">
        <v>1</v>
      </c>
      <c r="G55" s="207" t="s">
        <v>86</v>
      </c>
      <c r="H55" s="364">
        <v>228</v>
      </c>
      <c r="I55" s="364">
        <v>210</v>
      </c>
      <c r="J55" s="364">
        <v>185</v>
      </c>
      <c r="K55" s="218">
        <v>8.8580000000000005</v>
      </c>
      <c r="L55" s="364">
        <v>800</v>
      </c>
      <c r="M55" s="364">
        <v>940</v>
      </c>
      <c r="N55" s="209"/>
      <c r="O55" s="25" t="s">
        <v>212</v>
      </c>
      <c r="P55" s="173" t="s">
        <v>213</v>
      </c>
      <c r="Q55" s="26"/>
      <c r="R55" s="27"/>
      <c r="S55" s="27"/>
      <c r="T55" s="118"/>
    </row>
    <row r="56" spans="1:20" s="119" customFormat="1" ht="24.9" customHeight="1">
      <c r="A56" s="24">
        <v>43</v>
      </c>
      <c r="B56" s="215"/>
      <c r="C56" s="395" t="s">
        <v>140</v>
      </c>
      <c r="D56" s="197" t="s">
        <v>141</v>
      </c>
      <c r="E56" s="207" t="s">
        <v>211</v>
      </c>
      <c r="F56" s="364">
        <v>1</v>
      </c>
      <c r="G56" s="207" t="s">
        <v>86</v>
      </c>
      <c r="H56" s="364">
        <v>330</v>
      </c>
      <c r="I56" s="364">
        <v>160</v>
      </c>
      <c r="J56" s="364">
        <v>190</v>
      </c>
      <c r="K56" s="218">
        <v>10.032</v>
      </c>
      <c r="L56" s="364">
        <v>5414</v>
      </c>
      <c r="M56" s="364">
        <v>5554</v>
      </c>
      <c r="N56" s="209"/>
      <c r="O56" s="25" t="s">
        <v>212</v>
      </c>
      <c r="P56" s="173" t="s">
        <v>213</v>
      </c>
      <c r="Q56" s="26"/>
      <c r="R56" s="27"/>
      <c r="S56" s="27"/>
      <c r="T56" s="118"/>
    </row>
    <row r="57" spans="1:20" s="119" customFormat="1" ht="24.9" customHeight="1">
      <c r="A57" s="24">
        <v>44</v>
      </c>
      <c r="B57" s="215"/>
      <c r="C57" s="395" t="s">
        <v>142</v>
      </c>
      <c r="D57" s="197" t="s">
        <v>141</v>
      </c>
      <c r="E57" s="207" t="s">
        <v>211</v>
      </c>
      <c r="F57" s="364">
        <v>1</v>
      </c>
      <c r="G57" s="207" t="s">
        <v>86</v>
      </c>
      <c r="H57" s="364">
        <v>330</v>
      </c>
      <c r="I57" s="364">
        <v>160</v>
      </c>
      <c r="J57" s="364">
        <v>190</v>
      </c>
      <c r="K57" s="218">
        <v>10.032</v>
      </c>
      <c r="L57" s="364">
        <v>2084</v>
      </c>
      <c r="M57" s="364">
        <v>2224</v>
      </c>
      <c r="N57" s="209"/>
      <c r="O57" s="25" t="s">
        <v>212</v>
      </c>
      <c r="P57" s="173" t="s">
        <v>213</v>
      </c>
      <c r="Q57" s="26"/>
      <c r="R57" s="27"/>
      <c r="S57" s="27"/>
      <c r="T57" s="118"/>
    </row>
    <row r="58" spans="1:20" s="119" customFormat="1" ht="24.9" customHeight="1">
      <c r="A58" s="24">
        <v>45</v>
      </c>
      <c r="B58" s="215"/>
      <c r="C58" s="395" t="s">
        <v>143</v>
      </c>
      <c r="D58" s="197" t="s">
        <v>141</v>
      </c>
      <c r="E58" s="207" t="s">
        <v>211</v>
      </c>
      <c r="F58" s="364">
        <v>1</v>
      </c>
      <c r="G58" s="207" t="s">
        <v>86</v>
      </c>
      <c r="H58" s="364">
        <v>330</v>
      </c>
      <c r="I58" s="364">
        <v>160</v>
      </c>
      <c r="J58" s="364">
        <v>190</v>
      </c>
      <c r="K58" s="218">
        <v>10.032</v>
      </c>
      <c r="L58" s="364">
        <v>1822</v>
      </c>
      <c r="M58" s="364">
        <v>1962</v>
      </c>
      <c r="N58" s="209"/>
      <c r="O58" s="25" t="s">
        <v>212</v>
      </c>
      <c r="P58" s="173" t="s">
        <v>213</v>
      </c>
      <c r="Q58" s="26"/>
      <c r="R58" s="27"/>
      <c r="S58" s="27"/>
      <c r="T58" s="118"/>
    </row>
    <row r="59" spans="1:20" s="119" customFormat="1" ht="24.9" customHeight="1">
      <c r="A59" s="24">
        <v>46</v>
      </c>
      <c r="B59" s="215"/>
      <c r="C59" s="395" t="s">
        <v>144</v>
      </c>
      <c r="D59" s="197" t="s">
        <v>141</v>
      </c>
      <c r="E59" s="207" t="s">
        <v>211</v>
      </c>
      <c r="F59" s="364">
        <v>1</v>
      </c>
      <c r="G59" s="207" t="s">
        <v>86</v>
      </c>
      <c r="H59" s="364">
        <v>330</v>
      </c>
      <c r="I59" s="364">
        <v>160</v>
      </c>
      <c r="J59" s="364">
        <v>190</v>
      </c>
      <c r="K59" s="218">
        <v>10.032</v>
      </c>
      <c r="L59" s="364">
        <v>4170</v>
      </c>
      <c r="M59" s="364">
        <v>4310</v>
      </c>
      <c r="N59" s="209"/>
      <c r="O59" s="25" t="s">
        <v>212</v>
      </c>
      <c r="P59" s="173" t="s">
        <v>213</v>
      </c>
      <c r="Q59" s="26"/>
      <c r="R59" s="27"/>
      <c r="S59" s="27"/>
      <c r="T59" s="118"/>
    </row>
    <row r="60" spans="1:20" s="119" customFormat="1" ht="24.9" customHeight="1">
      <c r="A60" s="24">
        <v>47</v>
      </c>
      <c r="B60" s="215"/>
      <c r="C60" s="395" t="s">
        <v>145</v>
      </c>
      <c r="D60" s="197" t="s">
        <v>141</v>
      </c>
      <c r="E60" s="207" t="s">
        <v>211</v>
      </c>
      <c r="F60" s="364">
        <v>1</v>
      </c>
      <c r="G60" s="207" t="s">
        <v>86</v>
      </c>
      <c r="H60" s="364">
        <v>260</v>
      </c>
      <c r="I60" s="364">
        <v>228</v>
      </c>
      <c r="J60" s="364">
        <v>150</v>
      </c>
      <c r="K60" s="218">
        <v>8.8919999999999995</v>
      </c>
      <c r="L60" s="364">
        <v>564.94499999999994</v>
      </c>
      <c r="M60" s="364">
        <v>704.94499999999994</v>
      </c>
      <c r="N60" s="209"/>
      <c r="O60" s="25" t="s">
        <v>212</v>
      </c>
      <c r="P60" s="173" t="s">
        <v>213</v>
      </c>
      <c r="Q60" s="26"/>
      <c r="R60" s="27"/>
      <c r="S60" s="27"/>
      <c r="T60" s="118"/>
    </row>
    <row r="61" spans="1:20" s="119" customFormat="1" ht="24.9" customHeight="1">
      <c r="A61" s="24">
        <v>48</v>
      </c>
      <c r="B61" s="215"/>
      <c r="C61" s="395" t="s">
        <v>146</v>
      </c>
      <c r="D61" s="197" t="s">
        <v>147</v>
      </c>
      <c r="E61" s="207" t="s">
        <v>211</v>
      </c>
      <c r="F61" s="364">
        <v>1</v>
      </c>
      <c r="G61" s="207" t="s">
        <v>86</v>
      </c>
      <c r="H61" s="364">
        <v>520</v>
      </c>
      <c r="I61" s="364">
        <v>200</v>
      </c>
      <c r="J61" s="364">
        <v>120</v>
      </c>
      <c r="K61" s="218">
        <v>12.48</v>
      </c>
      <c r="L61" s="364">
        <v>4559.735615999999</v>
      </c>
      <c r="M61" s="364">
        <v>4699.735615999999</v>
      </c>
      <c r="N61" s="209"/>
      <c r="O61" s="25" t="s">
        <v>212</v>
      </c>
      <c r="P61" s="173" t="s">
        <v>213</v>
      </c>
      <c r="Q61" s="26"/>
      <c r="R61" s="27"/>
      <c r="S61" s="27"/>
      <c r="T61" s="118"/>
    </row>
    <row r="62" spans="1:20" s="119" customFormat="1" ht="24.9" customHeight="1">
      <c r="A62" s="24">
        <v>49</v>
      </c>
      <c r="B62" s="215"/>
      <c r="C62" s="395" t="s">
        <v>148</v>
      </c>
      <c r="D62" s="197" t="s">
        <v>149</v>
      </c>
      <c r="E62" s="207" t="s">
        <v>211</v>
      </c>
      <c r="F62" s="364">
        <v>1</v>
      </c>
      <c r="G62" s="207" t="s">
        <v>86</v>
      </c>
      <c r="H62" s="364">
        <v>180</v>
      </c>
      <c r="I62" s="364">
        <v>180</v>
      </c>
      <c r="J62" s="364">
        <v>130</v>
      </c>
      <c r="K62" s="218">
        <v>4.2119999999999997</v>
      </c>
      <c r="L62" s="364">
        <v>617</v>
      </c>
      <c r="M62" s="364">
        <v>757</v>
      </c>
      <c r="N62" s="209"/>
      <c r="O62" s="25" t="s">
        <v>212</v>
      </c>
      <c r="P62" s="173" t="s">
        <v>213</v>
      </c>
      <c r="Q62" s="26"/>
      <c r="R62" s="27"/>
      <c r="S62" s="27"/>
      <c r="T62" s="118"/>
    </row>
    <row r="63" spans="1:20" s="119" customFormat="1" ht="24.9" customHeight="1">
      <c r="A63" s="24">
        <v>50</v>
      </c>
      <c r="B63" s="215"/>
      <c r="C63" s="395" t="s">
        <v>150</v>
      </c>
      <c r="D63" s="197" t="s">
        <v>151</v>
      </c>
      <c r="E63" s="207" t="s">
        <v>211</v>
      </c>
      <c r="F63" s="364">
        <v>1</v>
      </c>
      <c r="G63" s="207" t="s">
        <v>86</v>
      </c>
      <c r="H63" s="364">
        <v>225</v>
      </c>
      <c r="I63" s="364">
        <v>180</v>
      </c>
      <c r="J63" s="364">
        <v>150</v>
      </c>
      <c r="K63" s="218">
        <v>6.0750000000000002</v>
      </c>
      <c r="L63" s="364">
        <v>1656</v>
      </c>
      <c r="M63" s="364">
        <v>1796</v>
      </c>
      <c r="N63" s="209"/>
      <c r="O63" s="25" t="s">
        <v>212</v>
      </c>
      <c r="P63" s="173" t="s">
        <v>213</v>
      </c>
      <c r="Q63" s="26"/>
      <c r="R63" s="27"/>
      <c r="S63" s="27"/>
      <c r="T63" s="118"/>
    </row>
    <row r="64" spans="1:20" s="119" customFormat="1" ht="24.9" customHeight="1">
      <c r="A64" s="24">
        <v>51</v>
      </c>
      <c r="B64" s="215"/>
      <c r="C64" s="395" t="s">
        <v>152</v>
      </c>
      <c r="D64" s="197" t="s">
        <v>153</v>
      </c>
      <c r="E64" s="207" t="s">
        <v>211</v>
      </c>
      <c r="F64" s="364">
        <v>1</v>
      </c>
      <c r="G64" s="207" t="s">
        <v>86</v>
      </c>
      <c r="H64" s="364">
        <v>630</v>
      </c>
      <c r="I64" s="364">
        <v>226</v>
      </c>
      <c r="J64" s="364">
        <v>180</v>
      </c>
      <c r="K64" s="218">
        <v>25.628</v>
      </c>
      <c r="L64" s="364">
        <v>4905.1942799999979</v>
      </c>
      <c r="M64" s="364">
        <v>5045.1942799999979</v>
      </c>
      <c r="N64" s="209"/>
      <c r="O64" s="25" t="s">
        <v>212</v>
      </c>
      <c r="P64" s="173" t="s">
        <v>213</v>
      </c>
      <c r="Q64" s="26"/>
      <c r="R64" s="27"/>
      <c r="S64" s="27"/>
      <c r="T64" s="118"/>
    </row>
    <row r="65" spans="1:20" s="119" customFormat="1" ht="24.9" customHeight="1">
      <c r="A65" s="24">
        <v>52</v>
      </c>
      <c r="B65" s="215"/>
      <c r="C65" s="395" t="s">
        <v>154</v>
      </c>
      <c r="D65" s="197" t="s">
        <v>153</v>
      </c>
      <c r="E65" s="207" t="s">
        <v>215</v>
      </c>
      <c r="F65" s="364">
        <v>1</v>
      </c>
      <c r="G65" s="207" t="s">
        <v>86</v>
      </c>
      <c r="H65" s="364">
        <v>620</v>
      </c>
      <c r="I65" s="364">
        <v>225</v>
      </c>
      <c r="J65" s="364">
        <v>230</v>
      </c>
      <c r="K65" s="218">
        <v>32.085000000000001</v>
      </c>
      <c r="L65" s="364">
        <v>5696.6399999999994</v>
      </c>
      <c r="M65" s="364">
        <v>5836.6399999999994</v>
      </c>
      <c r="N65" s="209"/>
      <c r="O65" s="25" t="s">
        <v>216</v>
      </c>
      <c r="P65" s="173" t="s">
        <v>213</v>
      </c>
      <c r="Q65" s="26"/>
      <c r="R65" s="27"/>
      <c r="S65" s="27"/>
      <c r="T65" s="118"/>
    </row>
    <row r="66" spans="1:20" s="119" customFormat="1" ht="24.9" customHeight="1">
      <c r="A66" s="24">
        <v>53</v>
      </c>
      <c r="B66" s="215"/>
      <c r="C66" s="395" t="s">
        <v>155</v>
      </c>
      <c r="D66" s="197" t="s">
        <v>153</v>
      </c>
      <c r="E66" s="207" t="s">
        <v>215</v>
      </c>
      <c r="F66" s="364">
        <v>1</v>
      </c>
      <c r="G66" s="207" t="s">
        <v>86</v>
      </c>
      <c r="H66" s="364">
        <v>620</v>
      </c>
      <c r="I66" s="364">
        <v>225</v>
      </c>
      <c r="J66" s="364">
        <v>230</v>
      </c>
      <c r="K66" s="218">
        <v>32.085000000000001</v>
      </c>
      <c r="L66" s="364">
        <v>6472.2000000000007</v>
      </c>
      <c r="M66" s="364">
        <v>6612.2000000000007</v>
      </c>
      <c r="N66" s="209"/>
      <c r="O66" s="25" t="s">
        <v>216</v>
      </c>
      <c r="P66" s="173" t="s">
        <v>213</v>
      </c>
      <c r="Q66" s="26"/>
      <c r="R66" s="27"/>
      <c r="S66" s="27"/>
      <c r="T66" s="118"/>
    </row>
    <row r="67" spans="1:20" s="119" customFormat="1" ht="24.9" customHeight="1">
      <c r="A67" s="24">
        <v>54</v>
      </c>
      <c r="B67" s="215"/>
      <c r="C67" s="395" t="s">
        <v>156</v>
      </c>
      <c r="D67" s="197" t="s">
        <v>153</v>
      </c>
      <c r="E67" s="207" t="s">
        <v>215</v>
      </c>
      <c r="F67" s="364">
        <v>1</v>
      </c>
      <c r="G67" s="207" t="s">
        <v>86</v>
      </c>
      <c r="H67" s="364">
        <v>620</v>
      </c>
      <c r="I67" s="364">
        <v>225</v>
      </c>
      <c r="J67" s="364">
        <v>230</v>
      </c>
      <c r="K67" s="218">
        <v>32.085000000000001</v>
      </c>
      <c r="L67" s="364">
        <v>5931.2400000000007</v>
      </c>
      <c r="M67" s="364">
        <v>6071.2400000000007</v>
      </c>
      <c r="N67" s="209"/>
      <c r="O67" s="25" t="s">
        <v>216</v>
      </c>
      <c r="P67" s="173" t="s">
        <v>213</v>
      </c>
      <c r="Q67" s="26"/>
      <c r="R67" s="27"/>
      <c r="S67" s="27"/>
      <c r="T67" s="118"/>
    </row>
    <row r="68" spans="1:20" s="119" customFormat="1" ht="24.9" customHeight="1">
      <c r="A68" s="24">
        <v>55</v>
      </c>
      <c r="B68" s="215"/>
      <c r="C68" s="395" t="s">
        <v>157</v>
      </c>
      <c r="D68" s="197" t="s">
        <v>153</v>
      </c>
      <c r="E68" s="207" t="s">
        <v>215</v>
      </c>
      <c r="F68" s="364">
        <v>1</v>
      </c>
      <c r="G68" s="207" t="s">
        <v>86</v>
      </c>
      <c r="H68" s="364">
        <v>620</v>
      </c>
      <c r="I68" s="364">
        <v>225</v>
      </c>
      <c r="J68" s="364">
        <v>230</v>
      </c>
      <c r="K68" s="218">
        <v>32.085000000000001</v>
      </c>
      <c r="L68" s="364">
        <v>6280.84</v>
      </c>
      <c r="M68" s="364">
        <v>6420.84</v>
      </c>
      <c r="N68" s="209"/>
      <c r="O68" s="25" t="s">
        <v>216</v>
      </c>
      <c r="P68" s="173" t="s">
        <v>213</v>
      </c>
      <c r="Q68" s="26"/>
      <c r="R68" s="27"/>
      <c r="S68" s="27"/>
      <c r="T68" s="118"/>
    </row>
    <row r="69" spans="1:20" s="119" customFormat="1" ht="24.9" customHeight="1">
      <c r="A69" s="24">
        <v>56</v>
      </c>
      <c r="B69" s="215"/>
      <c r="C69" s="395" t="s">
        <v>158</v>
      </c>
      <c r="D69" s="197" t="s">
        <v>153</v>
      </c>
      <c r="E69" s="207" t="s">
        <v>211</v>
      </c>
      <c r="F69" s="364">
        <v>1</v>
      </c>
      <c r="G69" s="207" t="s">
        <v>86</v>
      </c>
      <c r="H69" s="364">
        <v>611</v>
      </c>
      <c r="I69" s="364">
        <v>231</v>
      </c>
      <c r="J69" s="364">
        <v>140</v>
      </c>
      <c r="K69" s="218">
        <v>19.760000000000002</v>
      </c>
      <c r="L69" s="364">
        <v>3278.88</v>
      </c>
      <c r="M69" s="364">
        <v>3418.88</v>
      </c>
      <c r="N69" s="209"/>
      <c r="O69" s="25" t="s">
        <v>212</v>
      </c>
      <c r="P69" s="173" t="s">
        <v>213</v>
      </c>
      <c r="Q69" s="26"/>
      <c r="R69" s="27"/>
      <c r="S69" s="27"/>
      <c r="T69" s="118"/>
    </row>
    <row r="70" spans="1:20" s="119" customFormat="1" ht="24.9" customHeight="1">
      <c r="A70" s="24">
        <v>57</v>
      </c>
      <c r="B70" s="215"/>
      <c r="C70" s="395" t="s">
        <v>159</v>
      </c>
      <c r="D70" s="197" t="s">
        <v>153</v>
      </c>
      <c r="E70" s="207" t="s">
        <v>211</v>
      </c>
      <c r="F70" s="364">
        <v>1</v>
      </c>
      <c r="G70" s="207" t="s">
        <v>86</v>
      </c>
      <c r="H70" s="364">
        <v>611</v>
      </c>
      <c r="I70" s="364">
        <v>231</v>
      </c>
      <c r="J70" s="364">
        <v>140</v>
      </c>
      <c r="K70" s="218">
        <v>19.760000000000002</v>
      </c>
      <c r="L70" s="364">
        <v>3275.2</v>
      </c>
      <c r="M70" s="364">
        <v>3415.2</v>
      </c>
      <c r="N70" s="209"/>
      <c r="O70" s="25" t="s">
        <v>212</v>
      </c>
      <c r="P70" s="173" t="s">
        <v>213</v>
      </c>
      <c r="Q70" s="26"/>
      <c r="R70" s="27"/>
      <c r="S70" s="27"/>
      <c r="T70" s="118"/>
    </row>
    <row r="71" spans="1:20" s="119" customFormat="1" ht="24.9" customHeight="1">
      <c r="A71" s="24">
        <v>58</v>
      </c>
      <c r="B71" s="215"/>
      <c r="C71" s="395" t="s">
        <v>160</v>
      </c>
      <c r="D71" s="197" t="s">
        <v>161</v>
      </c>
      <c r="E71" s="207" t="s">
        <v>211</v>
      </c>
      <c r="F71" s="364">
        <v>1</v>
      </c>
      <c r="G71" s="207" t="s">
        <v>86</v>
      </c>
      <c r="H71" s="364">
        <v>210</v>
      </c>
      <c r="I71" s="364">
        <v>160</v>
      </c>
      <c r="J71" s="364">
        <v>180</v>
      </c>
      <c r="K71" s="218">
        <v>6.048</v>
      </c>
      <c r="L71" s="364">
        <v>319.19910000000004</v>
      </c>
      <c r="M71" s="364">
        <v>439.19910000000004</v>
      </c>
      <c r="N71" s="209"/>
      <c r="O71" s="25" t="s">
        <v>212</v>
      </c>
      <c r="P71" s="173" t="s">
        <v>213</v>
      </c>
      <c r="Q71" s="26"/>
      <c r="R71" s="27"/>
      <c r="S71" s="27"/>
      <c r="T71" s="118"/>
    </row>
    <row r="72" spans="1:20" s="30" customFormat="1" ht="27.9" customHeight="1" thickBot="1">
      <c r="A72" s="563" t="s">
        <v>218</v>
      </c>
      <c r="B72" s="564"/>
      <c r="C72" s="564"/>
      <c r="D72" s="564"/>
      <c r="E72" s="565"/>
      <c r="F72" s="221"/>
      <c r="G72" s="418"/>
      <c r="H72" s="154"/>
      <c r="I72" s="154"/>
      <c r="J72" s="154"/>
      <c r="K72" s="154">
        <f>SUM(K14:K71)</f>
        <v>515.99099999999976</v>
      </c>
      <c r="L72" s="154">
        <f>SUM(L14:L71)</f>
        <v>102698.029996</v>
      </c>
      <c r="M72" s="154">
        <f>SUM(M14:M71)</f>
        <v>110478.029996</v>
      </c>
      <c r="N72" s="174"/>
      <c r="O72" s="174"/>
      <c r="P72" s="175"/>
      <c r="Q72" s="28"/>
      <c r="R72" s="28"/>
      <c r="S72" s="29"/>
      <c r="T72" s="29"/>
    </row>
    <row r="73" spans="1:20" s="8" customFormat="1" ht="22.5" customHeight="1">
      <c r="A73" s="5"/>
      <c r="B73" s="5"/>
      <c r="C73" s="7"/>
      <c r="D73" s="7"/>
      <c r="E73" s="405"/>
      <c r="F73" s="220"/>
      <c r="G73" s="37"/>
      <c r="H73" s="40"/>
      <c r="I73" s="40"/>
      <c r="J73" s="42"/>
      <c r="K73" s="42"/>
      <c r="L73" s="40"/>
      <c r="M73" s="40"/>
      <c r="N73" s="224"/>
      <c r="O73" s="31"/>
      <c r="P73" s="18"/>
      <c r="Q73" s="32"/>
      <c r="R73" s="32"/>
      <c r="S73" s="10"/>
      <c r="T73" s="10"/>
    </row>
    <row r="74" spans="1:20" s="8" customFormat="1" ht="30" customHeight="1">
      <c r="A74" s="5"/>
      <c r="B74" s="5"/>
      <c r="C74" s="7"/>
      <c r="D74" s="7"/>
      <c r="E74" s="406"/>
      <c r="F74" s="220"/>
      <c r="G74" s="37"/>
      <c r="H74" s="40"/>
      <c r="I74" s="40"/>
      <c r="J74" s="42"/>
      <c r="K74" s="120"/>
      <c r="L74" s="210"/>
      <c r="M74" s="210"/>
      <c r="N74" s="225"/>
      <c r="O74" s="31"/>
      <c r="P74" s="18"/>
      <c r="Q74" s="6"/>
      <c r="R74" s="6"/>
      <c r="S74" s="10"/>
      <c r="T74" s="10"/>
    </row>
    <row r="75" spans="1:20" s="8" customFormat="1" ht="22.5" customHeight="1">
      <c r="A75" s="5"/>
      <c r="B75" s="5"/>
      <c r="C75" s="7"/>
      <c r="D75" s="7"/>
      <c r="E75" s="406"/>
      <c r="F75" s="220"/>
      <c r="G75" s="37"/>
      <c r="H75" s="40"/>
      <c r="I75" s="40"/>
      <c r="J75" s="42"/>
      <c r="K75" s="42"/>
      <c r="L75" s="40"/>
      <c r="M75" s="40"/>
      <c r="N75" s="224"/>
      <c r="O75" s="31"/>
      <c r="P75" s="18"/>
      <c r="Q75" s="6"/>
      <c r="R75" s="6"/>
      <c r="S75" s="10"/>
      <c r="T75" s="10"/>
    </row>
    <row r="76" spans="1:20" s="8" customFormat="1" ht="12" customHeight="1">
      <c r="A76" s="5"/>
      <c r="B76" s="5"/>
      <c r="C76" s="7"/>
      <c r="D76" s="7"/>
      <c r="E76" s="406"/>
      <c r="F76" s="220"/>
      <c r="G76" s="37"/>
      <c r="H76" s="40"/>
      <c r="I76" s="40"/>
      <c r="J76" s="42"/>
      <c r="K76" s="42"/>
      <c r="L76" s="40"/>
      <c r="M76" s="40"/>
      <c r="N76" s="224"/>
      <c r="O76" s="31"/>
      <c r="P76" s="18"/>
      <c r="Q76" s="6"/>
      <c r="R76" s="6"/>
      <c r="S76" s="10"/>
      <c r="T76" s="10"/>
    </row>
    <row r="77" spans="1:20" s="8" customFormat="1" ht="12" customHeight="1">
      <c r="A77" s="5"/>
      <c r="B77" s="5"/>
      <c r="C77" s="7"/>
      <c r="D77" s="7"/>
      <c r="E77" s="406"/>
      <c r="F77" s="232"/>
      <c r="G77" s="419"/>
      <c r="H77" s="40"/>
      <c r="I77" s="40"/>
      <c r="J77" s="42"/>
      <c r="K77" s="42"/>
      <c r="L77" s="40"/>
      <c r="M77" s="40"/>
      <c r="N77" s="224"/>
      <c r="O77" s="31"/>
      <c r="P77" s="18"/>
      <c r="Q77" s="6"/>
      <c r="R77" s="6"/>
      <c r="S77" s="10"/>
      <c r="T77" s="10"/>
    </row>
    <row r="78" spans="1:20" s="8" customFormat="1" ht="12" customHeight="1">
      <c r="A78" s="5"/>
      <c r="B78" s="5"/>
      <c r="C78" s="7"/>
      <c r="D78" s="7"/>
      <c r="E78" s="406"/>
      <c r="F78" s="232"/>
      <c r="G78" s="419"/>
      <c r="H78" s="40"/>
      <c r="I78" s="40"/>
      <c r="J78" s="42"/>
      <c r="K78" s="42"/>
      <c r="L78" s="40"/>
      <c r="M78" s="40"/>
      <c r="N78" s="224"/>
      <c r="O78" s="31"/>
      <c r="P78" s="18"/>
      <c r="Q78" s="6"/>
      <c r="R78" s="6"/>
      <c r="S78" s="10"/>
      <c r="T78" s="10"/>
    </row>
    <row r="79" spans="1:20" s="8" customFormat="1" ht="12" customHeight="1">
      <c r="A79" s="5"/>
      <c r="B79" s="5"/>
      <c r="C79" s="7"/>
      <c r="D79" s="7"/>
      <c r="E79" s="406"/>
      <c r="F79" s="232"/>
      <c r="G79" s="419"/>
      <c r="H79" s="40"/>
      <c r="I79" s="40"/>
      <c r="J79" s="42"/>
      <c r="K79" s="42"/>
      <c r="L79" s="40"/>
      <c r="M79" s="40"/>
      <c r="N79" s="224"/>
      <c r="O79" s="31"/>
      <c r="P79" s="18"/>
      <c r="Q79" s="6"/>
      <c r="R79" s="6"/>
      <c r="S79" s="10"/>
      <c r="T79" s="10"/>
    </row>
    <row r="80" spans="1:20" s="34" customFormat="1" ht="29.25" customHeight="1">
      <c r="A80" s="9"/>
      <c r="B80" s="9"/>
      <c r="C80" s="9"/>
      <c r="D80" s="9"/>
      <c r="E80" s="407"/>
      <c r="F80" s="233"/>
      <c r="G80" s="419"/>
      <c r="H80" s="41"/>
      <c r="I80" s="41"/>
      <c r="J80" s="121"/>
      <c r="K80" s="121"/>
      <c r="L80" s="41"/>
      <c r="M80" s="41"/>
      <c r="N80" s="226"/>
      <c r="O80" s="18"/>
      <c r="P80" s="18"/>
      <c r="Q80" s="6"/>
      <c r="R80" s="6"/>
      <c r="S80" s="33"/>
      <c r="T80" s="33"/>
    </row>
    <row r="81" spans="1:20" s="34" customFormat="1" ht="29.25" customHeight="1">
      <c r="A81" s="9"/>
      <c r="B81" s="9"/>
      <c r="C81" s="9"/>
      <c r="D81" s="9"/>
      <c r="E81" s="407"/>
      <c r="F81" s="233"/>
      <c r="G81" s="419"/>
      <c r="H81" s="41"/>
      <c r="I81" s="41"/>
      <c r="J81" s="121"/>
      <c r="K81" s="121"/>
      <c r="L81" s="41"/>
      <c r="M81" s="41"/>
      <c r="N81" s="226"/>
      <c r="O81" s="18"/>
      <c r="P81" s="18"/>
      <c r="Q81" s="6"/>
      <c r="R81" s="6"/>
      <c r="S81" s="33"/>
      <c r="T81" s="33"/>
    </row>
    <row r="82" spans="1:20" s="8" customFormat="1" ht="12" customHeight="1">
      <c r="A82" s="5"/>
      <c r="B82" s="5"/>
      <c r="C82" s="7"/>
      <c r="D82" s="7"/>
      <c r="E82" s="406"/>
      <c r="F82" s="232"/>
      <c r="G82" s="37"/>
      <c r="H82" s="40"/>
      <c r="I82" s="40"/>
      <c r="J82" s="42"/>
      <c r="K82" s="42"/>
      <c r="L82" s="40"/>
      <c r="M82" s="40"/>
      <c r="N82" s="224"/>
      <c r="O82" s="31"/>
      <c r="P82" s="18"/>
      <c r="Q82" s="6"/>
      <c r="R82" s="6"/>
      <c r="S82" s="10"/>
      <c r="T82" s="10"/>
    </row>
    <row r="83" spans="1:20" s="8" customFormat="1" ht="18" customHeight="1">
      <c r="A83" s="5"/>
      <c r="B83" s="5"/>
      <c r="C83" s="7"/>
      <c r="D83" s="7"/>
      <c r="E83" s="408"/>
      <c r="F83" s="232"/>
      <c r="G83" s="37"/>
      <c r="H83" s="40"/>
      <c r="I83" s="40"/>
      <c r="J83" s="42"/>
      <c r="K83" s="42"/>
      <c r="L83" s="40"/>
      <c r="M83" s="40"/>
      <c r="N83" s="224"/>
      <c r="O83" s="31"/>
      <c r="P83" s="18"/>
      <c r="Q83" s="6"/>
      <c r="R83" s="6"/>
      <c r="S83" s="10"/>
      <c r="T83" s="10"/>
    </row>
    <row r="84" spans="1:20" s="8" customFormat="1" ht="12" customHeight="1">
      <c r="A84" s="5"/>
      <c r="B84" s="5"/>
      <c r="C84" s="7"/>
      <c r="D84" s="7"/>
      <c r="E84" s="408"/>
      <c r="F84" s="232"/>
      <c r="G84" s="37"/>
      <c r="H84" s="40"/>
      <c r="I84" s="40"/>
      <c r="J84" s="42"/>
      <c r="K84" s="42"/>
      <c r="L84" s="40"/>
      <c r="M84" s="40"/>
      <c r="N84" s="224"/>
      <c r="O84" s="31"/>
      <c r="P84" s="18"/>
      <c r="Q84" s="6"/>
      <c r="R84" s="6"/>
      <c r="S84" s="10"/>
      <c r="T84" s="10"/>
    </row>
    <row r="85" spans="1:20" s="8" customFormat="1" ht="12" customHeight="1">
      <c r="A85" s="5"/>
      <c r="B85" s="5"/>
      <c r="C85" s="7"/>
      <c r="D85" s="7"/>
      <c r="E85" s="408"/>
      <c r="F85" s="232"/>
      <c r="G85" s="37"/>
      <c r="H85" s="40"/>
      <c r="I85" s="40"/>
      <c r="J85" s="42"/>
      <c r="K85" s="42"/>
      <c r="L85" s="40"/>
      <c r="M85" s="40"/>
      <c r="N85" s="224"/>
      <c r="O85" s="31"/>
      <c r="P85" s="18"/>
      <c r="Q85" s="6"/>
      <c r="R85" s="6"/>
      <c r="S85" s="10"/>
      <c r="T85" s="10"/>
    </row>
    <row r="86" spans="1:20" s="8" customFormat="1" ht="12" customHeight="1">
      <c r="A86" s="5"/>
      <c r="B86" s="5"/>
      <c r="C86" s="7"/>
      <c r="D86" s="7"/>
      <c r="E86" s="408"/>
      <c r="F86" s="232"/>
      <c r="G86" s="37"/>
      <c r="H86" s="40"/>
      <c r="I86" s="40"/>
      <c r="J86" s="42"/>
      <c r="K86" s="42"/>
      <c r="L86" s="40"/>
      <c r="M86" s="40"/>
      <c r="N86" s="224"/>
      <c r="O86" s="31"/>
      <c r="P86" s="18"/>
      <c r="Q86" s="6"/>
      <c r="R86" s="6"/>
      <c r="S86" s="10"/>
      <c r="T86" s="10"/>
    </row>
    <row r="87" spans="1:20" s="8" customFormat="1" ht="12" customHeight="1">
      <c r="A87" s="5"/>
      <c r="B87" s="5"/>
      <c r="C87" s="7"/>
      <c r="D87" s="7"/>
      <c r="E87" s="408"/>
      <c r="F87" s="232"/>
      <c r="G87" s="37"/>
      <c r="H87" s="40"/>
      <c r="I87" s="40"/>
      <c r="J87" s="42"/>
      <c r="K87" s="42"/>
      <c r="L87" s="40"/>
      <c r="M87" s="40"/>
      <c r="N87" s="224"/>
      <c r="O87" s="31"/>
      <c r="P87" s="18"/>
      <c r="Q87" s="6"/>
      <c r="R87" s="6"/>
      <c r="S87" s="10"/>
      <c r="T87" s="10"/>
    </row>
    <row r="88" spans="1:20" s="8" customFormat="1" ht="12" customHeight="1">
      <c r="A88" s="5"/>
      <c r="B88" s="5"/>
      <c r="C88" s="7"/>
      <c r="D88" s="7"/>
      <c r="E88" s="408"/>
      <c r="F88" s="232"/>
      <c r="G88" s="37"/>
      <c r="H88" s="40"/>
      <c r="I88" s="40"/>
      <c r="J88" s="42"/>
      <c r="K88" s="42"/>
      <c r="L88" s="40"/>
      <c r="M88" s="40"/>
      <c r="N88" s="224"/>
      <c r="O88" s="31"/>
      <c r="P88" s="18"/>
      <c r="Q88" s="6"/>
      <c r="R88" s="6"/>
      <c r="S88" s="10"/>
      <c r="T88" s="10"/>
    </row>
    <row r="89" spans="1:20" s="8" customFormat="1" ht="13.5" customHeight="1">
      <c r="A89" s="5"/>
      <c r="B89" s="5"/>
      <c r="C89" s="7"/>
      <c r="D89" s="7"/>
      <c r="E89" s="408"/>
      <c r="F89" s="232"/>
      <c r="G89" s="37"/>
      <c r="H89" s="40"/>
      <c r="I89" s="40"/>
      <c r="J89" s="42"/>
      <c r="K89" s="42"/>
      <c r="L89" s="40"/>
      <c r="M89" s="40"/>
      <c r="N89" s="224"/>
      <c r="O89" s="31"/>
      <c r="P89" s="18"/>
      <c r="Q89" s="6"/>
      <c r="R89" s="6"/>
      <c r="S89" s="10"/>
      <c r="T89" s="10"/>
    </row>
    <row r="90" spans="1:20" s="8" customFormat="1" ht="13.5" customHeight="1">
      <c r="A90" s="5"/>
      <c r="B90" s="5"/>
      <c r="C90" s="7"/>
      <c r="D90" s="7"/>
      <c r="E90" s="408"/>
      <c r="F90" s="232"/>
      <c r="G90" s="37"/>
      <c r="H90" s="40"/>
      <c r="I90" s="40"/>
      <c r="J90" s="42"/>
      <c r="K90" s="42"/>
      <c r="L90" s="40"/>
      <c r="M90" s="40"/>
      <c r="N90" s="224"/>
      <c r="O90" s="31"/>
      <c r="P90" s="18"/>
      <c r="Q90" s="6"/>
      <c r="R90" s="6"/>
      <c r="S90" s="10"/>
      <c r="T90" s="10"/>
    </row>
    <row r="91" spans="1:20" s="8" customFormat="1" ht="13.5" customHeight="1">
      <c r="A91" s="5"/>
      <c r="B91" s="5"/>
      <c r="C91" s="7"/>
      <c r="D91" s="7"/>
      <c r="E91" s="408"/>
      <c r="F91" s="232"/>
      <c r="G91" s="37"/>
      <c r="H91" s="40"/>
      <c r="I91" s="40"/>
      <c r="J91" s="42"/>
      <c r="K91" s="42"/>
      <c r="L91" s="40"/>
      <c r="M91" s="40"/>
      <c r="N91" s="224"/>
      <c r="O91" s="31"/>
      <c r="P91" s="18"/>
      <c r="Q91" s="6"/>
      <c r="R91" s="6"/>
      <c r="S91" s="10"/>
      <c r="T91" s="10"/>
    </row>
    <row r="92" spans="1:20" s="8" customFormat="1" ht="29.25" customHeight="1">
      <c r="A92" s="5"/>
      <c r="B92" s="5"/>
      <c r="C92" s="7"/>
      <c r="D92" s="7"/>
      <c r="E92" s="408"/>
      <c r="F92" s="232"/>
      <c r="G92" s="37"/>
      <c r="H92" s="40"/>
      <c r="I92" s="40"/>
      <c r="J92" s="42"/>
      <c r="K92" s="42"/>
      <c r="L92" s="40"/>
      <c r="M92" s="40"/>
      <c r="N92" s="224"/>
      <c r="O92" s="31"/>
      <c r="P92" s="18"/>
      <c r="Q92" s="6"/>
      <c r="R92" s="6"/>
      <c r="S92" s="10"/>
      <c r="T92" s="10"/>
    </row>
    <row r="93" spans="1:20" s="8" customFormat="1" ht="13.5" customHeight="1">
      <c r="A93" s="5"/>
      <c r="B93" s="5"/>
      <c r="C93" s="7"/>
      <c r="D93" s="7"/>
      <c r="E93" s="408"/>
      <c r="F93" s="232"/>
      <c r="G93" s="37"/>
      <c r="H93" s="40"/>
      <c r="I93" s="40"/>
      <c r="J93" s="42"/>
      <c r="K93" s="42"/>
      <c r="L93" s="40"/>
      <c r="M93" s="40"/>
      <c r="N93" s="224"/>
      <c r="O93" s="31"/>
      <c r="P93" s="18"/>
      <c r="Q93" s="6"/>
      <c r="R93" s="6"/>
      <c r="S93" s="10"/>
      <c r="T93" s="10"/>
    </row>
    <row r="94" spans="1:20" s="8" customFormat="1" ht="13.5" customHeight="1">
      <c r="A94" s="5"/>
      <c r="B94" s="5"/>
      <c r="C94" s="7"/>
      <c r="D94" s="7"/>
      <c r="E94" s="408"/>
      <c r="F94" s="232"/>
      <c r="G94" s="37"/>
      <c r="H94" s="40"/>
      <c r="I94" s="40"/>
      <c r="J94" s="42"/>
      <c r="K94" s="42"/>
      <c r="L94" s="40"/>
      <c r="M94" s="40"/>
      <c r="N94" s="224"/>
      <c r="O94" s="31"/>
      <c r="P94" s="18"/>
      <c r="Q94" s="6"/>
      <c r="R94" s="6"/>
      <c r="S94" s="10"/>
      <c r="T94" s="10"/>
    </row>
    <row r="95" spans="1:20" s="8" customFormat="1" ht="13.5" customHeight="1">
      <c r="A95" s="5"/>
      <c r="B95" s="5"/>
      <c r="C95" s="7"/>
      <c r="D95" s="7"/>
      <c r="E95" s="408"/>
      <c r="F95" s="232"/>
      <c r="G95" s="37"/>
      <c r="H95" s="40"/>
      <c r="I95" s="40"/>
      <c r="J95" s="42"/>
      <c r="K95" s="42"/>
      <c r="L95" s="40"/>
      <c r="M95" s="40"/>
      <c r="N95" s="224"/>
      <c r="O95" s="31"/>
      <c r="P95" s="18"/>
      <c r="Q95" s="6"/>
      <c r="R95" s="6"/>
      <c r="S95" s="10"/>
      <c r="T95" s="10"/>
    </row>
    <row r="96" spans="1:20" s="8" customFormat="1" ht="13.5" customHeight="1">
      <c r="A96" s="5"/>
      <c r="B96" s="5"/>
      <c r="C96" s="7"/>
      <c r="D96" s="7"/>
      <c r="E96" s="408"/>
      <c r="F96" s="232"/>
      <c r="G96" s="37"/>
      <c r="H96" s="40"/>
      <c r="I96" s="40"/>
      <c r="J96" s="42"/>
      <c r="K96" s="42"/>
      <c r="L96" s="40"/>
      <c r="M96" s="40"/>
      <c r="N96" s="224"/>
      <c r="O96" s="31"/>
      <c r="P96" s="18"/>
      <c r="Q96" s="6"/>
      <c r="R96" s="6"/>
      <c r="S96" s="10"/>
      <c r="T96" s="10"/>
    </row>
    <row r="97" spans="1:20" s="8" customFormat="1" ht="13.5" customHeight="1">
      <c r="A97" s="5"/>
      <c r="B97" s="5"/>
      <c r="C97" s="7"/>
      <c r="D97" s="7"/>
      <c r="E97" s="408"/>
      <c r="F97" s="232"/>
      <c r="G97" s="37"/>
      <c r="H97" s="40"/>
      <c r="I97" s="40"/>
      <c r="J97" s="42"/>
      <c r="K97" s="42"/>
      <c r="L97" s="40"/>
      <c r="M97" s="40"/>
      <c r="N97" s="224"/>
      <c r="O97" s="31"/>
      <c r="P97" s="18"/>
      <c r="Q97" s="6"/>
      <c r="R97" s="6"/>
      <c r="S97" s="10"/>
      <c r="T97" s="10"/>
    </row>
    <row r="98" spans="1:20" s="8" customFormat="1" ht="13.5" customHeight="1">
      <c r="A98" s="5"/>
      <c r="B98" s="5"/>
      <c r="C98" s="7"/>
      <c r="D98" s="7"/>
      <c r="E98" s="408"/>
      <c r="F98" s="232"/>
      <c r="G98" s="37"/>
      <c r="H98" s="40"/>
      <c r="I98" s="40"/>
      <c r="J98" s="42"/>
      <c r="K98" s="42"/>
      <c r="L98" s="40"/>
      <c r="M98" s="40"/>
      <c r="N98" s="224"/>
      <c r="O98" s="31"/>
      <c r="P98" s="18"/>
      <c r="Q98" s="6"/>
      <c r="R98" s="6"/>
      <c r="S98" s="10"/>
      <c r="T98" s="10"/>
    </row>
    <row r="99" spans="1:20" s="8" customFormat="1" ht="13.5" customHeight="1">
      <c r="A99" s="5"/>
      <c r="B99" s="5"/>
      <c r="C99" s="7"/>
      <c r="D99" s="7"/>
      <c r="E99" s="408"/>
      <c r="F99" s="232"/>
      <c r="G99" s="37"/>
      <c r="H99" s="40"/>
      <c r="I99" s="40"/>
      <c r="J99" s="42"/>
      <c r="K99" s="42"/>
      <c r="L99" s="40"/>
      <c r="M99" s="40"/>
      <c r="N99" s="224"/>
      <c r="O99" s="31"/>
      <c r="P99" s="18"/>
      <c r="Q99" s="6"/>
      <c r="R99" s="6"/>
      <c r="S99" s="10"/>
      <c r="T99" s="10"/>
    </row>
    <row r="100" spans="1:20" s="8" customFormat="1" ht="13.5" customHeight="1">
      <c r="A100" s="5"/>
      <c r="B100" s="5"/>
      <c r="C100" s="7"/>
      <c r="D100" s="7"/>
      <c r="E100" s="408"/>
      <c r="F100" s="232"/>
      <c r="G100" s="37"/>
      <c r="H100" s="40"/>
      <c r="I100" s="40"/>
      <c r="J100" s="42"/>
      <c r="K100" s="42"/>
      <c r="L100" s="40"/>
      <c r="M100" s="40"/>
      <c r="N100" s="224"/>
      <c r="O100" s="31"/>
      <c r="P100" s="18"/>
      <c r="Q100" s="6"/>
      <c r="R100" s="6"/>
      <c r="S100" s="10"/>
      <c r="T100" s="10"/>
    </row>
    <row r="101" spans="1:20" s="8" customFormat="1" ht="13.5" customHeight="1">
      <c r="A101" s="5"/>
      <c r="B101" s="5"/>
      <c r="C101" s="7"/>
      <c r="D101" s="7"/>
      <c r="E101" s="408"/>
      <c r="F101" s="232"/>
      <c r="G101" s="37"/>
      <c r="H101" s="40"/>
      <c r="I101" s="40"/>
      <c r="J101" s="42"/>
      <c r="K101" s="42"/>
      <c r="L101" s="40"/>
      <c r="M101" s="40"/>
      <c r="N101" s="224"/>
      <c r="O101" s="31"/>
      <c r="P101" s="18"/>
      <c r="Q101" s="6"/>
      <c r="R101" s="6"/>
      <c r="S101" s="10"/>
      <c r="T101" s="10"/>
    </row>
    <row r="102" spans="1:20" s="8" customFormat="1" ht="13.5" customHeight="1">
      <c r="A102" s="5"/>
      <c r="B102" s="5"/>
      <c r="C102" s="7"/>
      <c r="D102" s="7"/>
      <c r="E102" s="408"/>
      <c r="F102" s="232"/>
      <c r="G102" s="37"/>
      <c r="H102" s="40"/>
      <c r="I102" s="40"/>
      <c r="J102" s="42"/>
      <c r="K102" s="42"/>
      <c r="L102" s="40"/>
      <c r="M102" s="40"/>
      <c r="N102" s="224"/>
      <c r="O102" s="31"/>
      <c r="P102" s="18"/>
      <c r="Q102" s="6"/>
      <c r="R102" s="6"/>
      <c r="S102" s="10"/>
      <c r="T102" s="10"/>
    </row>
    <row r="103" spans="1:20" s="8" customFormat="1" ht="13.5" customHeight="1">
      <c r="A103" s="5"/>
      <c r="B103" s="5"/>
      <c r="C103" s="7"/>
      <c r="D103" s="7"/>
      <c r="E103" s="408"/>
      <c r="F103" s="232"/>
      <c r="G103" s="37"/>
      <c r="H103" s="40"/>
      <c r="I103" s="40"/>
      <c r="J103" s="42"/>
      <c r="K103" s="42"/>
      <c r="L103" s="40"/>
      <c r="M103" s="40"/>
      <c r="N103" s="224"/>
      <c r="O103" s="31"/>
      <c r="P103" s="18"/>
      <c r="Q103" s="6"/>
      <c r="R103" s="6"/>
      <c r="S103" s="10"/>
      <c r="T103" s="10"/>
    </row>
    <row r="104" spans="1:20" s="8" customFormat="1" ht="13.5" customHeight="1">
      <c r="A104" s="5"/>
      <c r="B104" s="5"/>
      <c r="C104" s="7"/>
      <c r="D104" s="7"/>
      <c r="E104" s="408"/>
      <c r="F104" s="232"/>
      <c r="G104" s="37"/>
      <c r="H104" s="40"/>
      <c r="I104" s="40"/>
      <c r="J104" s="42"/>
      <c r="K104" s="42"/>
      <c r="L104" s="40"/>
      <c r="M104" s="40"/>
      <c r="N104" s="224"/>
      <c r="O104" s="31"/>
      <c r="P104" s="18"/>
      <c r="Q104" s="6"/>
      <c r="R104" s="6"/>
      <c r="S104" s="10"/>
      <c r="T104" s="10"/>
    </row>
    <row r="105" spans="1:20" s="8" customFormat="1" ht="13.5" customHeight="1">
      <c r="A105" s="5"/>
      <c r="B105" s="5"/>
      <c r="C105" s="7"/>
      <c r="D105" s="7"/>
      <c r="E105" s="408"/>
      <c r="F105" s="232"/>
      <c r="G105" s="37"/>
      <c r="H105" s="40"/>
      <c r="I105" s="40"/>
      <c r="J105" s="42"/>
      <c r="K105" s="42"/>
      <c r="L105" s="40"/>
      <c r="M105" s="40"/>
      <c r="N105" s="224"/>
      <c r="O105" s="31"/>
      <c r="P105" s="18"/>
      <c r="Q105" s="6"/>
      <c r="R105" s="6"/>
      <c r="S105" s="10"/>
      <c r="T105" s="10"/>
    </row>
    <row r="106" spans="1:20" s="8" customFormat="1" ht="13.5" customHeight="1">
      <c r="A106" s="5"/>
      <c r="B106" s="5"/>
      <c r="C106" s="7"/>
      <c r="D106" s="7"/>
      <c r="E106" s="408"/>
      <c r="F106" s="232"/>
      <c r="G106" s="37"/>
      <c r="H106" s="40"/>
      <c r="I106" s="40"/>
      <c r="J106" s="42"/>
      <c r="K106" s="42"/>
      <c r="L106" s="40"/>
      <c r="M106" s="40"/>
      <c r="N106" s="224"/>
      <c r="O106" s="31"/>
      <c r="P106" s="18"/>
      <c r="Q106" s="6"/>
      <c r="R106" s="6"/>
      <c r="S106" s="10"/>
      <c r="T106" s="10"/>
    </row>
    <row r="107" spans="1:20" s="8" customFormat="1" ht="13.5" customHeight="1">
      <c r="A107" s="5"/>
      <c r="B107" s="5"/>
      <c r="C107" s="7"/>
      <c r="D107" s="7"/>
      <c r="E107" s="408"/>
      <c r="F107" s="232"/>
      <c r="G107" s="37"/>
      <c r="H107" s="40"/>
      <c r="I107" s="40"/>
      <c r="J107" s="42"/>
      <c r="K107" s="42"/>
      <c r="L107" s="40"/>
      <c r="M107" s="40"/>
      <c r="N107" s="224"/>
      <c r="O107" s="31"/>
      <c r="P107" s="18"/>
      <c r="Q107" s="11"/>
      <c r="R107" s="11"/>
      <c r="S107" s="10"/>
      <c r="T107" s="10"/>
    </row>
    <row r="108" spans="1:20" s="8" customFormat="1" ht="13.5" customHeight="1">
      <c r="A108" s="5"/>
      <c r="B108" s="5"/>
      <c r="C108" s="7"/>
      <c r="D108" s="7"/>
      <c r="E108" s="408"/>
      <c r="F108" s="232"/>
      <c r="G108" s="37"/>
      <c r="H108" s="40"/>
      <c r="I108" s="40"/>
      <c r="J108" s="42"/>
      <c r="K108" s="42"/>
      <c r="L108" s="40"/>
      <c r="M108" s="40"/>
      <c r="N108" s="224"/>
      <c r="O108" s="31"/>
      <c r="P108" s="18"/>
      <c r="Q108" s="11"/>
      <c r="R108" s="11"/>
      <c r="S108" s="10"/>
      <c r="T108" s="10"/>
    </row>
    <row r="109" spans="1:20" s="8" customFormat="1" ht="13.5" customHeight="1">
      <c r="A109" s="5"/>
      <c r="B109" s="5"/>
      <c r="C109" s="7"/>
      <c r="D109" s="7"/>
      <c r="E109" s="408"/>
      <c r="F109" s="232"/>
      <c r="G109" s="37"/>
      <c r="H109" s="40"/>
      <c r="I109" s="40"/>
      <c r="J109" s="42"/>
      <c r="K109" s="42"/>
      <c r="L109" s="40"/>
      <c r="M109" s="40"/>
      <c r="N109" s="224"/>
      <c r="O109" s="31"/>
      <c r="P109" s="18"/>
      <c r="Q109" s="11"/>
      <c r="R109" s="11"/>
      <c r="S109" s="10"/>
      <c r="T109" s="10"/>
    </row>
    <row r="110" spans="1:20" s="8" customFormat="1" ht="13.5" customHeight="1">
      <c r="A110" s="5"/>
      <c r="B110" s="5"/>
      <c r="C110" s="7"/>
      <c r="D110" s="7"/>
      <c r="E110" s="408"/>
      <c r="F110" s="232"/>
      <c r="G110" s="37"/>
      <c r="H110" s="40"/>
      <c r="I110" s="40"/>
      <c r="J110" s="42"/>
      <c r="K110" s="42"/>
      <c r="L110" s="40"/>
      <c r="M110" s="40"/>
      <c r="N110" s="224"/>
      <c r="O110" s="31"/>
      <c r="P110" s="18"/>
      <c r="Q110" s="11"/>
      <c r="R110" s="11"/>
      <c r="S110" s="10"/>
      <c r="T110" s="10"/>
    </row>
    <row r="111" spans="1:20" s="8" customFormat="1" ht="13.5" customHeight="1">
      <c r="A111" s="5"/>
      <c r="B111" s="5"/>
      <c r="C111" s="7"/>
      <c r="D111" s="7"/>
      <c r="E111" s="408"/>
      <c r="F111" s="232"/>
      <c r="G111" s="37"/>
      <c r="H111" s="40"/>
      <c r="I111" s="40"/>
      <c r="J111" s="42"/>
      <c r="K111" s="42"/>
      <c r="L111" s="40"/>
      <c r="M111" s="40"/>
      <c r="N111" s="224"/>
      <c r="O111" s="31"/>
      <c r="P111" s="18"/>
      <c r="Q111" s="11"/>
      <c r="R111" s="11"/>
      <c r="S111" s="10"/>
      <c r="T111" s="10"/>
    </row>
    <row r="112" spans="1:20" s="8" customFormat="1" ht="13.5" customHeight="1">
      <c r="A112" s="5"/>
      <c r="B112" s="5"/>
      <c r="C112" s="7"/>
      <c r="D112" s="7"/>
      <c r="E112" s="408"/>
      <c r="F112" s="232"/>
      <c r="G112" s="37"/>
      <c r="H112" s="40"/>
      <c r="I112" s="40"/>
      <c r="J112" s="42"/>
      <c r="K112" s="42"/>
      <c r="L112" s="40"/>
      <c r="M112" s="40"/>
      <c r="N112" s="224"/>
      <c r="O112" s="31"/>
      <c r="P112" s="18"/>
      <c r="Q112" s="11"/>
      <c r="R112" s="11"/>
      <c r="S112" s="10"/>
      <c r="T112" s="10"/>
    </row>
    <row r="113" spans="1:20" s="8" customFormat="1" ht="13.5" customHeight="1">
      <c r="A113" s="5"/>
      <c r="B113" s="5"/>
      <c r="C113" s="7"/>
      <c r="D113" s="7"/>
      <c r="E113" s="408"/>
      <c r="F113" s="220"/>
      <c r="G113" s="37"/>
      <c r="H113" s="40"/>
      <c r="I113" s="40"/>
      <c r="J113" s="42"/>
      <c r="K113" s="42"/>
      <c r="L113" s="40"/>
      <c r="M113" s="40"/>
      <c r="N113" s="224"/>
      <c r="O113" s="31"/>
      <c r="P113" s="18"/>
      <c r="Q113" s="11"/>
      <c r="R113" s="11"/>
      <c r="S113" s="10"/>
      <c r="T113" s="10"/>
    </row>
    <row r="114" spans="1:20" s="8" customFormat="1" ht="22.5" customHeight="1">
      <c r="A114" s="5"/>
      <c r="B114" s="5"/>
      <c r="C114" s="566"/>
      <c r="D114" s="566"/>
      <c r="E114" s="566"/>
      <c r="F114" s="220"/>
      <c r="G114" s="37"/>
      <c r="H114" s="42"/>
      <c r="I114" s="42"/>
      <c r="J114" s="42"/>
      <c r="K114" s="122"/>
      <c r="L114" s="42"/>
      <c r="M114" s="42"/>
      <c r="N114" s="227"/>
      <c r="O114" s="35"/>
      <c r="P114" s="116"/>
      <c r="Q114" s="11"/>
      <c r="R114" s="11"/>
      <c r="S114" s="10"/>
      <c r="T114" s="10"/>
    </row>
    <row r="115" spans="1:20">
      <c r="F115" s="222"/>
      <c r="H115" s="43"/>
      <c r="I115" s="43"/>
      <c r="L115" s="43"/>
      <c r="M115" s="43"/>
      <c r="N115" s="228"/>
    </row>
    <row r="116" spans="1:20">
      <c r="F116" s="222"/>
      <c r="H116" s="43"/>
      <c r="I116" s="43"/>
      <c r="L116" s="43"/>
      <c r="M116" s="43"/>
      <c r="N116" s="228"/>
    </row>
    <row r="117" spans="1:20">
      <c r="F117" s="222"/>
      <c r="H117" s="43"/>
      <c r="I117" s="43"/>
      <c r="L117" s="43"/>
      <c r="M117" s="43"/>
      <c r="N117" s="228"/>
    </row>
    <row r="118" spans="1:20">
      <c r="F118" s="222"/>
      <c r="H118" s="43"/>
      <c r="I118" s="43"/>
      <c r="L118" s="43"/>
      <c r="M118" s="43"/>
      <c r="N118" s="228"/>
    </row>
    <row r="119" spans="1:20">
      <c r="F119" s="222"/>
      <c r="H119" s="43"/>
      <c r="I119" s="43"/>
      <c r="L119" s="43"/>
      <c r="M119" s="43"/>
      <c r="N119" s="228"/>
    </row>
    <row r="120" spans="1:20" s="11" customFormat="1">
      <c r="A120" s="36"/>
      <c r="B120" s="36"/>
      <c r="C120" s="36"/>
      <c r="D120" s="36"/>
      <c r="E120" s="409"/>
      <c r="F120" s="222"/>
      <c r="G120" s="37"/>
      <c r="H120" s="43"/>
      <c r="I120" s="43"/>
      <c r="J120" s="44"/>
      <c r="K120" s="44"/>
      <c r="L120" s="43"/>
      <c r="M120" s="43"/>
      <c r="N120" s="228"/>
      <c r="O120" s="38"/>
      <c r="P120" s="117"/>
      <c r="S120" s="12"/>
      <c r="T120" s="12"/>
    </row>
  </sheetData>
  <protectedRanges>
    <protectedRange sqref="E14:E71 N14:P71" name="범위1_1"/>
    <protectedRange sqref="D14:D71" name="범위1_1_1_1_1"/>
    <protectedRange sqref="G14:G71" name="범위1_1_2"/>
    <protectedRange sqref="H14:J71 L14:M71 F14:F71" name="범위1_1_1_1_3"/>
  </protectedRanges>
  <mergeCells count="15">
    <mergeCell ref="O12:O13"/>
    <mergeCell ref="P12:P13"/>
    <mergeCell ref="A72:E72"/>
    <mergeCell ref="C114:E114"/>
    <mergeCell ref="A6:P6"/>
    <mergeCell ref="A12:A13"/>
    <mergeCell ref="C12:C13"/>
    <mergeCell ref="D12:D13"/>
    <mergeCell ref="E12:E13"/>
    <mergeCell ref="F12:G12"/>
    <mergeCell ref="H12:K12"/>
    <mergeCell ref="L12:L13"/>
    <mergeCell ref="M12:M13"/>
    <mergeCell ref="N12:N13"/>
    <mergeCell ref="B12:B13"/>
  </mergeCells>
  <phoneticPr fontId="3" type="noConversion"/>
  <printOptions horizontalCentered="1"/>
  <pageMargins left="0.39370078740157483" right="0.39370078740157483" top="0.19685039370078741" bottom="0.19685039370078741" header="0.23622047244094491" footer="0"/>
  <pageSetup paperSize="9" scale="46" fitToHeight="0" orientation="landscape" horizontalDpi="1200" verticalDpi="1200" r:id="rId1"/>
  <headerFooter alignWithMargins="0">
    <oddFooter xml:space="preserve">&amp;C&amp;"Calibri,보통"&amp;12Doosan Enerbility&amp;R_x000D_&amp;1#&amp;"Aptos"&amp;8&amp;K000000 중요비(Confidential): sanghwan.bae@doosan.com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AD530"/>
  <sheetViews>
    <sheetView showGridLines="0" view="pageBreakPreview" topLeftCell="A496" zoomScale="55" zoomScaleNormal="70" zoomScaleSheetLayoutView="55" workbookViewId="0">
      <selection activeCell="T338" sqref="T338"/>
    </sheetView>
  </sheetViews>
  <sheetFormatPr defaultColWidth="10" defaultRowHeight="13.8"/>
  <cols>
    <col min="1" max="1" width="17.59765625" style="36" customWidth="1"/>
    <col min="2" max="2" width="25.59765625" style="37" customWidth="1"/>
    <col min="3" max="3" width="68.5" style="36" customWidth="1"/>
    <col min="4" max="4" width="21.09765625" style="11" customWidth="1"/>
    <col min="5" max="5" width="11.59765625" style="339" customWidth="1"/>
    <col min="6" max="6" width="13.5" style="37" customWidth="1"/>
    <col min="7" max="7" width="11.5" style="340" customWidth="1"/>
    <col min="8" max="9" width="11.5" style="340" bestFit="1" customWidth="1"/>
    <col min="10" max="10" width="11.59765625" style="340" customWidth="1"/>
    <col min="11" max="11" width="15.09765625" style="340" customWidth="1"/>
    <col min="12" max="12" width="16.09765625" style="340" customWidth="1"/>
    <col min="13" max="13" width="27.19921875" style="340" customWidth="1"/>
    <col min="14" max="14" width="20.8984375" style="341" customWidth="1"/>
    <col min="15" max="15" width="17.59765625" style="342" customWidth="1"/>
    <col min="16" max="16" width="17.59765625" style="38" customWidth="1"/>
    <col min="17" max="17" width="24.3984375" style="343" customWidth="1"/>
    <col min="18" max="18" width="9.5" style="11" bestFit="1" customWidth="1"/>
    <col min="19" max="19" width="20" style="11" bestFit="1" customWidth="1"/>
    <col min="20" max="20" width="28" style="11" customWidth="1"/>
    <col min="21" max="22" width="10" style="12"/>
    <col min="23" max="16384" width="10" style="13"/>
  </cols>
  <sheetData>
    <row r="1" spans="1:22" s="8" customFormat="1" ht="12">
      <c r="A1" s="5"/>
      <c r="B1" s="7"/>
      <c r="C1" s="5"/>
      <c r="D1" s="6"/>
      <c r="E1" s="270"/>
      <c r="F1" s="7"/>
      <c r="G1" s="271"/>
      <c r="H1" s="272"/>
      <c r="I1" s="272"/>
      <c r="J1" s="272"/>
      <c r="K1" s="273"/>
      <c r="L1" s="272"/>
      <c r="M1" s="272"/>
      <c r="N1" s="274"/>
      <c r="O1" s="5"/>
      <c r="P1" s="9" t="s">
        <v>219</v>
      </c>
      <c r="Q1" s="275"/>
      <c r="R1" s="6"/>
      <c r="S1" s="5"/>
      <c r="T1" s="6"/>
      <c r="U1" s="10"/>
      <c r="V1" s="10"/>
    </row>
    <row r="2" spans="1:22" s="8" customFormat="1" ht="12">
      <c r="A2" s="5"/>
      <c r="B2" s="7"/>
      <c r="C2" s="5"/>
      <c r="D2" s="6"/>
      <c r="E2" s="270"/>
      <c r="F2" s="7"/>
      <c r="G2" s="271"/>
      <c r="H2" s="272"/>
      <c r="I2" s="272"/>
      <c r="J2" s="272"/>
      <c r="K2" s="273"/>
      <c r="L2" s="272"/>
      <c r="M2" s="272"/>
      <c r="N2" s="274"/>
      <c r="O2" s="5"/>
      <c r="P2" s="9" t="s">
        <v>1</v>
      </c>
      <c r="Q2" s="275"/>
      <c r="R2" s="276" t="s">
        <v>177</v>
      </c>
      <c r="S2" s="277" t="s">
        <v>175</v>
      </c>
      <c r="T2" s="278"/>
      <c r="U2" s="10"/>
      <c r="V2" s="10"/>
    </row>
    <row r="3" spans="1:22" s="8" customFormat="1" ht="12">
      <c r="A3" s="5"/>
      <c r="B3" s="7"/>
      <c r="C3" s="5"/>
      <c r="D3" s="6"/>
      <c r="E3" s="270"/>
      <c r="F3" s="7"/>
      <c r="G3" s="271"/>
      <c r="H3" s="272"/>
      <c r="I3" s="272"/>
      <c r="J3" s="272"/>
      <c r="K3" s="273"/>
      <c r="L3" s="272"/>
      <c r="M3" s="272"/>
      <c r="N3" s="274"/>
      <c r="O3" s="5"/>
      <c r="P3" s="9" t="s">
        <v>2</v>
      </c>
      <c r="Q3" s="275"/>
      <c r="R3" s="6"/>
      <c r="S3" s="277" t="s">
        <v>178</v>
      </c>
      <c r="T3" s="278"/>
      <c r="U3" s="10"/>
      <c r="V3" s="10"/>
    </row>
    <row r="4" spans="1:22" s="8" customFormat="1" ht="12">
      <c r="A4" s="5"/>
      <c r="B4" s="7"/>
      <c r="C4" s="5"/>
      <c r="D4" s="6"/>
      <c r="E4" s="270"/>
      <c r="F4" s="7"/>
      <c r="G4" s="271"/>
      <c r="H4" s="272"/>
      <c r="I4" s="272"/>
      <c r="J4" s="272"/>
      <c r="K4" s="273"/>
      <c r="L4" s="272"/>
      <c r="M4" s="272"/>
      <c r="N4" s="274"/>
      <c r="O4" s="5"/>
      <c r="P4" s="9" t="s">
        <v>3</v>
      </c>
      <c r="Q4" s="275"/>
      <c r="R4" s="6"/>
      <c r="S4" s="277" t="s">
        <v>180</v>
      </c>
      <c r="T4" s="278"/>
      <c r="U4" s="10"/>
      <c r="V4" s="10"/>
    </row>
    <row r="5" spans="1:22" s="8" customFormat="1" ht="12">
      <c r="A5" s="5"/>
      <c r="B5" s="7"/>
      <c r="C5" s="5"/>
      <c r="D5" s="6"/>
      <c r="E5" s="270"/>
      <c r="F5" s="7"/>
      <c r="G5" s="271"/>
      <c r="H5" s="272"/>
      <c r="I5" s="272"/>
      <c r="J5" s="272"/>
      <c r="K5" s="273"/>
      <c r="L5" s="272"/>
      <c r="M5" s="272"/>
      <c r="N5" s="274"/>
      <c r="O5" s="5"/>
      <c r="P5" s="9" t="s">
        <v>4</v>
      </c>
      <c r="Q5" s="275"/>
      <c r="R5" s="6"/>
      <c r="S5" s="277" t="s">
        <v>182</v>
      </c>
      <c r="T5" s="278"/>
      <c r="U5" s="10"/>
      <c r="V5" s="10"/>
    </row>
    <row r="6" spans="1:22" ht="47.4" customHeight="1">
      <c r="A6" s="533" t="s">
        <v>220</v>
      </c>
      <c r="B6" s="481"/>
      <c r="C6" s="481"/>
      <c r="D6" s="481"/>
      <c r="E6" s="481"/>
      <c r="F6" s="481"/>
      <c r="G6" s="481"/>
      <c r="H6" s="481"/>
      <c r="I6" s="481"/>
      <c r="J6" s="481"/>
      <c r="K6" s="481"/>
      <c r="L6" s="481"/>
      <c r="M6" s="481"/>
      <c r="N6" s="481"/>
      <c r="O6" s="481"/>
      <c r="P6" s="481"/>
      <c r="Q6" s="481"/>
    </row>
    <row r="7" spans="1:22" ht="21" customHeight="1">
      <c r="A7" s="366" t="s">
        <v>185</v>
      </c>
      <c r="B7" s="366" t="s">
        <v>186</v>
      </c>
      <c r="C7" s="366"/>
      <c r="D7" s="162"/>
      <c r="E7" s="279"/>
      <c r="F7" s="162"/>
      <c r="G7" s="139"/>
      <c r="H7" s="139"/>
      <c r="I7" s="139"/>
      <c r="J7" s="280"/>
      <c r="K7" s="280"/>
      <c r="L7" s="280"/>
      <c r="M7" s="139"/>
      <c r="N7" s="281"/>
      <c r="O7" s="139"/>
      <c r="P7" s="139"/>
      <c r="Q7" s="282"/>
      <c r="S7" s="12"/>
      <c r="T7" s="12"/>
      <c r="U7" s="13"/>
      <c r="V7" s="13"/>
    </row>
    <row r="8" spans="1:22" ht="21" customHeight="1">
      <c r="A8" s="366"/>
      <c r="B8" s="366" t="s">
        <v>187</v>
      </c>
      <c r="C8" s="366"/>
      <c r="D8" s="162"/>
      <c r="E8" s="279"/>
      <c r="F8" s="162"/>
      <c r="G8" s="139"/>
      <c r="H8" s="139"/>
      <c r="I8" s="139"/>
      <c r="J8" s="280"/>
      <c r="K8" s="280"/>
      <c r="L8" s="280"/>
      <c r="M8" s="139"/>
      <c r="N8" s="281"/>
      <c r="O8" s="139"/>
      <c r="P8" s="139"/>
      <c r="Q8" s="282"/>
      <c r="S8" s="12"/>
      <c r="T8" s="12"/>
      <c r="U8" s="13"/>
      <c r="V8" s="13"/>
    </row>
    <row r="9" spans="1:22" s="20" customFormat="1" ht="21" customHeight="1" thickBot="1">
      <c r="A9" s="161" t="s">
        <v>188</v>
      </c>
      <c r="B9" s="373" t="str">
        <f>PL!V8</f>
        <v>PGU-DE-0139-001</v>
      </c>
      <c r="C9" s="161"/>
      <c r="D9" s="163"/>
      <c r="E9" s="283"/>
      <c r="F9" s="284"/>
      <c r="G9" s="16"/>
      <c r="H9" s="285"/>
      <c r="I9" s="285"/>
      <c r="J9" s="285"/>
      <c r="K9" s="286"/>
      <c r="L9" s="285"/>
      <c r="M9" s="285"/>
      <c r="N9" s="287"/>
      <c r="O9" s="18"/>
      <c r="P9" s="18"/>
      <c r="Q9" s="288"/>
      <c r="R9" s="15"/>
      <c r="S9" s="19"/>
      <c r="T9" s="19"/>
    </row>
    <row r="10" spans="1:22" s="20" customFormat="1" ht="21" customHeight="1">
      <c r="A10" s="289" t="s">
        <v>189</v>
      </c>
      <c r="B10" s="367" t="str">
        <f>PL!B13</f>
        <v>Branch of JSC "Doosan Enerbility" in the Turkestan region</v>
      </c>
      <c r="C10" s="164"/>
      <c r="D10" s="290"/>
      <c r="E10" s="283"/>
      <c r="F10" s="284"/>
      <c r="G10" s="16"/>
      <c r="H10" s="285"/>
      <c r="I10" s="285"/>
      <c r="J10" s="285"/>
      <c r="K10" s="286"/>
      <c r="L10" s="285"/>
      <c r="M10" s="285"/>
      <c r="N10" s="287"/>
      <c r="O10" s="18"/>
      <c r="P10" s="18"/>
      <c r="Q10" s="288"/>
      <c r="R10" s="15"/>
      <c r="S10" s="19"/>
      <c r="T10" s="19"/>
    </row>
    <row r="11" spans="1:22" s="20" customFormat="1" ht="21" customHeight="1" thickBot="1">
      <c r="A11" s="291" t="s">
        <v>190</v>
      </c>
      <c r="B11" s="368" t="str">
        <f>'Summary PL'!B11</f>
        <v>Republic of Kazakhstan, Turkestan Oblast, Sairam district, Karamurt rural district, quarter 171</v>
      </c>
      <c r="C11" s="165"/>
      <c r="D11" s="292"/>
      <c r="E11" s="293"/>
      <c r="F11" s="284"/>
      <c r="G11" s="16"/>
      <c r="H11" s="285"/>
      <c r="I11" s="285"/>
      <c r="J11" s="285"/>
      <c r="K11" s="286"/>
      <c r="L11" s="285"/>
      <c r="M11" s="285"/>
      <c r="N11" s="287"/>
      <c r="O11" s="18"/>
      <c r="P11" s="18"/>
      <c r="Q11" s="288"/>
      <c r="R11" s="15"/>
      <c r="S11" s="19"/>
      <c r="T11" s="19"/>
    </row>
    <row r="12" spans="1:22" s="294" customFormat="1" ht="23.4" customHeight="1">
      <c r="A12" s="567" t="s">
        <v>192</v>
      </c>
      <c r="B12" s="569" t="s">
        <v>221</v>
      </c>
      <c r="C12" s="569" t="s">
        <v>195</v>
      </c>
      <c r="D12" s="569" t="s">
        <v>222</v>
      </c>
      <c r="E12" s="587" t="s">
        <v>223</v>
      </c>
      <c r="F12" s="574"/>
      <c r="G12" s="588" t="s">
        <v>198</v>
      </c>
      <c r="H12" s="588"/>
      <c r="I12" s="588"/>
      <c r="J12" s="589"/>
      <c r="K12" s="577" t="s">
        <v>199</v>
      </c>
      <c r="L12" s="577" t="s">
        <v>200</v>
      </c>
      <c r="M12" s="577" t="s">
        <v>224</v>
      </c>
      <c r="N12" s="577" t="s">
        <v>225</v>
      </c>
      <c r="O12" s="579" t="s">
        <v>226</v>
      </c>
      <c r="P12" s="559" t="s">
        <v>227</v>
      </c>
      <c r="Q12" s="561" t="s">
        <v>228</v>
      </c>
      <c r="R12" s="26"/>
      <c r="S12" s="27"/>
      <c r="T12" s="27"/>
      <c r="U12" s="27"/>
      <c r="V12" s="27"/>
    </row>
    <row r="13" spans="1:22" s="294" customFormat="1" ht="39" customHeight="1">
      <c r="A13" s="585"/>
      <c r="B13" s="586"/>
      <c r="C13" s="586"/>
      <c r="D13" s="586"/>
      <c r="E13" s="230" t="s">
        <v>229</v>
      </c>
      <c r="F13" s="155" t="s">
        <v>230</v>
      </c>
      <c r="G13" s="295" t="s">
        <v>206</v>
      </c>
      <c r="H13" s="295" t="s">
        <v>231</v>
      </c>
      <c r="I13" s="295" t="s">
        <v>232</v>
      </c>
      <c r="J13" s="295" t="s">
        <v>209</v>
      </c>
      <c r="K13" s="581"/>
      <c r="L13" s="581"/>
      <c r="M13" s="581"/>
      <c r="N13" s="581"/>
      <c r="O13" s="582"/>
      <c r="P13" s="583"/>
      <c r="Q13" s="584"/>
      <c r="R13" s="26"/>
      <c r="S13" s="27"/>
      <c r="T13" s="27"/>
      <c r="U13" s="27"/>
      <c r="V13" s="27"/>
    </row>
    <row r="14" spans="1:22" s="119" customFormat="1" ht="24.9" customHeight="1">
      <c r="A14" s="296">
        <v>1</v>
      </c>
      <c r="B14" s="207" t="s">
        <v>233</v>
      </c>
      <c r="C14" s="297" t="s">
        <v>234</v>
      </c>
      <c r="D14" s="207" t="s">
        <v>235</v>
      </c>
      <c r="E14" s="298">
        <v>48</v>
      </c>
      <c r="F14" s="207" t="s">
        <v>236</v>
      </c>
      <c r="G14" s="208"/>
      <c r="H14" s="208"/>
      <c r="I14" s="299"/>
      <c r="J14" s="218"/>
      <c r="K14" s="208">
        <v>1139.9000000000001</v>
      </c>
      <c r="L14" s="208"/>
      <c r="M14" s="208" t="s">
        <v>237</v>
      </c>
      <c r="N14" s="295" t="s">
        <v>238</v>
      </c>
      <c r="O14" s="209"/>
      <c r="P14" s="25"/>
      <c r="Q14" s="347" t="s">
        <v>239</v>
      </c>
      <c r="R14" s="26"/>
      <c r="S14" s="27"/>
      <c r="T14" s="301"/>
      <c r="U14" s="27"/>
      <c r="V14" s="118"/>
    </row>
    <row r="15" spans="1:22" s="119" customFormat="1" ht="24.9" customHeight="1">
      <c r="A15" s="296">
        <v>2</v>
      </c>
      <c r="B15" s="207" t="s">
        <v>233</v>
      </c>
      <c r="C15" s="297" t="s">
        <v>240</v>
      </c>
      <c r="D15" s="207" t="s">
        <v>241</v>
      </c>
      <c r="E15" s="298">
        <v>24</v>
      </c>
      <c r="F15" s="207" t="s">
        <v>236</v>
      </c>
      <c r="G15" s="208"/>
      <c r="H15" s="208"/>
      <c r="I15" s="299"/>
      <c r="J15" s="218"/>
      <c r="K15" s="208">
        <f>2287.3/2</f>
        <v>1143.6500000000001</v>
      </c>
      <c r="L15" s="208"/>
      <c r="M15" s="208" t="s">
        <v>237</v>
      </c>
      <c r="N15" s="295" t="s">
        <v>242</v>
      </c>
      <c r="O15" s="209"/>
      <c r="P15" s="25"/>
      <c r="Q15" s="347" t="s">
        <v>239</v>
      </c>
      <c r="R15" s="302"/>
      <c r="S15" s="27"/>
      <c r="T15" s="301"/>
      <c r="U15" s="27"/>
      <c r="V15" s="118"/>
    </row>
    <row r="16" spans="1:22" s="119" customFormat="1" ht="24.9" customHeight="1">
      <c r="A16" s="296">
        <v>3</v>
      </c>
      <c r="B16" s="207" t="s">
        <v>233</v>
      </c>
      <c r="C16" s="297" t="s">
        <v>243</v>
      </c>
      <c r="D16" s="207" t="s">
        <v>235</v>
      </c>
      <c r="E16" s="298">
        <v>24</v>
      </c>
      <c r="F16" s="207" t="s">
        <v>236</v>
      </c>
      <c r="G16" s="208"/>
      <c r="H16" s="208"/>
      <c r="I16" s="299"/>
      <c r="J16" s="218"/>
      <c r="K16" s="208">
        <f>2767.9/2</f>
        <v>1383.95</v>
      </c>
      <c r="L16" s="208"/>
      <c r="M16" s="208" t="s">
        <v>237</v>
      </c>
      <c r="N16" s="295" t="s">
        <v>244</v>
      </c>
      <c r="O16" s="209"/>
      <c r="P16" s="25"/>
      <c r="Q16" s="347" t="s">
        <v>239</v>
      </c>
      <c r="R16" s="26"/>
      <c r="S16" s="27"/>
      <c r="T16" s="301"/>
      <c r="U16" s="27"/>
      <c r="V16" s="118"/>
    </row>
    <row r="17" spans="1:30" s="119" customFormat="1" ht="24.9" customHeight="1">
      <c r="A17" s="296">
        <v>4</v>
      </c>
      <c r="B17" s="207" t="s">
        <v>233</v>
      </c>
      <c r="C17" s="297" t="s">
        <v>245</v>
      </c>
      <c r="D17" s="207" t="s">
        <v>235</v>
      </c>
      <c r="E17" s="298">
        <v>24</v>
      </c>
      <c r="F17" s="207" t="s">
        <v>236</v>
      </c>
      <c r="G17" s="208"/>
      <c r="H17" s="208"/>
      <c r="I17" s="299"/>
      <c r="J17" s="218"/>
      <c r="K17" s="208">
        <f>1542.9/2</f>
        <v>771.45</v>
      </c>
      <c r="L17" s="208"/>
      <c r="M17" s="208" t="s">
        <v>237</v>
      </c>
      <c r="N17" s="295" t="s">
        <v>246</v>
      </c>
      <c r="O17" s="209"/>
      <c r="P17" s="25"/>
      <c r="Q17" s="347" t="s">
        <v>239</v>
      </c>
      <c r="R17" s="302"/>
      <c r="S17" s="27"/>
      <c r="T17" s="301"/>
      <c r="U17" s="27"/>
      <c r="V17" s="118"/>
      <c r="Y17" s="119">
        <f t="shared" ref="Y17:AD17" si="0">Y14</f>
        <v>0</v>
      </c>
      <c r="Z17" s="119">
        <f t="shared" si="0"/>
        <v>0</v>
      </c>
      <c r="AA17" s="119">
        <f t="shared" si="0"/>
        <v>0</v>
      </c>
      <c r="AB17" s="119">
        <f t="shared" si="0"/>
        <v>0</v>
      </c>
      <c r="AC17" s="119">
        <f t="shared" si="0"/>
        <v>0</v>
      </c>
      <c r="AD17" s="119">
        <f t="shared" si="0"/>
        <v>0</v>
      </c>
    </row>
    <row r="18" spans="1:30" s="119" customFormat="1" ht="24.9" customHeight="1">
      <c r="A18" s="296">
        <v>5</v>
      </c>
      <c r="B18" s="207" t="s">
        <v>233</v>
      </c>
      <c r="C18" s="297" t="s">
        <v>247</v>
      </c>
      <c r="D18" s="207" t="s">
        <v>235</v>
      </c>
      <c r="E18" s="298">
        <v>24</v>
      </c>
      <c r="F18" s="207" t="s">
        <v>236</v>
      </c>
      <c r="G18" s="208"/>
      <c r="H18" s="208"/>
      <c r="I18" s="299"/>
      <c r="J18" s="218"/>
      <c r="K18" s="208">
        <f>1570.4/2</f>
        <v>785.2</v>
      </c>
      <c r="L18" s="208"/>
      <c r="M18" s="208" t="s">
        <v>237</v>
      </c>
      <c r="N18" s="295" t="s">
        <v>248</v>
      </c>
      <c r="O18" s="209"/>
      <c r="P18" s="25"/>
      <c r="Q18" s="347" t="s">
        <v>239</v>
      </c>
      <c r="R18" s="26"/>
      <c r="S18" s="27"/>
      <c r="T18" s="301"/>
      <c r="U18" s="27"/>
      <c r="V18" s="118"/>
    </row>
    <row r="19" spans="1:30" s="119" customFormat="1" ht="24.9" customHeight="1">
      <c r="A19" s="296">
        <v>6</v>
      </c>
      <c r="B19" s="207" t="s">
        <v>233</v>
      </c>
      <c r="C19" s="297" t="s">
        <v>249</v>
      </c>
      <c r="D19" s="207" t="s">
        <v>241</v>
      </c>
      <c r="E19" s="298">
        <v>24</v>
      </c>
      <c r="F19" s="207" t="s">
        <v>236</v>
      </c>
      <c r="G19" s="208"/>
      <c r="H19" s="208"/>
      <c r="I19" s="299"/>
      <c r="J19" s="218"/>
      <c r="K19" s="208">
        <f>185.2/2</f>
        <v>92.6</v>
      </c>
      <c r="L19" s="208"/>
      <c r="M19" s="208" t="s">
        <v>237</v>
      </c>
      <c r="N19" s="295" t="s">
        <v>250</v>
      </c>
      <c r="O19" s="209"/>
      <c r="P19" s="25"/>
      <c r="Q19" s="347" t="s">
        <v>239</v>
      </c>
      <c r="R19" s="26"/>
      <c r="S19" s="27"/>
      <c r="T19" s="301"/>
      <c r="U19" s="27"/>
      <c r="V19" s="118"/>
    </row>
    <row r="20" spans="1:30" s="119" customFormat="1" ht="24.9" customHeight="1">
      <c r="A20" s="296">
        <v>7</v>
      </c>
      <c r="B20" s="207" t="s">
        <v>233</v>
      </c>
      <c r="C20" s="297" t="s">
        <v>251</v>
      </c>
      <c r="D20" s="207" t="s">
        <v>235</v>
      </c>
      <c r="E20" s="298">
        <v>24</v>
      </c>
      <c r="F20" s="207" t="s">
        <v>236</v>
      </c>
      <c r="G20" s="208"/>
      <c r="H20" s="208"/>
      <c r="I20" s="299"/>
      <c r="J20" s="218"/>
      <c r="K20" s="208">
        <f>302.7/2</f>
        <v>151.35</v>
      </c>
      <c r="L20" s="208"/>
      <c r="M20" s="208" t="s">
        <v>237</v>
      </c>
      <c r="N20" s="295" t="s">
        <v>252</v>
      </c>
      <c r="O20" s="209"/>
      <c r="P20" s="25"/>
      <c r="Q20" s="347" t="s">
        <v>239</v>
      </c>
      <c r="R20" s="26"/>
      <c r="S20" s="27"/>
      <c r="T20" s="301"/>
      <c r="U20" s="27"/>
      <c r="V20" s="118"/>
      <c r="Y20" s="119">
        <v>85</v>
      </c>
      <c r="Z20" s="119">
        <v>60</v>
      </c>
      <c r="AA20" s="119">
        <v>120</v>
      </c>
      <c r="AB20" s="119">
        <f>ROUND(AA20*Z20*Y20/1000000,3)</f>
        <v>0.61199999999999999</v>
      </c>
      <c r="AC20" s="119">
        <f>SUM(AC15:AC16)</f>
        <v>0</v>
      </c>
      <c r="AD20" s="119">
        <f>SUM(AD15:AD16)</f>
        <v>0</v>
      </c>
    </row>
    <row r="21" spans="1:30" s="119" customFormat="1" ht="24.9" customHeight="1">
      <c r="A21" s="296">
        <v>8</v>
      </c>
      <c r="B21" s="207" t="s">
        <v>233</v>
      </c>
      <c r="C21" s="303" t="s">
        <v>253</v>
      </c>
      <c r="D21" s="207" t="s">
        <v>235</v>
      </c>
      <c r="E21" s="298">
        <v>9</v>
      </c>
      <c r="F21" s="207" t="s">
        <v>236</v>
      </c>
      <c r="G21" s="208"/>
      <c r="H21" s="208"/>
      <c r="I21" s="299"/>
      <c r="J21" s="218"/>
      <c r="K21" s="208">
        <f>56/2</f>
        <v>28</v>
      </c>
      <c r="L21" s="208"/>
      <c r="M21" s="208" t="s">
        <v>237</v>
      </c>
      <c r="N21" s="295" t="s">
        <v>254</v>
      </c>
      <c r="O21" s="209"/>
      <c r="P21" s="25"/>
      <c r="Q21" s="347" t="s">
        <v>255</v>
      </c>
      <c r="R21" s="26"/>
      <c r="S21" s="27"/>
      <c r="T21" s="301"/>
      <c r="U21" s="27"/>
      <c r="V21" s="118"/>
    </row>
    <row r="22" spans="1:30" s="119" customFormat="1" ht="24.9" customHeight="1">
      <c r="A22" s="296">
        <v>9</v>
      </c>
      <c r="B22" s="207" t="s">
        <v>233</v>
      </c>
      <c r="C22" s="303" t="s">
        <v>256</v>
      </c>
      <c r="D22" s="207" t="s">
        <v>235</v>
      </c>
      <c r="E22" s="298">
        <v>6</v>
      </c>
      <c r="F22" s="207" t="s">
        <v>236</v>
      </c>
      <c r="G22" s="208"/>
      <c r="H22" s="208"/>
      <c r="I22" s="299"/>
      <c r="J22" s="218"/>
      <c r="K22" s="208">
        <f>124.6/2</f>
        <v>62.3</v>
      </c>
      <c r="L22" s="208"/>
      <c r="M22" s="208" t="s">
        <v>237</v>
      </c>
      <c r="N22" s="295" t="s">
        <v>257</v>
      </c>
      <c r="O22" s="209"/>
      <c r="P22" s="25"/>
      <c r="Q22" s="347" t="s">
        <v>258</v>
      </c>
      <c r="R22" s="26"/>
      <c r="S22" s="27"/>
      <c r="T22" s="301"/>
      <c r="U22" s="27"/>
      <c r="V22" s="118"/>
    </row>
    <row r="23" spans="1:30" s="307" customFormat="1" ht="24.9" customHeight="1">
      <c r="A23" s="234" t="s">
        <v>259</v>
      </c>
      <c r="B23" s="235">
        <f>RIGHT(B22, 1)*1</f>
        <v>1</v>
      </c>
      <c r="C23" s="236" t="s">
        <v>260</v>
      </c>
      <c r="D23" s="237"/>
      <c r="E23" s="238">
        <f>SUM(E14:E22)</f>
        <v>207</v>
      </c>
      <c r="F23" s="237"/>
      <c r="G23" s="239">
        <v>386</v>
      </c>
      <c r="H23" s="239">
        <v>226</v>
      </c>
      <c r="I23" s="240">
        <v>141</v>
      </c>
      <c r="J23" s="241">
        <f>ROUND(I23*H23*G23/1000000,3)</f>
        <v>12.3</v>
      </c>
      <c r="K23" s="242">
        <f>SUM(K14:K22)</f>
        <v>5558.4000000000005</v>
      </c>
      <c r="L23" s="239">
        <f>K23+140</f>
        <v>5698.4000000000005</v>
      </c>
      <c r="M23" s="239"/>
      <c r="N23" s="243"/>
      <c r="O23" s="244"/>
      <c r="P23" s="245"/>
      <c r="Q23" s="348"/>
      <c r="R23" s="26"/>
      <c r="S23" s="304"/>
      <c r="T23" s="305"/>
      <c r="U23" s="304"/>
      <c r="V23" s="306"/>
    </row>
    <row r="24" spans="1:30" s="119" customFormat="1" ht="24.9" customHeight="1">
      <c r="A24" s="296">
        <v>1</v>
      </c>
      <c r="B24" s="300" t="s">
        <v>261</v>
      </c>
      <c r="C24" s="297" t="s">
        <v>262</v>
      </c>
      <c r="D24" s="207" t="s">
        <v>241</v>
      </c>
      <c r="E24" s="298">
        <v>24</v>
      </c>
      <c r="F24" s="207" t="s">
        <v>236</v>
      </c>
      <c r="G24" s="208"/>
      <c r="H24" s="208"/>
      <c r="I24" s="299"/>
      <c r="J24" s="218"/>
      <c r="K24" s="208">
        <f>2287.3/2</f>
        <v>1143.6500000000001</v>
      </c>
      <c r="L24" s="208"/>
      <c r="M24" s="208" t="s">
        <v>237</v>
      </c>
      <c r="N24" s="295" t="s">
        <v>263</v>
      </c>
      <c r="O24" s="209"/>
      <c r="P24" s="25"/>
      <c r="Q24" s="347" t="s">
        <v>239</v>
      </c>
      <c r="R24" s="302"/>
      <c r="S24" s="27"/>
      <c r="T24" s="301"/>
      <c r="U24" s="27"/>
      <c r="V24" s="118"/>
    </row>
    <row r="25" spans="1:30" s="119" customFormat="1" ht="24.9" customHeight="1">
      <c r="A25" s="296">
        <v>2</v>
      </c>
      <c r="B25" s="300" t="s">
        <v>261</v>
      </c>
      <c r="C25" s="297" t="s">
        <v>264</v>
      </c>
      <c r="D25" s="207" t="s">
        <v>235</v>
      </c>
      <c r="E25" s="298">
        <v>24</v>
      </c>
      <c r="F25" s="207" t="s">
        <v>236</v>
      </c>
      <c r="G25" s="208"/>
      <c r="H25" s="208"/>
      <c r="I25" s="299"/>
      <c r="J25" s="218"/>
      <c r="K25" s="208">
        <f>2767.9/2</f>
        <v>1383.95</v>
      </c>
      <c r="L25" s="208"/>
      <c r="M25" s="208" t="s">
        <v>237</v>
      </c>
      <c r="N25" s="295" t="s">
        <v>265</v>
      </c>
      <c r="O25" s="209"/>
      <c r="P25" s="25"/>
      <c r="Q25" s="347" t="s">
        <v>239</v>
      </c>
      <c r="R25" s="26"/>
      <c r="S25" s="27"/>
      <c r="T25" s="301"/>
      <c r="U25" s="27"/>
      <c r="V25" s="118"/>
    </row>
    <row r="26" spans="1:30" s="119" customFormat="1" ht="24.9" customHeight="1">
      <c r="A26" s="296">
        <v>3</v>
      </c>
      <c r="B26" s="300" t="s">
        <v>261</v>
      </c>
      <c r="C26" s="297" t="s">
        <v>266</v>
      </c>
      <c r="D26" s="207" t="s">
        <v>235</v>
      </c>
      <c r="E26" s="298">
        <v>24</v>
      </c>
      <c r="F26" s="207" t="s">
        <v>236</v>
      </c>
      <c r="G26" s="208"/>
      <c r="H26" s="208"/>
      <c r="I26" s="299"/>
      <c r="J26" s="218"/>
      <c r="K26" s="208">
        <f>1542.9/2</f>
        <v>771.45</v>
      </c>
      <c r="L26" s="208"/>
      <c r="M26" s="208" t="s">
        <v>237</v>
      </c>
      <c r="N26" s="295" t="s">
        <v>267</v>
      </c>
      <c r="O26" s="209"/>
      <c r="P26" s="25"/>
      <c r="Q26" s="347" t="s">
        <v>239</v>
      </c>
      <c r="R26" s="302"/>
      <c r="S26" s="27"/>
      <c r="T26" s="301"/>
      <c r="U26" s="27"/>
      <c r="V26" s="118"/>
      <c r="Y26" s="119">
        <f t="shared" ref="Y26:AD26" si="1">Y20</f>
        <v>85</v>
      </c>
      <c r="Z26" s="119">
        <f t="shared" si="1"/>
        <v>60</v>
      </c>
      <c r="AA26" s="119">
        <f t="shared" si="1"/>
        <v>120</v>
      </c>
      <c r="AB26" s="119">
        <f t="shared" si="1"/>
        <v>0.61199999999999999</v>
      </c>
      <c r="AC26" s="119">
        <f t="shared" si="1"/>
        <v>0</v>
      </c>
      <c r="AD26" s="119">
        <f t="shared" si="1"/>
        <v>0</v>
      </c>
    </row>
    <row r="27" spans="1:30" s="119" customFormat="1" ht="24.9" customHeight="1">
      <c r="A27" s="296">
        <v>4</v>
      </c>
      <c r="B27" s="300" t="s">
        <v>261</v>
      </c>
      <c r="C27" s="297" t="s">
        <v>268</v>
      </c>
      <c r="D27" s="207" t="s">
        <v>235</v>
      </c>
      <c r="E27" s="298">
        <v>24</v>
      </c>
      <c r="F27" s="207" t="s">
        <v>236</v>
      </c>
      <c r="G27" s="208"/>
      <c r="H27" s="208"/>
      <c r="I27" s="299"/>
      <c r="J27" s="218"/>
      <c r="K27" s="208">
        <f>1570.4/2</f>
        <v>785.2</v>
      </c>
      <c r="L27" s="208"/>
      <c r="M27" s="208" t="s">
        <v>237</v>
      </c>
      <c r="N27" s="295" t="s">
        <v>269</v>
      </c>
      <c r="O27" s="209"/>
      <c r="P27" s="25"/>
      <c r="Q27" s="347" t="s">
        <v>239</v>
      </c>
      <c r="R27" s="26"/>
      <c r="S27" s="27"/>
      <c r="T27" s="301"/>
      <c r="U27" s="27"/>
      <c r="V27" s="118"/>
    </row>
    <row r="28" spans="1:30" s="119" customFormat="1" ht="24.9" customHeight="1">
      <c r="A28" s="296">
        <v>5</v>
      </c>
      <c r="B28" s="300" t="s">
        <v>261</v>
      </c>
      <c r="C28" s="297" t="s">
        <v>249</v>
      </c>
      <c r="D28" s="207" t="s">
        <v>241</v>
      </c>
      <c r="E28" s="298">
        <v>24</v>
      </c>
      <c r="F28" s="207" t="s">
        <v>236</v>
      </c>
      <c r="G28" s="208"/>
      <c r="H28" s="208"/>
      <c r="I28" s="299"/>
      <c r="J28" s="218"/>
      <c r="K28" s="208">
        <f>185.2/2</f>
        <v>92.6</v>
      </c>
      <c r="L28" s="208"/>
      <c r="M28" s="208" t="s">
        <v>237</v>
      </c>
      <c r="N28" s="295" t="s">
        <v>250</v>
      </c>
      <c r="O28" s="209"/>
      <c r="P28" s="25"/>
      <c r="Q28" s="347" t="s">
        <v>239</v>
      </c>
      <c r="R28" s="26"/>
      <c r="S28" s="27"/>
      <c r="T28" s="301"/>
      <c r="U28" s="27"/>
      <c r="V28" s="118"/>
    </row>
    <row r="29" spans="1:30" s="119" customFormat="1" ht="24.9" customHeight="1">
      <c r="A29" s="296">
        <v>6</v>
      </c>
      <c r="B29" s="300" t="s">
        <v>261</v>
      </c>
      <c r="C29" s="297" t="s">
        <v>251</v>
      </c>
      <c r="D29" s="207" t="s">
        <v>235</v>
      </c>
      <c r="E29" s="298">
        <v>24</v>
      </c>
      <c r="F29" s="207" t="s">
        <v>236</v>
      </c>
      <c r="G29" s="208"/>
      <c r="H29" s="208"/>
      <c r="I29" s="299"/>
      <c r="J29" s="218"/>
      <c r="K29" s="208">
        <f>302.7/2</f>
        <v>151.35</v>
      </c>
      <c r="L29" s="208"/>
      <c r="M29" s="208" t="s">
        <v>237</v>
      </c>
      <c r="N29" s="295" t="s">
        <v>252</v>
      </c>
      <c r="O29" s="209"/>
      <c r="P29" s="25"/>
      <c r="Q29" s="347" t="s">
        <v>239</v>
      </c>
      <c r="R29" s="26"/>
      <c r="S29" s="27"/>
      <c r="T29" s="301"/>
      <c r="U29" s="27"/>
      <c r="V29" s="118"/>
      <c r="Y29" s="119">
        <v>85</v>
      </c>
      <c r="Z29" s="119">
        <v>60</v>
      </c>
      <c r="AA29" s="119">
        <v>120</v>
      </c>
      <c r="AB29" s="119">
        <f>ROUND(AA29*Z29*Y29/1000000,3)</f>
        <v>0.61199999999999999</v>
      </c>
      <c r="AC29" s="119">
        <f>SUM(AC24:AC25)</f>
        <v>0</v>
      </c>
      <c r="AD29" s="119">
        <f>SUM(AD24:AD25)</f>
        <v>0</v>
      </c>
    </row>
    <row r="30" spans="1:30" s="119" customFormat="1" ht="24.9" customHeight="1">
      <c r="A30" s="296">
        <v>7</v>
      </c>
      <c r="B30" s="300" t="s">
        <v>261</v>
      </c>
      <c r="C30" s="303" t="s">
        <v>253</v>
      </c>
      <c r="D30" s="207" t="s">
        <v>235</v>
      </c>
      <c r="E30" s="298">
        <v>9</v>
      </c>
      <c r="F30" s="207" t="s">
        <v>236</v>
      </c>
      <c r="G30" s="208"/>
      <c r="H30" s="208"/>
      <c r="I30" s="299"/>
      <c r="J30" s="218"/>
      <c r="K30" s="208">
        <f>56/2</f>
        <v>28</v>
      </c>
      <c r="L30" s="208"/>
      <c r="M30" s="208" t="s">
        <v>237</v>
      </c>
      <c r="N30" s="295" t="s">
        <v>254</v>
      </c>
      <c r="O30" s="209"/>
      <c r="P30" s="25"/>
      <c r="Q30" s="347" t="s">
        <v>255</v>
      </c>
      <c r="R30" s="26"/>
      <c r="S30" s="27"/>
      <c r="T30" s="301"/>
      <c r="U30" s="27"/>
      <c r="V30" s="118"/>
    </row>
    <row r="31" spans="1:30" s="119" customFormat="1" ht="24.9" customHeight="1">
      <c r="A31" s="296">
        <v>8</v>
      </c>
      <c r="B31" s="300" t="s">
        <v>261</v>
      </c>
      <c r="C31" s="303" t="s">
        <v>256</v>
      </c>
      <c r="D31" s="207" t="s">
        <v>235</v>
      </c>
      <c r="E31" s="298">
        <v>6</v>
      </c>
      <c r="F31" s="207" t="s">
        <v>236</v>
      </c>
      <c r="G31" s="208"/>
      <c r="H31" s="208"/>
      <c r="I31" s="299"/>
      <c r="J31" s="218"/>
      <c r="K31" s="208">
        <f>124.6/2</f>
        <v>62.3</v>
      </c>
      <c r="L31" s="208"/>
      <c r="M31" s="208" t="s">
        <v>237</v>
      </c>
      <c r="N31" s="295" t="s">
        <v>257</v>
      </c>
      <c r="O31" s="209"/>
      <c r="P31" s="25"/>
      <c r="Q31" s="347" t="s">
        <v>258</v>
      </c>
      <c r="R31" s="26"/>
      <c r="S31" s="27"/>
      <c r="T31" s="301"/>
      <c r="U31" s="27"/>
      <c r="V31" s="118"/>
    </row>
    <row r="32" spans="1:30" s="307" customFormat="1" ht="24.9" customHeight="1">
      <c r="A32" s="234" t="s">
        <v>270</v>
      </c>
      <c r="B32" s="235">
        <f>RIGHT(B31, 1)*1</f>
        <v>2</v>
      </c>
      <c r="C32" s="236" t="s">
        <v>271</v>
      </c>
      <c r="D32" s="237"/>
      <c r="E32" s="238">
        <f>SUM(E24:E31)</f>
        <v>159</v>
      </c>
      <c r="F32" s="237"/>
      <c r="G32" s="239">
        <v>386</v>
      </c>
      <c r="H32" s="239">
        <v>226</v>
      </c>
      <c r="I32" s="240">
        <v>141</v>
      </c>
      <c r="J32" s="241">
        <f>ROUND(I32*H32*G32/1000000,3)</f>
        <v>12.3</v>
      </c>
      <c r="K32" s="242">
        <f>SUM(K24:K31)</f>
        <v>4418.5000000000009</v>
      </c>
      <c r="L32" s="239">
        <f>K32+140</f>
        <v>4558.5000000000009</v>
      </c>
      <c r="M32" s="239"/>
      <c r="N32" s="243"/>
      <c r="O32" s="244"/>
      <c r="P32" s="245"/>
      <c r="Q32" s="348"/>
      <c r="R32" s="26"/>
      <c r="S32" s="304"/>
      <c r="T32" s="305"/>
      <c r="U32" s="304"/>
      <c r="V32" s="306"/>
    </row>
    <row r="33" spans="1:22" s="119" customFormat="1" ht="24.9" customHeight="1">
      <c r="A33" s="296">
        <v>1</v>
      </c>
      <c r="B33" s="207" t="s">
        <v>272</v>
      </c>
      <c r="C33" s="303" t="s">
        <v>273</v>
      </c>
      <c r="D33" s="207" t="s">
        <v>235</v>
      </c>
      <c r="E33" s="298">
        <v>6</v>
      </c>
      <c r="F33" s="207" t="s">
        <v>236</v>
      </c>
      <c r="G33" s="208"/>
      <c r="H33" s="208"/>
      <c r="I33" s="299"/>
      <c r="J33" s="218"/>
      <c r="K33" s="208">
        <v>1122.5</v>
      </c>
      <c r="L33" s="208"/>
      <c r="M33" s="208" t="s">
        <v>237</v>
      </c>
      <c r="N33" s="295" t="s">
        <v>274</v>
      </c>
      <c r="O33" s="209"/>
      <c r="P33" s="25"/>
      <c r="Q33" s="347" t="s">
        <v>275</v>
      </c>
      <c r="R33" s="345" t="s">
        <v>276</v>
      </c>
      <c r="S33" s="27"/>
      <c r="T33" s="301"/>
      <c r="U33" s="27"/>
      <c r="V33" s="118"/>
    </row>
    <row r="34" spans="1:22" s="119" customFormat="1" ht="24.9" customHeight="1">
      <c r="A34" s="296">
        <v>2</v>
      </c>
      <c r="B34" s="207" t="s">
        <v>272</v>
      </c>
      <c r="C34" s="303" t="s">
        <v>277</v>
      </c>
      <c r="D34" s="207" t="s">
        <v>235</v>
      </c>
      <c r="E34" s="298">
        <v>6</v>
      </c>
      <c r="F34" s="207" t="s">
        <v>236</v>
      </c>
      <c r="G34" s="208"/>
      <c r="H34" s="208"/>
      <c r="I34" s="299"/>
      <c r="J34" s="218"/>
      <c r="K34" s="208">
        <v>1122.5</v>
      </c>
      <c r="L34" s="208"/>
      <c r="M34" s="208" t="s">
        <v>237</v>
      </c>
      <c r="N34" s="295" t="s">
        <v>278</v>
      </c>
      <c r="O34" s="209"/>
      <c r="P34" s="25"/>
      <c r="Q34" s="347" t="s">
        <v>275</v>
      </c>
      <c r="R34" s="345" t="s">
        <v>276</v>
      </c>
      <c r="S34" s="27"/>
      <c r="T34" s="301"/>
      <c r="U34" s="27"/>
      <c r="V34" s="118"/>
    </row>
    <row r="35" spans="1:22" s="119" customFormat="1" ht="24.9" customHeight="1">
      <c r="A35" s="296">
        <v>3</v>
      </c>
      <c r="B35" s="207" t="s">
        <v>272</v>
      </c>
      <c r="C35" s="303" t="s">
        <v>279</v>
      </c>
      <c r="D35" s="207" t="s">
        <v>235</v>
      </c>
      <c r="E35" s="298">
        <v>1</v>
      </c>
      <c r="F35" s="207" t="s">
        <v>236</v>
      </c>
      <c r="G35" s="208"/>
      <c r="H35" s="208"/>
      <c r="I35" s="299"/>
      <c r="J35" s="218"/>
      <c r="K35" s="208">
        <v>173.2</v>
      </c>
      <c r="L35" s="208"/>
      <c r="M35" s="208" t="s">
        <v>237</v>
      </c>
      <c r="N35" s="295" t="s">
        <v>280</v>
      </c>
      <c r="O35" s="209"/>
      <c r="P35" s="25"/>
      <c r="Q35" s="347" t="s">
        <v>281</v>
      </c>
      <c r="R35" s="302" t="s">
        <v>276</v>
      </c>
      <c r="S35" s="27"/>
      <c r="T35" s="301"/>
      <c r="U35" s="27"/>
      <c r="V35" s="118"/>
    </row>
    <row r="36" spans="1:22" s="119" customFormat="1" ht="24.9" customHeight="1">
      <c r="A36" s="296">
        <v>4</v>
      </c>
      <c r="B36" s="207" t="s">
        <v>272</v>
      </c>
      <c r="C36" s="303" t="s">
        <v>282</v>
      </c>
      <c r="D36" s="207" t="s">
        <v>235</v>
      </c>
      <c r="E36" s="298">
        <v>2</v>
      </c>
      <c r="F36" s="207" t="s">
        <v>236</v>
      </c>
      <c r="G36" s="208"/>
      <c r="H36" s="208"/>
      <c r="I36" s="299"/>
      <c r="J36" s="218"/>
      <c r="K36" s="208">
        <f>843/5*2</f>
        <v>337.2</v>
      </c>
      <c r="L36" s="208"/>
      <c r="M36" s="208" t="s">
        <v>237</v>
      </c>
      <c r="N36" s="295" t="s">
        <v>283</v>
      </c>
      <c r="O36" s="209"/>
      <c r="P36" s="25"/>
      <c r="Q36" s="347" t="s">
        <v>281</v>
      </c>
      <c r="R36" s="26"/>
      <c r="S36" s="27"/>
      <c r="T36" s="301"/>
      <c r="U36" s="27"/>
      <c r="V36" s="118"/>
    </row>
    <row r="37" spans="1:22" s="119" customFormat="1" ht="24.9" customHeight="1">
      <c r="A37" s="296">
        <v>5</v>
      </c>
      <c r="B37" s="207" t="s">
        <v>272</v>
      </c>
      <c r="C37" s="303" t="s">
        <v>284</v>
      </c>
      <c r="D37" s="207" t="s">
        <v>235</v>
      </c>
      <c r="E37" s="298">
        <v>1</v>
      </c>
      <c r="F37" s="207" t="s">
        <v>236</v>
      </c>
      <c r="G37" s="208"/>
      <c r="H37" s="208"/>
      <c r="I37" s="299"/>
      <c r="J37" s="218"/>
      <c r="K37" s="208">
        <v>197.5</v>
      </c>
      <c r="L37" s="208"/>
      <c r="M37" s="208" t="s">
        <v>237</v>
      </c>
      <c r="N37" s="295" t="s">
        <v>285</v>
      </c>
      <c r="O37" s="209"/>
      <c r="P37" s="25"/>
      <c r="Q37" s="347" t="s">
        <v>281</v>
      </c>
      <c r="R37" s="26"/>
      <c r="S37" s="27"/>
      <c r="T37" s="301"/>
      <c r="U37" s="27"/>
      <c r="V37" s="118"/>
    </row>
    <row r="38" spans="1:22" s="119" customFormat="1" ht="24.75" customHeight="1">
      <c r="A38" s="296">
        <v>6</v>
      </c>
      <c r="B38" s="207" t="s">
        <v>272</v>
      </c>
      <c r="C38" s="303" t="s">
        <v>286</v>
      </c>
      <c r="D38" s="207" t="s">
        <v>235</v>
      </c>
      <c r="E38" s="298">
        <v>5</v>
      </c>
      <c r="F38" s="207" t="s">
        <v>236</v>
      </c>
      <c r="G38" s="208"/>
      <c r="H38" s="208"/>
      <c r="I38" s="299"/>
      <c r="J38" s="218"/>
      <c r="K38" s="208">
        <v>899.6</v>
      </c>
      <c r="L38" s="208"/>
      <c r="M38" s="208" t="s">
        <v>237</v>
      </c>
      <c r="N38" s="295" t="s">
        <v>287</v>
      </c>
      <c r="O38" s="209"/>
      <c r="P38" s="25"/>
      <c r="Q38" s="347" t="s">
        <v>281</v>
      </c>
      <c r="R38" s="26"/>
      <c r="S38" s="27"/>
      <c r="T38" s="301"/>
      <c r="U38" s="27"/>
      <c r="V38" s="118"/>
    </row>
    <row r="39" spans="1:22" s="119" customFormat="1" ht="24.9" customHeight="1">
      <c r="A39" s="296">
        <v>7</v>
      </c>
      <c r="B39" s="207" t="s">
        <v>272</v>
      </c>
      <c r="C39" s="303" t="s">
        <v>288</v>
      </c>
      <c r="D39" s="207" t="s">
        <v>235</v>
      </c>
      <c r="E39" s="298">
        <v>2</v>
      </c>
      <c r="F39" s="207" t="s">
        <v>236</v>
      </c>
      <c r="G39" s="208"/>
      <c r="H39" s="208"/>
      <c r="I39" s="299"/>
      <c r="J39" s="218"/>
      <c r="K39" s="208">
        <f>822.1/5*2</f>
        <v>328.84000000000003</v>
      </c>
      <c r="L39" s="208"/>
      <c r="M39" s="208" t="s">
        <v>237</v>
      </c>
      <c r="N39" s="295" t="s">
        <v>289</v>
      </c>
      <c r="O39" s="209"/>
      <c r="P39" s="25"/>
      <c r="Q39" s="347" t="s">
        <v>281</v>
      </c>
      <c r="R39" s="26"/>
      <c r="S39" s="27"/>
      <c r="T39" s="301"/>
      <c r="U39" s="27"/>
      <c r="V39" s="118"/>
    </row>
    <row r="40" spans="1:22" s="119" customFormat="1" ht="24.9" customHeight="1">
      <c r="A40" s="296">
        <v>8</v>
      </c>
      <c r="B40" s="207" t="s">
        <v>272</v>
      </c>
      <c r="C40" s="303" t="s">
        <v>290</v>
      </c>
      <c r="D40" s="207" t="s">
        <v>235</v>
      </c>
      <c r="E40" s="298">
        <v>1</v>
      </c>
      <c r="F40" s="207" t="s">
        <v>236</v>
      </c>
      <c r="G40" s="208"/>
      <c r="H40" s="208"/>
      <c r="I40" s="299"/>
      <c r="J40" s="218"/>
      <c r="K40" s="208">
        <v>171.4</v>
      </c>
      <c r="L40" s="208"/>
      <c r="M40" s="208" t="s">
        <v>237</v>
      </c>
      <c r="N40" s="295" t="s">
        <v>291</v>
      </c>
      <c r="O40" s="209"/>
      <c r="P40" s="25"/>
      <c r="Q40" s="347" t="s">
        <v>281</v>
      </c>
      <c r="R40" s="26"/>
      <c r="S40" s="27"/>
      <c r="T40" s="301"/>
      <c r="U40" s="27"/>
      <c r="V40" s="118"/>
    </row>
    <row r="41" spans="1:22" s="307" customFormat="1" ht="24.9" customHeight="1">
      <c r="A41" s="234" t="s">
        <v>292</v>
      </c>
      <c r="B41" s="235">
        <f>RIGHT(B40, 1)*1</f>
        <v>3</v>
      </c>
      <c r="C41" s="246" t="s">
        <v>293</v>
      </c>
      <c r="D41" s="237"/>
      <c r="E41" s="238">
        <f>SUM(E33:E40)</f>
        <v>24</v>
      </c>
      <c r="F41" s="237"/>
      <c r="G41" s="239">
        <v>630</v>
      </c>
      <c r="H41" s="239">
        <v>220</v>
      </c>
      <c r="I41" s="240">
        <v>215</v>
      </c>
      <c r="J41" s="241">
        <f>ROUND(I41*H41*G41/1000000,3)</f>
        <v>29.798999999999999</v>
      </c>
      <c r="K41" s="242">
        <f>SUM(K33:K40)</f>
        <v>4352.7399999999989</v>
      </c>
      <c r="L41" s="239">
        <f>K41+100</f>
        <v>4452.7399999999989</v>
      </c>
      <c r="M41" s="239"/>
      <c r="N41" s="243"/>
      <c r="O41" s="244"/>
      <c r="P41" s="245"/>
      <c r="Q41" s="348"/>
      <c r="R41" s="26"/>
      <c r="S41" s="304"/>
      <c r="T41" s="305"/>
      <c r="U41" s="304"/>
      <c r="V41" s="306"/>
    </row>
    <row r="42" spans="1:22" s="119" customFormat="1" ht="24.9" customHeight="1">
      <c r="A42" s="296">
        <v>1</v>
      </c>
      <c r="B42" s="207" t="s">
        <v>294</v>
      </c>
      <c r="C42" s="303" t="s">
        <v>295</v>
      </c>
      <c r="D42" s="207" t="s">
        <v>235</v>
      </c>
      <c r="E42" s="298">
        <v>16</v>
      </c>
      <c r="F42" s="207" t="s">
        <v>236</v>
      </c>
      <c r="G42" s="208"/>
      <c r="H42" s="208"/>
      <c r="I42" s="299"/>
      <c r="J42" s="218"/>
      <c r="K42" s="208">
        <f>5228.7/48*16</f>
        <v>1742.8999999999999</v>
      </c>
      <c r="L42" s="208"/>
      <c r="M42" s="208" t="s">
        <v>237</v>
      </c>
      <c r="N42" s="295" t="s">
        <v>296</v>
      </c>
      <c r="O42" s="209"/>
      <c r="P42" s="25"/>
      <c r="Q42" s="347" t="s">
        <v>297</v>
      </c>
      <c r="R42" s="345" t="s">
        <v>276</v>
      </c>
      <c r="S42" s="27"/>
      <c r="T42" s="301"/>
      <c r="U42" s="27"/>
      <c r="V42" s="118"/>
    </row>
    <row r="43" spans="1:22" s="119" customFormat="1" ht="24.9" customHeight="1">
      <c r="A43" s="296">
        <v>2</v>
      </c>
      <c r="B43" s="207" t="s">
        <v>294</v>
      </c>
      <c r="C43" s="303" t="s">
        <v>298</v>
      </c>
      <c r="D43" s="207" t="s">
        <v>235</v>
      </c>
      <c r="E43" s="298">
        <v>1</v>
      </c>
      <c r="F43" s="207" t="s">
        <v>236</v>
      </c>
      <c r="G43" s="208"/>
      <c r="H43" s="208"/>
      <c r="I43" s="299"/>
      <c r="J43" s="218"/>
      <c r="K43" s="208">
        <f>845.8/5*1</f>
        <v>169.16</v>
      </c>
      <c r="L43" s="208"/>
      <c r="M43" s="208" t="s">
        <v>237</v>
      </c>
      <c r="N43" s="295" t="s">
        <v>299</v>
      </c>
      <c r="O43" s="209"/>
      <c r="P43" s="25"/>
      <c r="Q43" s="347" t="s">
        <v>281</v>
      </c>
      <c r="R43" s="26"/>
      <c r="S43" s="27"/>
      <c r="T43" s="301"/>
      <c r="U43" s="27"/>
      <c r="V43" s="118"/>
    </row>
    <row r="44" spans="1:22" s="119" customFormat="1" ht="24.9" customHeight="1">
      <c r="A44" s="296">
        <v>3</v>
      </c>
      <c r="B44" s="207" t="s">
        <v>294</v>
      </c>
      <c r="C44" s="303" t="s">
        <v>282</v>
      </c>
      <c r="D44" s="207" t="s">
        <v>235</v>
      </c>
      <c r="E44" s="298">
        <v>3</v>
      </c>
      <c r="F44" s="207" t="s">
        <v>236</v>
      </c>
      <c r="G44" s="208"/>
      <c r="H44" s="208"/>
      <c r="I44" s="299"/>
      <c r="J44" s="218"/>
      <c r="K44" s="208">
        <f>843/5*3</f>
        <v>505.79999999999995</v>
      </c>
      <c r="L44" s="208"/>
      <c r="M44" s="208" t="s">
        <v>237</v>
      </c>
      <c r="N44" s="295" t="s">
        <v>283</v>
      </c>
      <c r="O44" s="209"/>
      <c r="P44" s="25"/>
      <c r="Q44" s="347" t="s">
        <v>281</v>
      </c>
      <c r="R44" s="26"/>
      <c r="S44" s="27"/>
      <c r="T44" s="301"/>
      <c r="U44" s="27"/>
      <c r="V44" s="118"/>
    </row>
    <row r="45" spans="1:22" s="119" customFormat="1" ht="24.9" customHeight="1">
      <c r="A45" s="296">
        <v>4</v>
      </c>
      <c r="B45" s="207" t="s">
        <v>294</v>
      </c>
      <c r="C45" s="303" t="s">
        <v>300</v>
      </c>
      <c r="D45" s="207" t="s">
        <v>235</v>
      </c>
      <c r="E45" s="298">
        <v>5</v>
      </c>
      <c r="F45" s="207" t="s">
        <v>236</v>
      </c>
      <c r="G45" s="208"/>
      <c r="H45" s="208"/>
      <c r="I45" s="299"/>
      <c r="J45" s="218"/>
      <c r="K45" s="208">
        <v>899.6</v>
      </c>
      <c r="L45" s="208"/>
      <c r="M45" s="208" t="s">
        <v>237</v>
      </c>
      <c r="N45" s="295" t="s">
        <v>301</v>
      </c>
      <c r="O45" s="209"/>
      <c r="P45" s="25"/>
      <c r="Q45" s="347" t="s">
        <v>281</v>
      </c>
      <c r="R45" s="26"/>
      <c r="S45" s="27"/>
      <c r="T45" s="301"/>
      <c r="U45" s="27"/>
      <c r="V45" s="118"/>
    </row>
    <row r="46" spans="1:22" s="119" customFormat="1" ht="24.9" customHeight="1">
      <c r="A46" s="296">
        <v>5</v>
      </c>
      <c r="B46" s="207" t="s">
        <v>294</v>
      </c>
      <c r="C46" s="303" t="s">
        <v>302</v>
      </c>
      <c r="D46" s="207" t="s">
        <v>235</v>
      </c>
      <c r="E46" s="298">
        <v>1</v>
      </c>
      <c r="F46" s="207" t="s">
        <v>236</v>
      </c>
      <c r="G46" s="208"/>
      <c r="H46" s="208"/>
      <c r="I46" s="299"/>
      <c r="J46" s="218"/>
      <c r="K46" s="208">
        <v>189.4</v>
      </c>
      <c r="L46" s="208"/>
      <c r="M46" s="208" t="s">
        <v>237</v>
      </c>
      <c r="N46" s="295" t="s">
        <v>303</v>
      </c>
      <c r="O46" s="209"/>
      <c r="P46" s="25"/>
      <c r="Q46" s="347" t="s">
        <v>281</v>
      </c>
      <c r="R46" s="26"/>
      <c r="S46" s="27"/>
      <c r="T46" s="301"/>
      <c r="U46" s="27"/>
      <c r="V46" s="118"/>
    </row>
    <row r="47" spans="1:22" s="119" customFormat="1" ht="24.9" customHeight="1">
      <c r="A47" s="296">
        <v>6</v>
      </c>
      <c r="B47" s="207" t="s">
        <v>294</v>
      </c>
      <c r="C47" s="303" t="s">
        <v>288</v>
      </c>
      <c r="D47" s="207" t="s">
        <v>235</v>
      </c>
      <c r="E47" s="298">
        <v>3</v>
      </c>
      <c r="F47" s="207" t="s">
        <v>236</v>
      </c>
      <c r="G47" s="208"/>
      <c r="H47" s="208"/>
      <c r="I47" s="299"/>
      <c r="J47" s="218"/>
      <c r="K47" s="208">
        <f>822.1/5*3</f>
        <v>493.26000000000005</v>
      </c>
      <c r="L47" s="208"/>
      <c r="M47" s="208" t="s">
        <v>237</v>
      </c>
      <c r="N47" s="295" t="s">
        <v>289</v>
      </c>
      <c r="O47" s="209"/>
      <c r="P47" s="25"/>
      <c r="Q47" s="347" t="s">
        <v>281</v>
      </c>
      <c r="R47" s="26"/>
      <c r="S47" s="27"/>
      <c r="T47" s="301"/>
      <c r="U47" s="27"/>
      <c r="V47" s="118"/>
    </row>
    <row r="48" spans="1:22" s="119" customFormat="1" ht="24.9" customHeight="1">
      <c r="A48" s="296">
        <v>7</v>
      </c>
      <c r="B48" s="207" t="s">
        <v>294</v>
      </c>
      <c r="C48" s="303" t="s">
        <v>304</v>
      </c>
      <c r="D48" s="207" t="s">
        <v>235</v>
      </c>
      <c r="E48" s="298">
        <v>5</v>
      </c>
      <c r="F48" s="207" t="s">
        <v>236</v>
      </c>
      <c r="G48" s="208"/>
      <c r="H48" s="208"/>
      <c r="I48" s="299"/>
      <c r="J48" s="218"/>
      <c r="K48" s="208">
        <v>824.8</v>
      </c>
      <c r="L48" s="208"/>
      <c r="M48" s="208" t="s">
        <v>237</v>
      </c>
      <c r="N48" s="295" t="s">
        <v>305</v>
      </c>
      <c r="O48" s="209"/>
      <c r="P48" s="25"/>
      <c r="Q48" s="347" t="s">
        <v>281</v>
      </c>
      <c r="R48" s="26"/>
      <c r="S48" s="27"/>
      <c r="T48" s="301"/>
      <c r="U48" s="27"/>
      <c r="V48" s="118"/>
    </row>
    <row r="49" spans="1:22" s="307" customFormat="1" ht="24.9" customHeight="1">
      <c r="A49" s="234" t="s">
        <v>306</v>
      </c>
      <c r="B49" s="235">
        <f>RIGHT(B48, 1)*1</f>
        <v>4</v>
      </c>
      <c r="C49" s="246" t="s">
        <v>307</v>
      </c>
      <c r="D49" s="237"/>
      <c r="E49" s="238">
        <f>SUM(E42:E48)</f>
        <v>34</v>
      </c>
      <c r="F49" s="237"/>
      <c r="G49" s="239">
        <v>515</v>
      </c>
      <c r="H49" s="239">
        <v>220</v>
      </c>
      <c r="I49" s="240">
        <v>190</v>
      </c>
      <c r="J49" s="241">
        <f>ROUND(I49*H49*G49/1000000,3)</f>
        <v>21.527000000000001</v>
      </c>
      <c r="K49" s="242">
        <f>SUM(K42:K48)</f>
        <v>4824.92</v>
      </c>
      <c r="L49" s="239">
        <f>K49+100</f>
        <v>4924.92</v>
      </c>
      <c r="M49" s="239"/>
      <c r="N49" s="243"/>
      <c r="O49" s="244"/>
      <c r="P49" s="245"/>
      <c r="Q49" s="348"/>
      <c r="R49" s="26"/>
      <c r="S49" s="304"/>
      <c r="T49" s="305"/>
      <c r="U49" s="304"/>
      <c r="V49" s="306"/>
    </row>
    <row r="50" spans="1:22" s="119" customFormat="1" ht="24.9" customHeight="1">
      <c r="A50" s="296">
        <v>1</v>
      </c>
      <c r="B50" s="207" t="s">
        <v>308</v>
      </c>
      <c r="C50" s="303" t="s">
        <v>309</v>
      </c>
      <c r="D50" s="207" t="s">
        <v>235</v>
      </c>
      <c r="E50" s="298">
        <v>27</v>
      </c>
      <c r="F50" s="207" t="s">
        <v>236</v>
      </c>
      <c r="G50" s="208"/>
      <c r="H50" s="208"/>
      <c r="I50" s="299"/>
      <c r="J50" s="218"/>
      <c r="K50" s="208">
        <f>1678.1/36*27</f>
        <v>1258.575</v>
      </c>
      <c r="L50" s="208"/>
      <c r="M50" s="208" t="s">
        <v>237</v>
      </c>
      <c r="N50" s="295" t="s">
        <v>310</v>
      </c>
      <c r="O50" s="209"/>
      <c r="P50" s="25"/>
      <c r="Q50" s="347" t="s">
        <v>297</v>
      </c>
      <c r="R50" s="26"/>
      <c r="S50" s="27"/>
      <c r="T50" s="301"/>
      <c r="U50" s="27"/>
      <c r="V50" s="118"/>
    </row>
    <row r="51" spans="1:22" s="119" customFormat="1" ht="24.9" customHeight="1">
      <c r="A51" s="296">
        <v>2</v>
      </c>
      <c r="B51" s="207" t="s">
        <v>308</v>
      </c>
      <c r="C51" s="303" t="s">
        <v>311</v>
      </c>
      <c r="D51" s="207" t="s">
        <v>235</v>
      </c>
      <c r="E51" s="298">
        <v>33</v>
      </c>
      <c r="F51" s="207" t="s">
        <v>236</v>
      </c>
      <c r="G51" s="208"/>
      <c r="H51" s="208"/>
      <c r="I51" s="299"/>
      <c r="J51" s="218"/>
      <c r="K51" s="208">
        <f>1606.9/36*33</f>
        <v>1472.9916666666668</v>
      </c>
      <c r="L51" s="208"/>
      <c r="M51" s="208" t="s">
        <v>237</v>
      </c>
      <c r="N51" s="295" t="s">
        <v>312</v>
      </c>
      <c r="O51" s="209"/>
      <c r="P51" s="25"/>
      <c r="Q51" s="347" t="s">
        <v>297</v>
      </c>
      <c r="R51" s="26"/>
      <c r="S51" s="27"/>
      <c r="T51" s="301"/>
      <c r="U51" s="27"/>
      <c r="V51" s="118"/>
    </row>
    <row r="52" spans="1:22" s="119" customFormat="1" ht="24.9" customHeight="1">
      <c r="A52" s="296">
        <v>3</v>
      </c>
      <c r="B52" s="207" t="s">
        <v>308</v>
      </c>
      <c r="C52" s="303" t="s">
        <v>298</v>
      </c>
      <c r="D52" s="207" t="s">
        <v>235</v>
      </c>
      <c r="E52" s="298">
        <v>4</v>
      </c>
      <c r="F52" s="207" t="s">
        <v>236</v>
      </c>
      <c r="G52" s="208"/>
      <c r="H52" s="208"/>
      <c r="I52" s="299"/>
      <c r="J52" s="218"/>
      <c r="K52" s="208">
        <f>845.8/5*4</f>
        <v>676.64</v>
      </c>
      <c r="L52" s="208"/>
      <c r="M52" s="208" t="s">
        <v>237</v>
      </c>
      <c r="N52" s="295" t="s">
        <v>299</v>
      </c>
      <c r="O52" s="209"/>
      <c r="P52" s="25"/>
      <c r="Q52" s="347" t="s">
        <v>281</v>
      </c>
      <c r="R52" s="26"/>
      <c r="S52" s="27"/>
      <c r="T52" s="301"/>
      <c r="U52" s="27"/>
      <c r="V52" s="118"/>
    </row>
    <row r="53" spans="1:22" s="119" customFormat="1" ht="24.9" customHeight="1">
      <c r="A53" s="296">
        <v>4</v>
      </c>
      <c r="B53" s="207" t="s">
        <v>308</v>
      </c>
      <c r="C53" s="303" t="s">
        <v>313</v>
      </c>
      <c r="D53" s="207" t="s">
        <v>235</v>
      </c>
      <c r="E53" s="298">
        <v>1</v>
      </c>
      <c r="F53" s="207" t="s">
        <v>236</v>
      </c>
      <c r="G53" s="208"/>
      <c r="H53" s="208"/>
      <c r="I53" s="299"/>
      <c r="J53" s="218"/>
      <c r="K53" s="208">
        <v>173.8</v>
      </c>
      <c r="L53" s="208"/>
      <c r="M53" s="208" t="s">
        <v>237</v>
      </c>
      <c r="N53" s="295" t="s">
        <v>314</v>
      </c>
      <c r="O53" s="209"/>
      <c r="P53" s="25"/>
      <c r="Q53" s="347" t="s">
        <v>281</v>
      </c>
      <c r="R53" s="26"/>
      <c r="S53" s="27"/>
      <c r="T53" s="301"/>
      <c r="U53" s="27"/>
      <c r="V53" s="118"/>
    </row>
    <row r="54" spans="1:22" s="119" customFormat="1" ht="24.9" customHeight="1">
      <c r="A54" s="296">
        <v>5</v>
      </c>
      <c r="B54" s="207" t="s">
        <v>308</v>
      </c>
      <c r="C54" s="303" t="s">
        <v>315</v>
      </c>
      <c r="D54" s="207" t="s">
        <v>235</v>
      </c>
      <c r="E54" s="298">
        <v>1</v>
      </c>
      <c r="F54" s="207" t="s">
        <v>236</v>
      </c>
      <c r="G54" s="208"/>
      <c r="H54" s="208"/>
      <c r="I54" s="299"/>
      <c r="J54" s="218"/>
      <c r="K54" s="208">
        <v>171.9</v>
      </c>
      <c r="L54" s="208"/>
      <c r="M54" s="208" t="s">
        <v>237</v>
      </c>
      <c r="N54" s="295" t="s">
        <v>316</v>
      </c>
      <c r="O54" s="209"/>
      <c r="P54" s="25"/>
      <c r="Q54" s="347" t="s">
        <v>281</v>
      </c>
      <c r="R54" s="26" t="s">
        <v>276</v>
      </c>
      <c r="S54" s="27"/>
      <c r="T54" s="301"/>
      <c r="U54" s="27"/>
      <c r="V54" s="118"/>
    </row>
    <row r="55" spans="1:22" s="307" customFormat="1" ht="24.9" customHeight="1">
      <c r="A55" s="234" t="s">
        <v>317</v>
      </c>
      <c r="B55" s="235">
        <f>RIGHT(B54, 1)*1</f>
        <v>5</v>
      </c>
      <c r="C55" s="246" t="s">
        <v>307</v>
      </c>
      <c r="D55" s="237"/>
      <c r="E55" s="238">
        <f>SUM(E50:E54)</f>
        <v>66</v>
      </c>
      <c r="F55" s="237"/>
      <c r="G55" s="239">
        <v>515</v>
      </c>
      <c r="H55" s="239">
        <v>220</v>
      </c>
      <c r="I55" s="240">
        <v>130</v>
      </c>
      <c r="J55" s="241">
        <f>ROUND(I55*H55*G55/1000000,3)</f>
        <v>14.728999999999999</v>
      </c>
      <c r="K55" s="242">
        <f>SUM(K50:K54)</f>
        <v>3753.9066666666668</v>
      </c>
      <c r="L55" s="239">
        <f>K55+100</f>
        <v>3853.9066666666668</v>
      </c>
      <c r="M55" s="239"/>
      <c r="N55" s="243"/>
      <c r="O55" s="244"/>
      <c r="P55" s="245"/>
      <c r="Q55" s="348"/>
      <c r="R55" s="26"/>
      <c r="S55" s="304"/>
      <c r="T55" s="305"/>
      <c r="U55" s="304"/>
      <c r="V55" s="306"/>
    </row>
    <row r="56" spans="1:22" s="119" customFormat="1" ht="24.9" customHeight="1">
      <c r="A56" s="296">
        <v>1</v>
      </c>
      <c r="B56" s="207" t="s">
        <v>318</v>
      </c>
      <c r="C56" s="303" t="s">
        <v>319</v>
      </c>
      <c r="D56" s="207" t="s">
        <v>235</v>
      </c>
      <c r="E56" s="298">
        <v>12</v>
      </c>
      <c r="F56" s="207" t="s">
        <v>236</v>
      </c>
      <c r="G56" s="208"/>
      <c r="H56" s="208"/>
      <c r="I56" s="299"/>
      <c r="J56" s="218"/>
      <c r="K56" s="208">
        <v>319.8</v>
      </c>
      <c r="L56" s="208"/>
      <c r="M56" s="208" t="s">
        <v>237</v>
      </c>
      <c r="N56" s="295" t="s">
        <v>320</v>
      </c>
      <c r="O56" s="209"/>
      <c r="P56" s="25"/>
      <c r="Q56" s="347" t="s">
        <v>321</v>
      </c>
      <c r="R56" s="345" t="s">
        <v>276</v>
      </c>
      <c r="S56" s="27"/>
      <c r="T56" s="301"/>
      <c r="U56" s="27"/>
      <c r="V56" s="118"/>
    </row>
    <row r="57" spans="1:22" s="119" customFormat="1" ht="24.9" customHeight="1">
      <c r="A57" s="296">
        <v>2</v>
      </c>
      <c r="B57" s="207" t="s">
        <v>318</v>
      </c>
      <c r="C57" s="303" t="s">
        <v>322</v>
      </c>
      <c r="D57" s="207" t="s">
        <v>235</v>
      </c>
      <c r="E57" s="298">
        <v>12</v>
      </c>
      <c r="F57" s="207" t="s">
        <v>236</v>
      </c>
      <c r="G57" s="208"/>
      <c r="H57" s="208"/>
      <c r="I57" s="299"/>
      <c r="J57" s="218"/>
      <c r="K57" s="208">
        <v>616.79999999999995</v>
      </c>
      <c r="L57" s="208"/>
      <c r="M57" s="208" t="s">
        <v>237</v>
      </c>
      <c r="N57" s="295" t="s">
        <v>323</v>
      </c>
      <c r="O57" s="209"/>
      <c r="P57" s="25"/>
      <c r="Q57" s="347" t="s">
        <v>321</v>
      </c>
      <c r="R57" s="26"/>
      <c r="S57" s="27"/>
      <c r="T57" s="301"/>
      <c r="U57" s="27"/>
      <c r="V57" s="118"/>
    </row>
    <row r="58" spans="1:22" s="119" customFormat="1" ht="24.9" customHeight="1">
      <c r="A58" s="296">
        <v>3</v>
      </c>
      <c r="B58" s="207" t="s">
        <v>318</v>
      </c>
      <c r="C58" s="303" t="s">
        <v>324</v>
      </c>
      <c r="D58" s="207" t="s">
        <v>235</v>
      </c>
      <c r="E58" s="298">
        <v>7</v>
      </c>
      <c r="F58" s="207" t="s">
        <v>236</v>
      </c>
      <c r="G58" s="208"/>
      <c r="H58" s="208"/>
      <c r="I58" s="299"/>
      <c r="J58" s="218"/>
      <c r="K58" s="208">
        <v>165.1</v>
      </c>
      <c r="L58" s="208"/>
      <c r="M58" s="208" t="s">
        <v>237</v>
      </c>
      <c r="N58" s="295" t="s">
        <v>325</v>
      </c>
      <c r="O58" s="209"/>
      <c r="P58" s="25"/>
      <c r="Q58" s="347" t="s">
        <v>321</v>
      </c>
      <c r="R58" s="345" t="s">
        <v>276</v>
      </c>
      <c r="S58" s="27"/>
      <c r="T58" s="301"/>
      <c r="U58" s="27"/>
      <c r="V58" s="118"/>
    </row>
    <row r="59" spans="1:22" s="119" customFormat="1" ht="24.9" customHeight="1">
      <c r="A59" s="296">
        <v>4</v>
      </c>
      <c r="B59" s="207" t="s">
        <v>318</v>
      </c>
      <c r="C59" s="303" t="s">
        <v>326</v>
      </c>
      <c r="D59" s="207" t="s">
        <v>235</v>
      </c>
      <c r="E59" s="298">
        <v>5</v>
      </c>
      <c r="F59" s="207" t="s">
        <v>236</v>
      </c>
      <c r="G59" s="208"/>
      <c r="H59" s="208"/>
      <c r="I59" s="299"/>
      <c r="J59" s="218"/>
      <c r="K59" s="208">
        <v>448.1</v>
      </c>
      <c r="L59" s="208"/>
      <c r="M59" s="208" t="s">
        <v>237</v>
      </c>
      <c r="N59" s="295" t="s">
        <v>327</v>
      </c>
      <c r="O59" s="209"/>
      <c r="P59" s="25"/>
      <c r="Q59" s="347" t="s">
        <v>321</v>
      </c>
      <c r="R59" s="26"/>
      <c r="S59" s="27"/>
      <c r="T59" s="301"/>
      <c r="U59" s="27"/>
      <c r="V59" s="118"/>
    </row>
    <row r="60" spans="1:22" s="119" customFormat="1" ht="24.9" customHeight="1">
      <c r="A60" s="296">
        <v>5</v>
      </c>
      <c r="B60" s="207" t="s">
        <v>318</v>
      </c>
      <c r="C60" s="303" t="s">
        <v>328</v>
      </c>
      <c r="D60" s="207" t="s">
        <v>235</v>
      </c>
      <c r="E60" s="298">
        <v>1</v>
      </c>
      <c r="F60" s="207" t="s">
        <v>86</v>
      </c>
      <c r="G60" s="208"/>
      <c r="H60" s="208"/>
      <c r="I60" s="299"/>
      <c r="J60" s="218"/>
      <c r="K60" s="208">
        <v>59.1</v>
      </c>
      <c r="L60" s="208"/>
      <c r="M60" s="208" t="s">
        <v>237</v>
      </c>
      <c r="N60" s="295" t="s">
        <v>329</v>
      </c>
      <c r="O60" s="209"/>
      <c r="P60" s="25"/>
      <c r="Q60" s="347" t="s">
        <v>330</v>
      </c>
      <c r="R60" s="345" t="s">
        <v>276</v>
      </c>
      <c r="S60" s="27"/>
      <c r="T60" s="301"/>
      <c r="U60" s="27"/>
      <c r="V60" s="118"/>
    </row>
    <row r="61" spans="1:22" s="119" customFormat="1" ht="24.9" customHeight="1">
      <c r="A61" s="296">
        <v>6</v>
      </c>
      <c r="B61" s="207" t="s">
        <v>318</v>
      </c>
      <c r="C61" s="303" t="s">
        <v>331</v>
      </c>
      <c r="D61" s="207" t="s">
        <v>235</v>
      </c>
      <c r="E61" s="298">
        <v>12</v>
      </c>
      <c r="F61" s="207" t="s">
        <v>236</v>
      </c>
      <c r="G61" s="208"/>
      <c r="H61" s="208"/>
      <c r="I61" s="299"/>
      <c r="J61" s="218"/>
      <c r="K61" s="208">
        <v>576.29999999999995</v>
      </c>
      <c r="L61" s="208"/>
      <c r="M61" s="208" t="s">
        <v>237</v>
      </c>
      <c r="N61" s="295" t="s">
        <v>332</v>
      </c>
      <c r="O61" s="209"/>
      <c r="P61" s="25"/>
      <c r="Q61" s="347" t="s">
        <v>333</v>
      </c>
      <c r="R61" s="345" t="s">
        <v>276</v>
      </c>
      <c r="S61" s="27"/>
      <c r="T61" s="301"/>
      <c r="U61" s="27"/>
      <c r="V61" s="118"/>
    </row>
    <row r="62" spans="1:22" s="119" customFormat="1" ht="24.9" customHeight="1">
      <c r="A62" s="296">
        <v>7</v>
      </c>
      <c r="B62" s="207" t="s">
        <v>318</v>
      </c>
      <c r="C62" s="303" t="s">
        <v>334</v>
      </c>
      <c r="D62" s="207" t="s">
        <v>235</v>
      </c>
      <c r="E62" s="298">
        <v>1</v>
      </c>
      <c r="F62" s="207" t="s">
        <v>236</v>
      </c>
      <c r="G62" s="208"/>
      <c r="H62" s="208"/>
      <c r="I62" s="299"/>
      <c r="J62" s="218"/>
      <c r="K62" s="208">
        <v>113.9</v>
      </c>
      <c r="L62" s="208"/>
      <c r="M62" s="208" t="s">
        <v>237</v>
      </c>
      <c r="N62" s="295" t="s">
        <v>335</v>
      </c>
      <c r="O62" s="209"/>
      <c r="P62" s="25"/>
      <c r="Q62" s="347" t="s">
        <v>333</v>
      </c>
      <c r="R62" s="26"/>
      <c r="S62" s="27"/>
      <c r="T62" s="301"/>
      <c r="U62" s="27"/>
      <c r="V62" s="118"/>
    </row>
    <row r="63" spans="1:22" s="119" customFormat="1" ht="24.9" customHeight="1">
      <c r="A63" s="296">
        <v>8</v>
      </c>
      <c r="B63" s="207" t="s">
        <v>318</v>
      </c>
      <c r="C63" s="303" t="s">
        <v>336</v>
      </c>
      <c r="D63" s="207" t="s">
        <v>235</v>
      </c>
      <c r="E63" s="298">
        <v>1</v>
      </c>
      <c r="F63" s="207" t="s">
        <v>236</v>
      </c>
      <c r="G63" s="208"/>
      <c r="H63" s="208"/>
      <c r="I63" s="299"/>
      <c r="J63" s="218"/>
      <c r="K63" s="208">
        <v>113.9</v>
      </c>
      <c r="L63" s="208"/>
      <c r="M63" s="208" t="s">
        <v>237</v>
      </c>
      <c r="N63" s="295" t="s">
        <v>337</v>
      </c>
      <c r="O63" s="209"/>
      <c r="P63" s="25"/>
      <c r="Q63" s="347" t="s">
        <v>333</v>
      </c>
      <c r="R63" s="26"/>
      <c r="S63" s="27"/>
      <c r="T63" s="301"/>
      <c r="U63" s="27"/>
      <c r="V63" s="118"/>
    </row>
    <row r="64" spans="1:22" s="119" customFormat="1" ht="24.9" customHeight="1">
      <c r="A64" s="296">
        <v>9</v>
      </c>
      <c r="B64" s="207" t="s">
        <v>318</v>
      </c>
      <c r="C64" s="303" t="s">
        <v>338</v>
      </c>
      <c r="D64" s="207" t="s">
        <v>235</v>
      </c>
      <c r="E64" s="298">
        <v>4</v>
      </c>
      <c r="F64" s="207" t="s">
        <v>236</v>
      </c>
      <c r="G64" s="208"/>
      <c r="H64" s="208"/>
      <c r="I64" s="299"/>
      <c r="J64" s="218"/>
      <c r="K64" s="208">
        <v>151</v>
      </c>
      <c r="L64" s="208"/>
      <c r="M64" s="208" t="s">
        <v>237</v>
      </c>
      <c r="N64" s="295" t="s">
        <v>339</v>
      </c>
      <c r="O64" s="209"/>
      <c r="P64" s="25"/>
      <c r="Q64" s="347" t="s">
        <v>333</v>
      </c>
      <c r="R64" s="26"/>
      <c r="S64" s="27"/>
      <c r="T64" s="301"/>
      <c r="U64" s="27"/>
      <c r="V64" s="118"/>
    </row>
    <row r="65" spans="1:22" s="119" customFormat="1" ht="24.9" customHeight="1">
      <c r="A65" s="296">
        <v>10</v>
      </c>
      <c r="B65" s="207" t="s">
        <v>318</v>
      </c>
      <c r="C65" s="303" t="s">
        <v>340</v>
      </c>
      <c r="D65" s="207" t="s">
        <v>235</v>
      </c>
      <c r="E65" s="298">
        <v>12</v>
      </c>
      <c r="F65" s="207" t="s">
        <v>236</v>
      </c>
      <c r="G65" s="208"/>
      <c r="H65" s="208"/>
      <c r="I65" s="299"/>
      <c r="J65" s="218"/>
      <c r="K65" s="208">
        <v>616.79999999999995</v>
      </c>
      <c r="L65" s="208"/>
      <c r="M65" s="208" t="s">
        <v>237</v>
      </c>
      <c r="N65" s="295" t="s">
        <v>341</v>
      </c>
      <c r="O65" s="209"/>
      <c r="P65" s="25"/>
      <c r="Q65" s="347" t="s">
        <v>333</v>
      </c>
      <c r="R65" s="26"/>
      <c r="S65" s="27"/>
      <c r="T65" s="301"/>
      <c r="U65" s="27"/>
      <c r="V65" s="118"/>
    </row>
    <row r="66" spans="1:22" s="307" customFormat="1" ht="24.9" customHeight="1">
      <c r="A66" s="234" t="s">
        <v>342</v>
      </c>
      <c r="B66" s="235">
        <f>RIGHT(B65, 1)*1</f>
        <v>6</v>
      </c>
      <c r="C66" s="246" t="s">
        <v>343</v>
      </c>
      <c r="D66" s="237"/>
      <c r="E66" s="238">
        <f>SUM(E56:E65)</f>
        <v>67</v>
      </c>
      <c r="F66" s="237"/>
      <c r="G66" s="239">
        <v>290</v>
      </c>
      <c r="H66" s="239">
        <v>220</v>
      </c>
      <c r="I66" s="240">
        <v>200</v>
      </c>
      <c r="J66" s="241">
        <f>ROUND(I66*H66*G66/1000000,3)</f>
        <v>12.76</v>
      </c>
      <c r="K66" s="242">
        <f>SUM(K56:K65)</f>
        <v>3180.8</v>
      </c>
      <c r="L66" s="239">
        <f>K66+100</f>
        <v>3280.8</v>
      </c>
      <c r="M66" s="239"/>
      <c r="N66" s="243"/>
      <c r="O66" s="244"/>
      <c r="P66" s="245"/>
      <c r="Q66" s="348"/>
      <c r="R66" s="26"/>
      <c r="S66" s="304"/>
      <c r="T66" s="305"/>
      <c r="U66" s="304"/>
      <c r="V66" s="306"/>
    </row>
    <row r="67" spans="1:22" s="119" customFormat="1" ht="24.9" customHeight="1">
      <c r="A67" s="296">
        <v>1</v>
      </c>
      <c r="B67" s="207" t="s">
        <v>344</v>
      </c>
      <c r="C67" s="303" t="s">
        <v>345</v>
      </c>
      <c r="D67" s="207" t="s">
        <v>235</v>
      </c>
      <c r="E67" s="298">
        <v>12</v>
      </c>
      <c r="F67" s="207" t="s">
        <v>236</v>
      </c>
      <c r="G67" s="208"/>
      <c r="H67" s="208"/>
      <c r="I67" s="299"/>
      <c r="J67" s="218"/>
      <c r="K67" s="208">
        <v>1293</v>
      </c>
      <c r="L67" s="208"/>
      <c r="M67" s="208" t="s">
        <v>237</v>
      </c>
      <c r="N67" s="295" t="s">
        <v>346</v>
      </c>
      <c r="O67" s="209"/>
      <c r="P67" s="25"/>
      <c r="Q67" s="347" t="s">
        <v>347</v>
      </c>
      <c r="R67" s="345" t="s">
        <v>276</v>
      </c>
      <c r="S67" s="27"/>
      <c r="T67" s="301"/>
      <c r="U67" s="27"/>
      <c r="V67" s="118"/>
    </row>
    <row r="68" spans="1:22" s="119" customFormat="1" ht="24.9" customHeight="1">
      <c r="A68" s="296">
        <v>2</v>
      </c>
      <c r="B68" s="207" t="s">
        <v>344</v>
      </c>
      <c r="C68" s="303" t="s">
        <v>348</v>
      </c>
      <c r="D68" s="207" t="s">
        <v>235</v>
      </c>
      <c r="E68" s="298">
        <v>6</v>
      </c>
      <c r="F68" s="207" t="s">
        <v>236</v>
      </c>
      <c r="G68" s="208"/>
      <c r="H68" s="208"/>
      <c r="I68" s="299"/>
      <c r="J68" s="218"/>
      <c r="K68" s="208">
        <v>30</v>
      </c>
      <c r="L68" s="208"/>
      <c r="M68" s="208" t="s">
        <v>237</v>
      </c>
      <c r="N68" s="295" t="s">
        <v>346</v>
      </c>
      <c r="O68" s="209"/>
      <c r="P68" s="25"/>
      <c r="Q68" s="347" t="s">
        <v>347</v>
      </c>
      <c r="R68" s="26"/>
      <c r="S68" s="27"/>
      <c r="T68" s="301"/>
      <c r="U68" s="27"/>
      <c r="V68" s="118"/>
    </row>
    <row r="69" spans="1:22" s="307" customFormat="1" ht="24.9" customHeight="1">
      <c r="A69" s="234" t="s">
        <v>349</v>
      </c>
      <c r="B69" s="235">
        <f>RIGHT(B68, 1)*1</f>
        <v>7</v>
      </c>
      <c r="C69" s="246" t="s">
        <v>347</v>
      </c>
      <c r="D69" s="237"/>
      <c r="E69" s="238">
        <f>SUM(E67:E68)</f>
        <v>18</v>
      </c>
      <c r="F69" s="237"/>
      <c r="G69" s="239">
        <v>510</v>
      </c>
      <c r="H69" s="239">
        <v>226</v>
      </c>
      <c r="I69" s="240">
        <v>230</v>
      </c>
      <c r="J69" s="241">
        <f>ROUND(I69*H69*G69/1000000,3)</f>
        <v>26.51</v>
      </c>
      <c r="K69" s="242">
        <f>SUM(K67:K68)</f>
        <v>1323</v>
      </c>
      <c r="L69" s="239">
        <f>K69+140</f>
        <v>1463</v>
      </c>
      <c r="M69" s="239"/>
      <c r="N69" s="243"/>
      <c r="O69" s="244"/>
      <c r="P69" s="245"/>
      <c r="Q69" s="348"/>
      <c r="R69" s="26"/>
      <c r="S69" s="304"/>
      <c r="T69" s="305"/>
      <c r="U69" s="304"/>
      <c r="V69" s="306"/>
    </row>
    <row r="70" spans="1:22" s="119" customFormat="1" ht="24.9" customHeight="1">
      <c r="A70" s="296">
        <v>1</v>
      </c>
      <c r="B70" s="207" t="s">
        <v>350</v>
      </c>
      <c r="C70" s="303" t="s">
        <v>345</v>
      </c>
      <c r="D70" s="207" t="s">
        <v>235</v>
      </c>
      <c r="E70" s="298">
        <v>12</v>
      </c>
      <c r="F70" s="207" t="s">
        <v>236</v>
      </c>
      <c r="G70" s="208"/>
      <c r="H70" s="208"/>
      <c r="I70" s="299"/>
      <c r="J70" s="218"/>
      <c r="K70" s="208">
        <v>1293</v>
      </c>
      <c r="L70" s="208"/>
      <c r="M70" s="208" t="s">
        <v>237</v>
      </c>
      <c r="N70" s="295" t="s">
        <v>346</v>
      </c>
      <c r="O70" s="209"/>
      <c r="P70" s="25"/>
      <c r="Q70" s="347" t="s">
        <v>347</v>
      </c>
      <c r="R70" s="345" t="s">
        <v>276</v>
      </c>
      <c r="S70" s="27"/>
      <c r="T70" s="301"/>
      <c r="U70" s="27"/>
      <c r="V70" s="118"/>
    </row>
    <row r="71" spans="1:22" s="119" customFormat="1" ht="24.9" customHeight="1">
      <c r="A71" s="296">
        <v>2</v>
      </c>
      <c r="B71" s="207" t="s">
        <v>350</v>
      </c>
      <c r="C71" s="303" t="s">
        <v>351</v>
      </c>
      <c r="D71" s="207" t="s">
        <v>235</v>
      </c>
      <c r="E71" s="298">
        <v>12</v>
      </c>
      <c r="F71" s="207" t="s">
        <v>236</v>
      </c>
      <c r="G71" s="208"/>
      <c r="H71" s="208"/>
      <c r="I71" s="299"/>
      <c r="J71" s="218"/>
      <c r="K71" s="208">
        <f>46*2</f>
        <v>92</v>
      </c>
      <c r="L71" s="208"/>
      <c r="M71" s="208" t="s">
        <v>237</v>
      </c>
      <c r="N71" s="295" t="s">
        <v>346</v>
      </c>
      <c r="O71" s="209"/>
      <c r="P71" s="25"/>
      <c r="Q71" s="347" t="s">
        <v>347</v>
      </c>
      <c r="R71" s="26"/>
      <c r="S71" s="27"/>
      <c r="T71" s="301"/>
      <c r="U71" s="27"/>
      <c r="V71" s="118"/>
    </row>
    <row r="72" spans="1:22" s="119" customFormat="1" ht="24.9" customHeight="1">
      <c r="A72" s="296">
        <v>3</v>
      </c>
      <c r="B72" s="207" t="s">
        <v>350</v>
      </c>
      <c r="C72" s="303" t="s">
        <v>352</v>
      </c>
      <c r="D72" s="207" t="s">
        <v>235</v>
      </c>
      <c r="E72" s="298">
        <v>12</v>
      </c>
      <c r="F72" s="207" t="s">
        <v>236</v>
      </c>
      <c r="G72" s="208"/>
      <c r="H72" s="208"/>
      <c r="I72" s="299"/>
      <c r="J72" s="218"/>
      <c r="K72" s="208">
        <f>48*2</f>
        <v>96</v>
      </c>
      <c r="L72" s="208"/>
      <c r="M72" s="208" t="s">
        <v>237</v>
      </c>
      <c r="N72" s="295" t="s">
        <v>346</v>
      </c>
      <c r="O72" s="209"/>
      <c r="P72" s="25"/>
      <c r="Q72" s="347" t="s">
        <v>347</v>
      </c>
      <c r="R72" s="26"/>
      <c r="S72" s="27"/>
      <c r="T72" s="301"/>
      <c r="U72" s="27"/>
      <c r="V72" s="118"/>
    </row>
    <row r="73" spans="1:22" s="119" customFormat="1" ht="24.9" customHeight="1">
      <c r="A73" s="296">
        <v>4</v>
      </c>
      <c r="B73" s="207" t="s">
        <v>350</v>
      </c>
      <c r="C73" s="303" t="s">
        <v>353</v>
      </c>
      <c r="D73" s="207" t="s">
        <v>235</v>
      </c>
      <c r="E73" s="298">
        <v>12</v>
      </c>
      <c r="F73" s="207" t="s">
        <v>236</v>
      </c>
      <c r="G73" s="208"/>
      <c r="H73" s="208"/>
      <c r="I73" s="299"/>
      <c r="J73" s="218"/>
      <c r="K73" s="208">
        <f>60*2</f>
        <v>120</v>
      </c>
      <c r="L73" s="208"/>
      <c r="M73" s="208" t="s">
        <v>237</v>
      </c>
      <c r="N73" s="295" t="s">
        <v>346</v>
      </c>
      <c r="O73" s="209"/>
      <c r="P73" s="25"/>
      <c r="Q73" s="347" t="s">
        <v>347</v>
      </c>
      <c r="R73" s="26"/>
      <c r="S73" s="27"/>
      <c r="T73" s="301"/>
      <c r="U73" s="27"/>
      <c r="V73" s="118"/>
    </row>
    <row r="74" spans="1:22" s="119" customFormat="1" ht="24.9" customHeight="1">
      <c r="A74" s="296">
        <v>5</v>
      </c>
      <c r="B74" s="207" t="s">
        <v>350</v>
      </c>
      <c r="C74" s="303" t="s">
        <v>354</v>
      </c>
      <c r="D74" s="207" t="s">
        <v>235</v>
      </c>
      <c r="E74" s="298">
        <v>12</v>
      </c>
      <c r="F74" s="207" t="s">
        <v>236</v>
      </c>
      <c r="G74" s="208"/>
      <c r="H74" s="208"/>
      <c r="I74" s="299"/>
      <c r="J74" s="218"/>
      <c r="K74" s="208">
        <f>34*2</f>
        <v>68</v>
      </c>
      <c r="L74" s="208"/>
      <c r="M74" s="208" t="s">
        <v>237</v>
      </c>
      <c r="N74" s="295" t="s">
        <v>346</v>
      </c>
      <c r="O74" s="209"/>
      <c r="P74" s="25"/>
      <c r="Q74" s="347" t="s">
        <v>347</v>
      </c>
      <c r="R74" s="26"/>
      <c r="S74" s="27"/>
      <c r="T74" s="301"/>
      <c r="U74" s="27"/>
      <c r="V74" s="118"/>
    </row>
    <row r="75" spans="1:22" s="119" customFormat="1" ht="24.9" customHeight="1">
      <c r="A75" s="296">
        <v>6</v>
      </c>
      <c r="B75" s="207" t="s">
        <v>350</v>
      </c>
      <c r="C75" s="303" t="s">
        <v>348</v>
      </c>
      <c r="D75" s="207" t="s">
        <v>235</v>
      </c>
      <c r="E75" s="298">
        <v>6</v>
      </c>
      <c r="F75" s="207" t="s">
        <v>236</v>
      </c>
      <c r="G75" s="208"/>
      <c r="H75" s="208"/>
      <c r="I75" s="299"/>
      <c r="J75" s="218"/>
      <c r="K75" s="208">
        <v>30</v>
      </c>
      <c r="L75" s="208"/>
      <c r="M75" s="208" t="s">
        <v>237</v>
      </c>
      <c r="N75" s="295" t="s">
        <v>346</v>
      </c>
      <c r="O75" s="209"/>
      <c r="P75" s="25"/>
      <c r="Q75" s="347" t="s">
        <v>347</v>
      </c>
      <c r="R75" s="26"/>
      <c r="S75" s="27"/>
      <c r="T75" s="301"/>
      <c r="U75" s="27"/>
      <c r="V75" s="118"/>
    </row>
    <row r="76" spans="1:22" s="119" customFormat="1" ht="24.9" customHeight="1">
      <c r="A76" s="296">
        <v>7</v>
      </c>
      <c r="B76" s="207" t="s">
        <v>350</v>
      </c>
      <c r="C76" s="303" t="s">
        <v>355</v>
      </c>
      <c r="D76" s="207" t="s">
        <v>235</v>
      </c>
      <c r="E76" s="298">
        <v>12</v>
      </c>
      <c r="F76" s="207" t="s">
        <v>236</v>
      </c>
      <c r="G76" s="208"/>
      <c r="H76" s="208"/>
      <c r="I76" s="299"/>
      <c r="J76" s="218"/>
      <c r="K76" s="208">
        <v>59.3</v>
      </c>
      <c r="L76" s="208"/>
      <c r="M76" s="208" t="s">
        <v>237</v>
      </c>
      <c r="N76" s="295" t="s">
        <v>356</v>
      </c>
      <c r="O76" s="209"/>
      <c r="P76" s="25"/>
      <c r="Q76" s="347" t="s">
        <v>357</v>
      </c>
      <c r="R76" s="26"/>
      <c r="S76" s="27"/>
      <c r="T76" s="301"/>
      <c r="U76" s="27"/>
      <c r="V76" s="118"/>
    </row>
    <row r="77" spans="1:22" s="119" customFormat="1" ht="24.9" customHeight="1">
      <c r="A77" s="296">
        <v>8</v>
      </c>
      <c r="B77" s="207" t="s">
        <v>350</v>
      </c>
      <c r="C77" s="303" t="s">
        <v>358</v>
      </c>
      <c r="D77" s="207" t="s">
        <v>235</v>
      </c>
      <c r="E77" s="298">
        <v>12</v>
      </c>
      <c r="F77" s="207" t="s">
        <v>236</v>
      </c>
      <c r="G77" s="208"/>
      <c r="H77" s="208"/>
      <c r="I77" s="299"/>
      <c r="J77" s="218"/>
      <c r="K77" s="208">
        <v>44.5</v>
      </c>
      <c r="L77" s="208"/>
      <c r="M77" s="208" t="s">
        <v>237</v>
      </c>
      <c r="N77" s="295" t="s">
        <v>359</v>
      </c>
      <c r="O77" s="209"/>
      <c r="P77" s="25"/>
      <c r="Q77" s="347" t="s">
        <v>357</v>
      </c>
      <c r="R77" s="26"/>
      <c r="S77" s="27"/>
      <c r="T77" s="301"/>
      <c r="U77" s="27"/>
      <c r="V77" s="118"/>
    </row>
    <row r="78" spans="1:22" s="119" customFormat="1" ht="24.9" customHeight="1">
      <c r="A78" s="296">
        <v>9</v>
      </c>
      <c r="B78" s="207" t="s">
        <v>350</v>
      </c>
      <c r="C78" s="303" t="s">
        <v>360</v>
      </c>
      <c r="D78" s="207" t="s">
        <v>235</v>
      </c>
      <c r="E78" s="298">
        <v>12</v>
      </c>
      <c r="F78" s="207" t="s">
        <v>236</v>
      </c>
      <c r="G78" s="208"/>
      <c r="H78" s="208"/>
      <c r="I78" s="299"/>
      <c r="J78" s="218"/>
      <c r="K78" s="208">
        <v>29.7</v>
      </c>
      <c r="L78" s="208"/>
      <c r="M78" s="208" t="s">
        <v>237</v>
      </c>
      <c r="N78" s="295" t="s">
        <v>361</v>
      </c>
      <c r="O78" s="209"/>
      <c r="P78" s="25"/>
      <c r="Q78" s="347" t="s">
        <v>357</v>
      </c>
      <c r="R78" s="26"/>
      <c r="S78" s="27"/>
      <c r="T78" s="301"/>
      <c r="U78" s="27"/>
      <c r="V78" s="118"/>
    </row>
    <row r="79" spans="1:22" s="307" customFormat="1" ht="24.9" customHeight="1">
      <c r="A79" s="234" t="s">
        <v>362</v>
      </c>
      <c r="B79" s="235">
        <f>RIGHT(B78, 1)*1</f>
        <v>8</v>
      </c>
      <c r="C79" s="246" t="s">
        <v>347</v>
      </c>
      <c r="D79" s="237"/>
      <c r="E79" s="238">
        <f>SUM(E70:E78)</f>
        <v>102</v>
      </c>
      <c r="F79" s="237"/>
      <c r="G79" s="239">
        <v>611</v>
      </c>
      <c r="H79" s="239">
        <v>226</v>
      </c>
      <c r="I79" s="240">
        <v>230</v>
      </c>
      <c r="J79" s="241">
        <f>ROUND(I79*H79*G79/1000000,3)</f>
        <v>31.76</v>
      </c>
      <c r="K79" s="242">
        <f>SUM(K70:K78)</f>
        <v>1832.5</v>
      </c>
      <c r="L79" s="239">
        <f>K79+140</f>
        <v>1972.5</v>
      </c>
      <c r="M79" s="239"/>
      <c r="N79" s="243"/>
      <c r="O79" s="244"/>
      <c r="P79" s="245"/>
      <c r="Q79" s="348"/>
      <c r="R79" s="26"/>
      <c r="S79" s="304"/>
      <c r="T79" s="305"/>
      <c r="U79" s="304"/>
      <c r="V79" s="306"/>
    </row>
    <row r="80" spans="1:22" s="119" customFormat="1" ht="24.9" customHeight="1">
      <c r="A80" s="296">
        <v>1</v>
      </c>
      <c r="B80" s="207" t="s">
        <v>363</v>
      </c>
      <c r="C80" s="303" t="s">
        <v>364</v>
      </c>
      <c r="D80" s="207" t="s">
        <v>235</v>
      </c>
      <c r="E80" s="298">
        <v>24</v>
      </c>
      <c r="F80" s="207" t="s">
        <v>236</v>
      </c>
      <c r="G80" s="208"/>
      <c r="H80" s="208"/>
      <c r="I80" s="299"/>
      <c r="J80" s="218"/>
      <c r="K80" s="208">
        <f>3220.8/2</f>
        <v>1610.4</v>
      </c>
      <c r="L80" s="208"/>
      <c r="M80" s="208" t="s">
        <v>237</v>
      </c>
      <c r="N80" s="295" t="s">
        <v>365</v>
      </c>
      <c r="O80" s="209"/>
      <c r="P80" s="25"/>
      <c r="Q80" s="347" t="s">
        <v>366</v>
      </c>
      <c r="R80" s="345" t="s">
        <v>276</v>
      </c>
      <c r="S80" s="27"/>
      <c r="T80" s="301"/>
      <c r="U80" s="27"/>
      <c r="V80" s="118"/>
    </row>
    <row r="81" spans="1:22" s="119" customFormat="1" ht="24.9" customHeight="1">
      <c r="A81" s="296">
        <v>2</v>
      </c>
      <c r="B81" s="207" t="s">
        <v>363</v>
      </c>
      <c r="C81" s="303" t="s">
        <v>367</v>
      </c>
      <c r="D81" s="207" t="s">
        <v>235</v>
      </c>
      <c r="E81" s="298">
        <v>24</v>
      </c>
      <c r="F81" s="207" t="s">
        <v>236</v>
      </c>
      <c r="G81" s="208"/>
      <c r="H81" s="208"/>
      <c r="I81" s="299"/>
      <c r="J81" s="218"/>
      <c r="K81" s="208">
        <f>2.5*24</f>
        <v>60</v>
      </c>
      <c r="L81" s="208"/>
      <c r="M81" s="208" t="s">
        <v>237</v>
      </c>
      <c r="N81" s="295" t="s">
        <v>368</v>
      </c>
      <c r="O81" s="209"/>
      <c r="P81" s="25"/>
      <c r="Q81" s="347" t="s">
        <v>369</v>
      </c>
      <c r="R81" s="26"/>
      <c r="S81" s="27"/>
      <c r="T81" s="301"/>
      <c r="U81" s="27"/>
      <c r="V81" s="118"/>
    </row>
    <row r="82" spans="1:22" s="119" customFormat="1" ht="24.9" customHeight="1">
      <c r="A82" s="296">
        <v>3</v>
      </c>
      <c r="B82" s="207" t="s">
        <v>363</v>
      </c>
      <c r="C82" s="303" t="s">
        <v>370</v>
      </c>
      <c r="D82" s="207" t="s">
        <v>235</v>
      </c>
      <c r="E82" s="298">
        <v>48</v>
      </c>
      <c r="F82" s="207" t="s">
        <v>236</v>
      </c>
      <c r="G82" s="208"/>
      <c r="H82" s="208"/>
      <c r="I82" s="299"/>
      <c r="J82" s="218"/>
      <c r="K82" s="208">
        <f>270/2</f>
        <v>135</v>
      </c>
      <c r="L82" s="208"/>
      <c r="M82" s="208" t="s">
        <v>237</v>
      </c>
      <c r="N82" s="295" t="s">
        <v>371</v>
      </c>
      <c r="O82" s="209"/>
      <c r="P82" s="25"/>
      <c r="Q82" s="347" t="s">
        <v>372</v>
      </c>
      <c r="R82" s="345" t="s">
        <v>276</v>
      </c>
      <c r="S82" s="27"/>
      <c r="T82" s="301"/>
      <c r="U82" s="27"/>
      <c r="V82" s="118"/>
    </row>
    <row r="83" spans="1:22" s="307" customFormat="1" ht="24.9" customHeight="1">
      <c r="A83" s="234" t="s">
        <v>373</v>
      </c>
      <c r="B83" s="235">
        <f>RIGHT(B82, 1)*1</f>
        <v>9</v>
      </c>
      <c r="C83" s="246" t="s">
        <v>374</v>
      </c>
      <c r="D83" s="237"/>
      <c r="E83" s="238">
        <f>SUM(E80:E82)</f>
        <v>96</v>
      </c>
      <c r="F83" s="237"/>
      <c r="G83" s="239">
        <v>386</v>
      </c>
      <c r="H83" s="239">
        <v>226</v>
      </c>
      <c r="I83" s="240">
        <v>135</v>
      </c>
      <c r="J83" s="241">
        <f>ROUND(I83*H83*G83/1000000,3)</f>
        <v>11.776999999999999</v>
      </c>
      <c r="K83" s="242">
        <f>SUM(K80:K82)</f>
        <v>1805.4</v>
      </c>
      <c r="L83" s="239">
        <f>K83+120</f>
        <v>1925.4</v>
      </c>
      <c r="M83" s="239"/>
      <c r="N83" s="243"/>
      <c r="O83" s="244"/>
      <c r="P83" s="245"/>
      <c r="Q83" s="348"/>
      <c r="R83" s="26"/>
      <c r="S83" s="304"/>
      <c r="T83" s="305"/>
      <c r="U83" s="304"/>
      <c r="V83" s="306"/>
    </row>
    <row r="84" spans="1:22" s="119" customFormat="1" ht="24.9" customHeight="1">
      <c r="A84" s="296">
        <v>1</v>
      </c>
      <c r="B84" s="207" t="s">
        <v>375</v>
      </c>
      <c r="C84" s="303" t="s">
        <v>376</v>
      </c>
      <c r="D84" s="207" t="s">
        <v>235</v>
      </c>
      <c r="E84" s="298">
        <v>24</v>
      </c>
      <c r="F84" s="207" t="s">
        <v>236</v>
      </c>
      <c r="G84" s="208"/>
      <c r="H84" s="208"/>
      <c r="I84" s="299"/>
      <c r="J84" s="218"/>
      <c r="K84" s="208">
        <f>3220.8/2</f>
        <v>1610.4</v>
      </c>
      <c r="L84" s="208"/>
      <c r="M84" s="208" t="s">
        <v>237</v>
      </c>
      <c r="N84" s="295" t="s">
        <v>365</v>
      </c>
      <c r="O84" s="209"/>
      <c r="P84" s="25"/>
      <c r="Q84" s="347" t="s">
        <v>366</v>
      </c>
      <c r="R84" s="345" t="s">
        <v>276</v>
      </c>
      <c r="S84" s="27"/>
      <c r="T84" s="301"/>
      <c r="U84" s="27"/>
      <c r="V84" s="118"/>
    </row>
    <row r="85" spans="1:22" s="119" customFormat="1" ht="24.9" customHeight="1">
      <c r="A85" s="296">
        <v>2</v>
      </c>
      <c r="B85" s="207" t="s">
        <v>375</v>
      </c>
      <c r="C85" s="303" t="s">
        <v>367</v>
      </c>
      <c r="D85" s="207" t="s">
        <v>235</v>
      </c>
      <c r="E85" s="298">
        <v>24</v>
      </c>
      <c r="F85" s="207" t="s">
        <v>236</v>
      </c>
      <c r="G85" s="208"/>
      <c r="H85" s="208"/>
      <c r="I85" s="299"/>
      <c r="J85" s="218"/>
      <c r="K85" s="208">
        <f>2.5*24</f>
        <v>60</v>
      </c>
      <c r="L85" s="208"/>
      <c r="M85" s="208" t="s">
        <v>237</v>
      </c>
      <c r="N85" s="295" t="s">
        <v>368</v>
      </c>
      <c r="O85" s="209"/>
      <c r="P85" s="25"/>
      <c r="Q85" s="347" t="s">
        <v>369</v>
      </c>
      <c r="R85" s="26"/>
      <c r="S85" s="27"/>
      <c r="T85" s="301"/>
      <c r="U85" s="27"/>
      <c r="V85" s="118"/>
    </row>
    <row r="86" spans="1:22" s="119" customFormat="1" ht="24.9" customHeight="1">
      <c r="A86" s="296">
        <v>3</v>
      </c>
      <c r="B86" s="207" t="s">
        <v>375</v>
      </c>
      <c r="C86" s="303" t="s">
        <v>370</v>
      </c>
      <c r="D86" s="207" t="s">
        <v>235</v>
      </c>
      <c r="E86" s="298">
        <v>48</v>
      </c>
      <c r="F86" s="207" t="s">
        <v>236</v>
      </c>
      <c r="G86" s="208"/>
      <c r="H86" s="208"/>
      <c r="I86" s="299"/>
      <c r="J86" s="218"/>
      <c r="K86" s="208">
        <f>270/2</f>
        <v>135</v>
      </c>
      <c r="L86" s="208"/>
      <c r="M86" s="208" t="s">
        <v>237</v>
      </c>
      <c r="N86" s="295" t="s">
        <v>371</v>
      </c>
      <c r="O86" s="209"/>
      <c r="P86" s="25"/>
      <c r="Q86" s="347" t="s">
        <v>372</v>
      </c>
      <c r="R86" s="345" t="s">
        <v>276</v>
      </c>
      <c r="S86" s="27"/>
      <c r="T86" s="301"/>
      <c r="U86" s="27"/>
      <c r="V86" s="118"/>
    </row>
    <row r="87" spans="1:22" s="307" customFormat="1" ht="24.9" customHeight="1">
      <c r="A87" s="234" t="s">
        <v>377</v>
      </c>
      <c r="B87" s="235">
        <f>RIGHT(B86, 2)*1</f>
        <v>10</v>
      </c>
      <c r="C87" s="246" t="s">
        <v>374</v>
      </c>
      <c r="D87" s="237"/>
      <c r="E87" s="238">
        <f>SUM(E84:E86)</f>
        <v>96</v>
      </c>
      <c r="F87" s="237"/>
      <c r="G87" s="239">
        <v>386</v>
      </c>
      <c r="H87" s="239">
        <v>226</v>
      </c>
      <c r="I87" s="240">
        <v>135</v>
      </c>
      <c r="J87" s="241">
        <f>ROUND(I87*H87*G87/1000000,3)</f>
        <v>11.776999999999999</v>
      </c>
      <c r="K87" s="242">
        <f>SUM(K84:K86)</f>
        <v>1805.4</v>
      </c>
      <c r="L87" s="239">
        <f>K87+120</f>
        <v>1925.4</v>
      </c>
      <c r="M87" s="239"/>
      <c r="N87" s="243"/>
      <c r="O87" s="244"/>
      <c r="P87" s="245"/>
      <c r="Q87" s="348"/>
      <c r="R87" s="26"/>
      <c r="S87" s="304"/>
      <c r="T87" s="305"/>
      <c r="U87" s="304"/>
      <c r="V87" s="306"/>
    </row>
    <row r="88" spans="1:22" s="119" customFormat="1" ht="24.9" customHeight="1">
      <c r="A88" s="296">
        <v>1</v>
      </c>
      <c r="B88" s="344" t="s">
        <v>378</v>
      </c>
      <c r="C88" s="303" t="s">
        <v>379</v>
      </c>
      <c r="D88" s="207" t="s">
        <v>235</v>
      </c>
      <c r="E88" s="298">
        <v>4</v>
      </c>
      <c r="F88" s="207" t="s">
        <v>236</v>
      </c>
      <c r="G88" s="208"/>
      <c r="H88" s="208"/>
      <c r="I88" s="299"/>
      <c r="J88" s="218"/>
      <c r="K88" s="208">
        <v>3065</v>
      </c>
      <c r="L88" s="208"/>
      <c r="M88" s="208" t="s">
        <v>237</v>
      </c>
      <c r="N88" s="295" t="s">
        <v>380</v>
      </c>
      <c r="O88" s="209"/>
      <c r="P88" s="25"/>
      <c r="Q88" s="347" t="s">
        <v>381</v>
      </c>
      <c r="R88" s="345" t="s">
        <v>276</v>
      </c>
      <c r="S88" s="27"/>
      <c r="T88" s="301"/>
      <c r="U88" s="27"/>
      <c r="V88" s="118"/>
    </row>
    <row r="89" spans="1:22" s="307" customFormat="1" ht="24.9" customHeight="1">
      <c r="A89" s="234" t="s">
        <v>382</v>
      </c>
      <c r="B89" s="235">
        <f>RIGHT(B88, 2)*1</f>
        <v>11</v>
      </c>
      <c r="C89" s="246" t="s">
        <v>381</v>
      </c>
      <c r="D89" s="237"/>
      <c r="E89" s="238">
        <f>SUM(E88)</f>
        <v>4</v>
      </c>
      <c r="F89" s="237"/>
      <c r="G89" s="239">
        <v>210</v>
      </c>
      <c r="H89" s="239">
        <v>120</v>
      </c>
      <c r="I89" s="240">
        <v>110</v>
      </c>
      <c r="J89" s="241">
        <f>ROUND(I89*H89*G89/1000000,3)</f>
        <v>2.7719999999999998</v>
      </c>
      <c r="K89" s="242">
        <f>SUM(K88)</f>
        <v>3065</v>
      </c>
      <c r="L89" s="239">
        <f>K89+140</f>
        <v>3205</v>
      </c>
      <c r="M89" s="239"/>
      <c r="N89" s="243"/>
      <c r="O89" s="244"/>
      <c r="P89" s="245"/>
      <c r="Q89" s="348"/>
      <c r="R89" s="26"/>
      <c r="S89" s="304"/>
      <c r="T89" s="305"/>
      <c r="U89" s="304"/>
      <c r="V89" s="306"/>
    </row>
    <row r="90" spans="1:22" s="119" customFormat="1" ht="24.9" customHeight="1">
      <c r="A90" s="296">
        <v>1</v>
      </c>
      <c r="B90" s="344" t="s">
        <v>383</v>
      </c>
      <c r="C90" s="303" t="s">
        <v>379</v>
      </c>
      <c r="D90" s="207" t="s">
        <v>235</v>
      </c>
      <c r="E90" s="298">
        <v>4</v>
      </c>
      <c r="F90" s="207" t="s">
        <v>236</v>
      </c>
      <c r="G90" s="208"/>
      <c r="H90" s="208"/>
      <c r="I90" s="299"/>
      <c r="J90" s="218"/>
      <c r="K90" s="208">
        <v>3065</v>
      </c>
      <c r="L90" s="208"/>
      <c r="M90" s="208" t="s">
        <v>237</v>
      </c>
      <c r="N90" s="295" t="s">
        <v>380</v>
      </c>
      <c r="O90" s="209"/>
      <c r="P90" s="25"/>
      <c r="Q90" s="347" t="s">
        <v>381</v>
      </c>
      <c r="R90" s="345" t="s">
        <v>276</v>
      </c>
      <c r="S90" s="27"/>
      <c r="T90" s="301"/>
      <c r="U90" s="27"/>
      <c r="V90" s="118"/>
    </row>
    <row r="91" spans="1:22" s="307" customFormat="1" ht="24.9" customHeight="1">
      <c r="A91" s="234" t="s">
        <v>384</v>
      </c>
      <c r="B91" s="235">
        <f>RIGHT(B90, 2)*1</f>
        <v>12</v>
      </c>
      <c r="C91" s="246" t="s">
        <v>381</v>
      </c>
      <c r="D91" s="237"/>
      <c r="E91" s="238">
        <f>SUM(E90)</f>
        <v>4</v>
      </c>
      <c r="F91" s="237"/>
      <c r="G91" s="239">
        <v>210</v>
      </c>
      <c r="H91" s="239">
        <v>120</v>
      </c>
      <c r="I91" s="240">
        <v>110</v>
      </c>
      <c r="J91" s="241">
        <f>ROUND(I91*H91*G91/1000000,3)</f>
        <v>2.7719999999999998</v>
      </c>
      <c r="K91" s="242">
        <f>SUM(K90)</f>
        <v>3065</v>
      </c>
      <c r="L91" s="239">
        <f>K91+140</f>
        <v>3205</v>
      </c>
      <c r="M91" s="239"/>
      <c r="N91" s="243"/>
      <c r="O91" s="244"/>
      <c r="P91" s="245"/>
      <c r="Q91" s="348"/>
      <c r="R91" s="26"/>
      <c r="S91" s="304"/>
      <c r="T91" s="305"/>
      <c r="U91" s="304"/>
      <c r="V91" s="306"/>
    </row>
    <row r="92" spans="1:22" s="119" customFormat="1" ht="24.9" customHeight="1">
      <c r="A92" s="296">
        <v>1</v>
      </c>
      <c r="B92" s="344" t="s">
        <v>385</v>
      </c>
      <c r="C92" s="303" t="s">
        <v>379</v>
      </c>
      <c r="D92" s="207" t="s">
        <v>235</v>
      </c>
      <c r="E92" s="298">
        <v>4</v>
      </c>
      <c r="F92" s="207" t="s">
        <v>236</v>
      </c>
      <c r="G92" s="208"/>
      <c r="H92" s="208"/>
      <c r="I92" s="299"/>
      <c r="J92" s="218"/>
      <c r="K92" s="208">
        <v>3065</v>
      </c>
      <c r="L92" s="208"/>
      <c r="M92" s="208" t="s">
        <v>237</v>
      </c>
      <c r="N92" s="295" t="s">
        <v>380</v>
      </c>
      <c r="O92" s="209"/>
      <c r="P92" s="25"/>
      <c r="Q92" s="347" t="s">
        <v>381</v>
      </c>
      <c r="R92" s="345" t="s">
        <v>276</v>
      </c>
      <c r="S92" s="27"/>
      <c r="T92" s="301"/>
      <c r="U92" s="27"/>
      <c r="V92" s="118"/>
    </row>
    <row r="93" spans="1:22" s="307" customFormat="1" ht="24.9" customHeight="1">
      <c r="A93" s="234" t="s">
        <v>386</v>
      </c>
      <c r="B93" s="235">
        <f>RIGHT(B92, 2)*1</f>
        <v>13</v>
      </c>
      <c r="C93" s="246" t="s">
        <v>381</v>
      </c>
      <c r="D93" s="237"/>
      <c r="E93" s="238">
        <f>SUM(E92)</f>
        <v>4</v>
      </c>
      <c r="F93" s="237"/>
      <c r="G93" s="239">
        <v>210</v>
      </c>
      <c r="H93" s="239">
        <v>120</v>
      </c>
      <c r="I93" s="240">
        <v>110</v>
      </c>
      <c r="J93" s="241">
        <f>ROUND(I93*H93*G93/1000000,3)</f>
        <v>2.7719999999999998</v>
      </c>
      <c r="K93" s="242">
        <f>SUM(K92)</f>
        <v>3065</v>
      </c>
      <c r="L93" s="239">
        <f>K93+140</f>
        <v>3205</v>
      </c>
      <c r="M93" s="239"/>
      <c r="N93" s="243"/>
      <c r="O93" s="244"/>
      <c r="P93" s="245"/>
      <c r="Q93" s="348"/>
      <c r="R93" s="26"/>
      <c r="S93" s="304"/>
      <c r="T93" s="305"/>
      <c r="U93" s="304"/>
      <c r="V93" s="306"/>
    </row>
    <row r="94" spans="1:22" s="119" customFormat="1" ht="24.9" customHeight="1">
      <c r="A94" s="296">
        <v>1</v>
      </c>
      <c r="B94" s="207" t="s">
        <v>387</v>
      </c>
      <c r="C94" s="303" t="s">
        <v>388</v>
      </c>
      <c r="D94" s="207" t="s">
        <v>235</v>
      </c>
      <c r="E94" s="298">
        <v>24</v>
      </c>
      <c r="F94" s="207" t="s">
        <v>236</v>
      </c>
      <c r="G94" s="208"/>
      <c r="H94" s="208"/>
      <c r="I94" s="299"/>
      <c r="J94" s="218"/>
      <c r="K94" s="208">
        <v>1090.3</v>
      </c>
      <c r="L94" s="208"/>
      <c r="M94" s="208" t="s">
        <v>237</v>
      </c>
      <c r="N94" s="295" t="s">
        <v>389</v>
      </c>
      <c r="O94" s="209"/>
      <c r="P94" s="25"/>
      <c r="Q94" s="347" t="s">
        <v>390</v>
      </c>
      <c r="R94" s="345" t="s">
        <v>276</v>
      </c>
      <c r="S94" s="27"/>
      <c r="T94" s="301"/>
      <c r="U94" s="27"/>
      <c r="V94" s="118"/>
    </row>
    <row r="95" spans="1:22" s="119" customFormat="1" ht="24.9" customHeight="1">
      <c r="A95" s="296">
        <v>2</v>
      </c>
      <c r="B95" s="207" t="s">
        <v>387</v>
      </c>
      <c r="C95" s="303" t="s">
        <v>391</v>
      </c>
      <c r="D95" s="207" t="s">
        <v>235</v>
      </c>
      <c r="E95" s="298">
        <v>48</v>
      </c>
      <c r="F95" s="207" t="s">
        <v>236</v>
      </c>
      <c r="G95" s="208"/>
      <c r="H95" s="208"/>
      <c r="I95" s="299"/>
      <c r="J95" s="218"/>
      <c r="K95" s="208">
        <v>806.2</v>
      </c>
      <c r="L95" s="208"/>
      <c r="M95" s="208" t="s">
        <v>237</v>
      </c>
      <c r="N95" s="295" t="s">
        <v>392</v>
      </c>
      <c r="O95" s="209"/>
      <c r="P95" s="25"/>
      <c r="Q95" s="347" t="s">
        <v>393</v>
      </c>
      <c r="R95" s="26"/>
      <c r="S95" s="27"/>
      <c r="T95" s="301"/>
      <c r="U95" s="27"/>
      <c r="V95" s="118"/>
    </row>
    <row r="96" spans="1:22" s="119" customFormat="1" ht="24.9" customHeight="1">
      <c r="A96" s="296">
        <v>3</v>
      </c>
      <c r="B96" s="207" t="s">
        <v>387</v>
      </c>
      <c r="C96" s="303" t="s">
        <v>394</v>
      </c>
      <c r="D96" s="207" t="s">
        <v>235</v>
      </c>
      <c r="E96" s="298">
        <v>24</v>
      </c>
      <c r="F96" s="207" t="s">
        <v>236</v>
      </c>
      <c r="G96" s="208"/>
      <c r="H96" s="208"/>
      <c r="I96" s="299"/>
      <c r="J96" s="218"/>
      <c r="K96" s="208">
        <v>435.4</v>
      </c>
      <c r="L96" s="208"/>
      <c r="M96" s="208" t="s">
        <v>237</v>
      </c>
      <c r="N96" s="295" t="s">
        <v>395</v>
      </c>
      <c r="O96" s="209"/>
      <c r="P96" s="25"/>
      <c r="Q96" s="347" t="s">
        <v>297</v>
      </c>
      <c r="R96" s="345" t="s">
        <v>276</v>
      </c>
      <c r="S96" s="27"/>
      <c r="T96" s="301"/>
      <c r="U96" s="27"/>
      <c r="V96" s="118"/>
    </row>
    <row r="97" spans="1:22" s="119" customFormat="1" ht="24.9" customHeight="1">
      <c r="A97" s="296">
        <v>4</v>
      </c>
      <c r="B97" s="207" t="s">
        <v>387</v>
      </c>
      <c r="C97" s="303" t="s">
        <v>396</v>
      </c>
      <c r="D97" s="207" t="s">
        <v>235</v>
      </c>
      <c r="E97" s="298">
        <v>7</v>
      </c>
      <c r="F97" s="207" t="s">
        <v>236</v>
      </c>
      <c r="G97" s="208"/>
      <c r="H97" s="208"/>
      <c r="I97" s="299"/>
      <c r="J97" s="218"/>
      <c r="K97" s="208">
        <v>32.9</v>
      </c>
      <c r="L97" s="208"/>
      <c r="M97" s="208" t="s">
        <v>237</v>
      </c>
      <c r="N97" s="295" t="s">
        <v>397</v>
      </c>
      <c r="O97" s="209"/>
      <c r="P97" s="25"/>
      <c r="Q97" s="347" t="s">
        <v>297</v>
      </c>
      <c r="R97" s="26"/>
      <c r="S97" s="27"/>
      <c r="T97" s="301"/>
      <c r="U97" s="27"/>
      <c r="V97" s="118"/>
    </row>
    <row r="98" spans="1:22" s="119" customFormat="1" ht="24.9" customHeight="1">
      <c r="A98" s="296">
        <v>5</v>
      </c>
      <c r="B98" s="207" t="s">
        <v>387</v>
      </c>
      <c r="C98" s="303" t="s">
        <v>398</v>
      </c>
      <c r="D98" s="207" t="s">
        <v>235</v>
      </c>
      <c r="E98" s="298">
        <v>6</v>
      </c>
      <c r="F98" s="207" t="s">
        <v>236</v>
      </c>
      <c r="G98" s="208"/>
      <c r="H98" s="208"/>
      <c r="I98" s="299"/>
      <c r="J98" s="218"/>
      <c r="K98" s="208">
        <v>76.599999999999994</v>
      </c>
      <c r="L98" s="208"/>
      <c r="M98" s="208" t="s">
        <v>237</v>
      </c>
      <c r="N98" s="295" t="s">
        <v>399</v>
      </c>
      <c r="O98" s="209"/>
      <c r="P98" s="25"/>
      <c r="Q98" s="347" t="s">
        <v>297</v>
      </c>
      <c r="R98" s="26"/>
      <c r="S98" s="27"/>
      <c r="T98" s="301"/>
      <c r="U98" s="27"/>
      <c r="V98" s="118"/>
    </row>
    <row r="99" spans="1:22" s="307" customFormat="1" ht="24.9" customHeight="1">
      <c r="A99" s="234" t="s">
        <v>400</v>
      </c>
      <c r="B99" s="235">
        <f>RIGHT(B98, 2)*1</f>
        <v>14</v>
      </c>
      <c r="C99" s="246" t="s">
        <v>401</v>
      </c>
      <c r="D99" s="237"/>
      <c r="E99" s="238">
        <f>SUM(E94:E98)</f>
        <v>109</v>
      </c>
      <c r="F99" s="237"/>
      <c r="G99" s="239">
        <v>200</v>
      </c>
      <c r="H99" s="239">
        <v>220</v>
      </c>
      <c r="I99" s="240">
        <v>170</v>
      </c>
      <c r="J99" s="241">
        <f>ROUND(I99*H99*G99/1000000,3)</f>
        <v>7.48</v>
      </c>
      <c r="K99" s="242">
        <f>SUM(K94:K98)</f>
        <v>2441.4</v>
      </c>
      <c r="L99" s="239">
        <f>K99+140</f>
        <v>2581.4</v>
      </c>
      <c r="M99" s="239"/>
      <c r="N99" s="243"/>
      <c r="O99" s="244"/>
      <c r="P99" s="245"/>
      <c r="Q99" s="348"/>
      <c r="R99" s="26"/>
      <c r="S99" s="304"/>
      <c r="T99" s="305"/>
      <c r="U99" s="304"/>
      <c r="V99" s="306"/>
    </row>
    <row r="100" spans="1:22" s="119" customFormat="1" ht="24.9" customHeight="1">
      <c r="A100" s="296">
        <v>1</v>
      </c>
      <c r="B100" s="207" t="s">
        <v>402</v>
      </c>
      <c r="C100" s="303" t="s">
        <v>403</v>
      </c>
      <c r="D100" s="207" t="s">
        <v>235</v>
      </c>
      <c r="E100" s="298">
        <v>56</v>
      </c>
      <c r="F100" s="207" t="s">
        <v>236</v>
      </c>
      <c r="G100" s="208"/>
      <c r="H100" s="208"/>
      <c r="I100" s="299"/>
      <c r="J100" s="218"/>
      <c r="K100" s="208">
        <v>2060</v>
      </c>
      <c r="L100" s="208"/>
      <c r="M100" s="208" t="s">
        <v>237</v>
      </c>
      <c r="N100" s="295" t="s">
        <v>404</v>
      </c>
      <c r="O100" s="209"/>
      <c r="P100" s="25"/>
      <c r="Q100" s="347" t="s">
        <v>405</v>
      </c>
      <c r="R100" s="345" t="s">
        <v>276</v>
      </c>
      <c r="S100" s="27"/>
      <c r="T100" s="301"/>
      <c r="U100" s="27"/>
      <c r="V100" s="118"/>
    </row>
    <row r="101" spans="1:22" s="307" customFormat="1" ht="24.9" customHeight="1">
      <c r="A101" s="234" t="s">
        <v>406</v>
      </c>
      <c r="B101" s="235">
        <f>RIGHT(B100, 2)*1</f>
        <v>15</v>
      </c>
      <c r="C101" s="246" t="s">
        <v>407</v>
      </c>
      <c r="D101" s="237"/>
      <c r="E101" s="238">
        <f>SUM(E100)</f>
        <v>56</v>
      </c>
      <c r="F101" s="237"/>
      <c r="G101" s="239">
        <v>180</v>
      </c>
      <c r="H101" s="239">
        <v>120</v>
      </c>
      <c r="I101" s="240">
        <v>130</v>
      </c>
      <c r="J101" s="241">
        <f>ROUND(I101*H101*G101/1000000,3)</f>
        <v>2.8079999999999998</v>
      </c>
      <c r="K101" s="242">
        <f>SUM(K100)</f>
        <v>2060</v>
      </c>
      <c r="L101" s="239">
        <f>K101+60</f>
        <v>2120</v>
      </c>
      <c r="M101" s="239"/>
      <c r="N101" s="243"/>
      <c r="O101" s="244"/>
      <c r="P101" s="245"/>
      <c r="Q101" s="348"/>
      <c r="R101" s="26"/>
      <c r="S101" s="304"/>
      <c r="T101" s="305"/>
      <c r="U101" s="304"/>
      <c r="V101" s="306"/>
    </row>
    <row r="102" spans="1:22" s="119" customFormat="1" ht="24.9" customHeight="1">
      <c r="A102" s="296">
        <v>1</v>
      </c>
      <c r="B102" s="207" t="s">
        <v>408</v>
      </c>
      <c r="C102" s="303" t="s">
        <v>409</v>
      </c>
      <c r="D102" s="207" t="s">
        <v>235</v>
      </c>
      <c r="E102" s="298">
        <v>44</v>
      </c>
      <c r="F102" s="207" t="s">
        <v>236</v>
      </c>
      <c r="G102" s="208"/>
      <c r="H102" s="208"/>
      <c r="I102" s="299"/>
      <c r="J102" s="218"/>
      <c r="K102" s="208">
        <f>708*2</f>
        <v>1416</v>
      </c>
      <c r="L102" s="208"/>
      <c r="M102" s="208" t="s">
        <v>237</v>
      </c>
      <c r="N102" s="295" t="s">
        <v>410</v>
      </c>
      <c r="O102" s="209"/>
      <c r="P102" s="25"/>
      <c r="Q102" s="347" t="s">
        <v>405</v>
      </c>
      <c r="R102" s="345" t="s">
        <v>276</v>
      </c>
      <c r="S102" s="27"/>
      <c r="T102" s="301"/>
      <c r="U102" s="27"/>
      <c r="V102" s="118"/>
    </row>
    <row r="103" spans="1:22" s="119" customFormat="1" ht="24.9" customHeight="1">
      <c r="A103" s="296">
        <v>2</v>
      </c>
      <c r="B103" s="207" t="s">
        <v>408</v>
      </c>
      <c r="C103" s="303" t="s">
        <v>411</v>
      </c>
      <c r="D103" s="207" t="s">
        <v>235</v>
      </c>
      <c r="E103" s="298">
        <v>8</v>
      </c>
      <c r="F103" s="207" t="s">
        <v>236</v>
      </c>
      <c r="G103" s="208"/>
      <c r="H103" s="208"/>
      <c r="I103" s="299"/>
      <c r="J103" s="218"/>
      <c r="K103" s="208">
        <v>248.2</v>
      </c>
      <c r="L103" s="208"/>
      <c r="M103" s="208" t="s">
        <v>237</v>
      </c>
      <c r="N103" s="295" t="s">
        <v>412</v>
      </c>
      <c r="O103" s="209"/>
      <c r="P103" s="25"/>
      <c r="Q103" s="347" t="s">
        <v>405</v>
      </c>
      <c r="R103" s="345" t="s">
        <v>276</v>
      </c>
      <c r="S103" s="27"/>
      <c r="T103" s="301"/>
      <c r="U103" s="27"/>
      <c r="V103" s="118"/>
    </row>
    <row r="104" spans="1:22" s="119" customFormat="1" ht="24.9" customHeight="1">
      <c r="A104" s="296">
        <v>3</v>
      </c>
      <c r="B104" s="207" t="s">
        <v>408</v>
      </c>
      <c r="C104" s="303" t="s">
        <v>413</v>
      </c>
      <c r="D104" s="207" t="s">
        <v>235</v>
      </c>
      <c r="E104" s="298">
        <v>28</v>
      </c>
      <c r="F104" s="207" t="s">
        <v>236</v>
      </c>
      <c r="G104" s="208"/>
      <c r="H104" s="208"/>
      <c r="I104" s="299"/>
      <c r="J104" s="218"/>
      <c r="K104" s="208">
        <v>932.6</v>
      </c>
      <c r="L104" s="208"/>
      <c r="M104" s="208" t="s">
        <v>237</v>
      </c>
      <c r="N104" s="295" t="s">
        <v>414</v>
      </c>
      <c r="O104" s="209"/>
      <c r="P104" s="25"/>
      <c r="Q104" s="347" t="s">
        <v>405</v>
      </c>
      <c r="R104" s="26"/>
      <c r="S104" s="27"/>
      <c r="T104" s="301"/>
      <c r="U104" s="27"/>
      <c r="V104" s="118"/>
    </row>
    <row r="105" spans="1:22" s="307" customFormat="1" ht="24.9" customHeight="1">
      <c r="A105" s="234" t="s">
        <v>415</v>
      </c>
      <c r="B105" s="235">
        <f>RIGHT(B104, 2)*1</f>
        <v>16</v>
      </c>
      <c r="C105" s="246" t="s">
        <v>407</v>
      </c>
      <c r="D105" s="237"/>
      <c r="E105" s="238">
        <f>SUM(E102:E104)</f>
        <v>80</v>
      </c>
      <c r="F105" s="237"/>
      <c r="G105" s="239">
        <v>200</v>
      </c>
      <c r="H105" s="239">
        <v>180</v>
      </c>
      <c r="I105" s="240">
        <v>140</v>
      </c>
      <c r="J105" s="241">
        <f>ROUND(I105*H105*G105/1000000,3)</f>
        <v>5.04</v>
      </c>
      <c r="K105" s="242">
        <f>SUM(K102:K104)</f>
        <v>2596.8000000000002</v>
      </c>
      <c r="L105" s="239">
        <f>K105+60</f>
        <v>2656.8</v>
      </c>
      <c r="M105" s="239"/>
      <c r="N105" s="243"/>
      <c r="O105" s="244"/>
      <c r="P105" s="245"/>
      <c r="Q105" s="348"/>
      <c r="R105" s="26"/>
      <c r="S105" s="304"/>
      <c r="T105" s="305"/>
      <c r="U105" s="304"/>
      <c r="V105" s="306"/>
    </row>
    <row r="106" spans="1:22" s="119" customFormat="1" ht="24.9" customHeight="1">
      <c r="A106" s="296">
        <v>1</v>
      </c>
      <c r="B106" s="207" t="s">
        <v>416</v>
      </c>
      <c r="C106" s="303" t="s">
        <v>417</v>
      </c>
      <c r="D106" s="207" t="s">
        <v>235</v>
      </c>
      <c r="E106" s="298">
        <v>2</v>
      </c>
      <c r="F106" s="207" t="s">
        <v>236</v>
      </c>
      <c r="G106" s="208"/>
      <c r="H106" s="208"/>
      <c r="I106" s="299"/>
      <c r="J106" s="218"/>
      <c r="K106" s="208">
        <v>90.8</v>
      </c>
      <c r="L106" s="208"/>
      <c r="M106" s="208" t="s">
        <v>237</v>
      </c>
      <c r="N106" s="295" t="s">
        <v>418</v>
      </c>
      <c r="O106" s="209"/>
      <c r="P106" s="25"/>
      <c r="Q106" s="347" t="s">
        <v>419</v>
      </c>
      <c r="R106" s="345" t="s">
        <v>276</v>
      </c>
      <c r="S106" s="27"/>
      <c r="T106" s="301"/>
      <c r="U106" s="27"/>
      <c r="V106" s="118"/>
    </row>
    <row r="107" spans="1:22" s="119" customFormat="1" ht="24.9" customHeight="1">
      <c r="A107" s="296">
        <v>2</v>
      </c>
      <c r="B107" s="207" t="s">
        <v>416</v>
      </c>
      <c r="C107" s="303" t="s">
        <v>420</v>
      </c>
      <c r="D107" s="207" t="s">
        <v>235</v>
      </c>
      <c r="E107" s="298">
        <v>2</v>
      </c>
      <c r="F107" s="207" t="s">
        <v>236</v>
      </c>
      <c r="G107" s="208"/>
      <c r="H107" s="208"/>
      <c r="I107" s="299"/>
      <c r="J107" s="218"/>
      <c r="K107" s="208">
        <v>94.1</v>
      </c>
      <c r="L107" s="208"/>
      <c r="M107" s="208" t="s">
        <v>237</v>
      </c>
      <c r="N107" s="295" t="s">
        <v>421</v>
      </c>
      <c r="O107" s="209"/>
      <c r="P107" s="25"/>
      <c r="Q107" s="347" t="s">
        <v>419</v>
      </c>
      <c r="R107" s="26"/>
      <c r="S107" s="27"/>
      <c r="T107" s="301"/>
      <c r="U107" s="27"/>
      <c r="V107" s="118"/>
    </row>
    <row r="108" spans="1:22" s="119" customFormat="1" ht="24.9" customHeight="1">
      <c r="A108" s="296">
        <v>3</v>
      </c>
      <c r="B108" s="207" t="s">
        <v>416</v>
      </c>
      <c r="C108" s="308" t="s">
        <v>422</v>
      </c>
      <c r="D108" s="207" t="s">
        <v>235</v>
      </c>
      <c r="E108" s="298">
        <v>8</v>
      </c>
      <c r="F108" s="207" t="s">
        <v>236</v>
      </c>
      <c r="G108" s="208"/>
      <c r="H108" s="208"/>
      <c r="I108" s="299"/>
      <c r="J108" s="218"/>
      <c r="K108" s="208">
        <v>729.7</v>
      </c>
      <c r="L108" s="208"/>
      <c r="M108" s="208" t="s">
        <v>237</v>
      </c>
      <c r="N108" s="295" t="s">
        <v>423</v>
      </c>
      <c r="O108" s="209"/>
      <c r="P108" s="25"/>
      <c r="Q108" s="347" t="s">
        <v>419</v>
      </c>
      <c r="R108" s="26"/>
      <c r="S108" s="27"/>
      <c r="T108" s="301"/>
      <c r="U108" s="27"/>
      <c r="V108" s="118"/>
    </row>
    <row r="109" spans="1:22" s="119" customFormat="1" ht="26.4" customHeight="1">
      <c r="A109" s="296">
        <v>4</v>
      </c>
      <c r="B109" s="207" t="s">
        <v>416</v>
      </c>
      <c r="C109" s="303" t="s">
        <v>424</v>
      </c>
      <c r="D109" s="207" t="s">
        <v>235</v>
      </c>
      <c r="E109" s="298">
        <v>2</v>
      </c>
      <c r="F109" s="207" t="s">
        <v>236</v>
      </c>
      <c r="G109" s="208"/>
      <c r="H109" s="208"/>
      <c r="I109" s="299"/>
      <c r="J109" s="218"/>
      <c r="K109" s="208">
        <v>202.6</v>
      </c>
      <c r="L109" s="208"/>
      <c r="M109" s="208" t="s">
        <v>237</v>
      </c>
      <c r="N109" s="295" t="s">
        <v>425</v>
      </c>
      <c r="O109" s="209"/>
      <c r="P109" s="25"/>
      <c r="Q109" s="347" t="s">
        <v>419</v>
      </c>
      <c r="R109" s="26"/>
      <c r="S109" s="27"/>
      <c r="T109" s="301"/>
      <c r="U109" s="27"/>
      <c r="V109" s="118"/>
    </row>
    <row r="110" spans="1:22" s="119" customFormat="1" ht="24.9" customHeight="1">
      <c r="A110" s="296">
        <v>5</v>
      </c>
      <c r="B110" s="207" t="s">
        <v>416</v>
      </c>
      <c r="C110" s="303" t="s">
        <v>426</v>
      </c>
      <c r="D110" s="207" t="s">
        <v>235</v>
      </c>
      <c r="E110" s="298">
        <v>2</v>
      </c>
      <c r="F110" s="207" t="s">
        <v>236</v>
      </c>
      <c r="G110" s="208"/>
      <c r="H110" s="208"/>
      <c r="I110" s="299"/>
      <c r="J110" s="218"/>
      <c r="K110" s="208">
        <v>199.4</v>
      </c>
      <c r="L110" s="208"/>
      <c r="M110" s="208" t="s">
        <v>237</v>
      </c>
      <c r="N110" s="295" t="s">
        <v>427</v>
      </c>
      <c r="O110" s="209"/>
      <c r="P110" s="25"/>
      <c r="Q110" s="347" t="s">
        <v>419</v>
      </c>
      <c r="R110" s="26"/>
      <c r="S110" s="27"/>
      <c r="T110" s="301"/>
      <c r="U110" s="27"/>
      <c r="V110" s="118"/>
    </row>
    <row r="111" spans="1:22" s="161" customFormat="1" ht="24.9" customHeight="1">
      <c r="A111" s="234" t="s">
        <v>428</v>
      </c>
      <c r="B111" s="235">
        <f>RIGHT(B110, 2)*1</f>
        <v>17</v>
      </c>
      <c r="C111" s="246" t="s">
        <v>429</v>
      </c>
      <c r="D111" s="237"/>
      <c r="E111" s="238">
        <f>SUM(E106:E110)</f>
        <v>16</v>
      </c>
      <c r="F111" s="237"/>
      <c r="G111" s="239">
        <v>510</v>
      </c>
      <c r="H111" s="239">
        <v>160</v>
      </c>
      <c r="I111" s="240">
        <v>239</v>
      </c>
      <c r="J111" s="241">
        <f>ROUND(I111*H111*G111/1000000,3)</f>
        <v>19.501999999999999</v>
      </c>
      <c r="K111" s="242">
        <f>SUM(K106:K110)</f>
        <v>1316.6000000000001</v>
      </c>
      <c r="L111" s="239">
        <f>K111+140</f>
        <v>1456.6000000000001</v>
      </c>
      <c r="M111" s="239"/>
      <c r="N111" s="243"/>
      <c r="O111" s="244"/>
      <c r="P111" s="245"/>
      <c r="Q111" s="348"/>
      <c r="R111" s="26"/>
      <c r="S111" s="304"/>
      <c r="T111" s="305"/>
      <c r="U111" s="304"/>
      <c r="V111" s="304"/>
    </row>
    <row r="112" spans="1:22" s="119" customFormat="1" ht="24.9" customHeight="1">
      <c r="A112" s="296">
        <v>1</v>
      </c>
      <c r="B112" s="207" t="s">
        <v>430</v>
      </c>
      <c r="C112" s="303" t="s">
        <v>431</v>
      </c>
      <c r="D112" s="207" t="s">
        <v>235</v>
      </c>
      <c r="E112" s="298">
        <v>2</v>
      </c>
      <c r="F112" s="207" t="s">
        <v>236</v>
      </c>
      <c r="G112" s="208"/>
      <c r="H112" s="208"/>
      <c r="I112" s="299"/>
      <c r="J112" s="218"/>
      <c r="K112" s="208">
        <v>119.8</v>
      </c>
      <c r="L112" s="208"/>
      <c r="M112" s="208" t="s">
        <v>237</v>
      </c>
      <c r="N112" s="295" t="s">
        <v>432</v>
      </c>
      <c r="O112" s="209"/>
      <c r="P112" s="25"/>
      <c r="Q112" s="347" t="s">
        <v>419</v>
      </c>
      <c r="R112" s="26"/>
      <c r="S112" s="27"/>
      <c r="T112" s="301"/>
      <c r="U112" s="27"/>
      <c r="V112" s="118"/>
    </row>
    <row r="113" spans="1:22" s="119" customFormat="1" ht="24.9" customHeight="1">
      <c r="A113" s="296">
        <v>2</v>
      </c>
      <c r="B113" s="207" t="s">
        <v>430</v>
      </c>
      <c r="C113" s="303" t="s">
        <v>433</v>
      </c>
      <c r="D113" s="207" t="s">
        <v>235</v>
      </c>
      <c r="E113" s="298">
        <v>20</v>
      </c>
      <c r="F113" s="207" t="s">
        <v>236</v>
      </c>
      <c r="G113" s="208"/>
      <c r="H113" s="208"/>
      <c r="I113" s="299"/>
      <c r="J113" s="218"/>
      <c r="K113" s="208">
        <v>1434.9</v>
      </c>
      <c r="L113" s="208"/>
      <c r="M113" s="208" t="s">
        <v>237</v>
      </c>
      <c r="N113" s="295" t="s">
        <v>434</v>
      </c>
      <c r="O113" s="209"/>
      <c r="P113" s="25"/>
      <c r="Q113" s="347" t="s">
        <v>419</v>
      </c>
      <c r="R113" s="26"/>
      <c r="S113" s="27"/>
      <c r="T113" s="301"/>
      <c r="U113" s="27"/>
      <c r="V113" s="118"/>
    </row>
    <row r="114" spans="1:22" s="119" customFormat="1" ht="24.9" customHeight="1">
      <c r="A114" s="296">
        <v>3</v>
      </c>
      <c r="B114" s="207" t="s">
        <v>430</v>
      </c>
      <c r="C114" s="303" t="s">
        <v>435</v>
      </c>
      <c r="D114" s="207" t="s">
        <v>235</v>
      </c>
      <c r="E114" s="298">
        <v>2</v>
      </c>
      <c r="F114" s="207" t="s">
        <v>236</v>
      </c>
      <c r="G114" s="208"/>
      <c r="H114" s="208"/>
      <c r="I114" s="299"/>
      <c r="J114" s="218"/>
      <c r="K114" s="208">
        <v>116.6</v>
      </c>
      <c r="L114" s="208"/>
      <c r="M114" s="208" t="s">
        <v>237</v>
      </c>
      <c r="N114" s="295" t="s">
        <v>436</v>
      </c>
      <c r="O114" s="209"/>
      <c r="P114" s="25"/>
      <c r="Q114" s="347" t="s">
        <v>419</v>
      </c>
      <c r="R114" s="26"/>
      <c r="S114" s="27"/>
      <c r="T114" s="301"/>
      <c r="U114" s="27"/>
      <c r="V114" s="118"/>
    </row>
    <row r="115" spans="1:22" s="119" customFormat="1" ht="24.9" customHeight="1">
      <c r="A115" s="296">
        <v>4</v>
      </c>
      <c r="B115" s="207" t="s">
        <v>430</v>
      </c>
      <c r="C115" s="303" t="s">
        <v>437</v>
      </c>
      <c r="D115" s="207" t="s">
        <v>235</v>
      </c>
      <c r="E115" s="298">
        <v>2</v>
      </c>
      <c r="F115" s="207" t="s">
        <v>236</v>
      </c>
      <c r="G115" s="208"/>
      <c r="H115" s="208"/>
      <c r="I115" s="299"/>
      <c r="J115" s="218"/>
      <c r="K115" s="208">
        <v>99.7</v>
      </c>
      <c r="L115" s="208"/>
      <c r="M115" s="208" t="s">
        <v>237</v>
      </c>
      <c r="N115" s="295" t="s">
        <v>438</v>
      </c>
      <c r="O115" s="209"/>
      <c r="P115" s="25"/>
      <c r="Q115" s="347" t="s">
        <v>419</v>
      </c>
      <c r="R115" s="26"/>
      <c r="S115" s="27"/>
      <c r="T115" s="301"/>
      <c r="U115" s="27"/>
      <c r="V115" s="118"/>
    </row>
    <row r="116" spans="1:22" s="119" customFormat="1" ht="24.9" customHeight="1">
      <c r="A116" s="296">
        <v>5</v>
      </c>
      <c r="B116" s="207" t="s">
        <v>430</v>
      </c>
      <c r="C116" s="303" t="s">
        <v>439</v>
      </c>
      <c r="D116" s="207" t="s">
        <v>235</v>
      </c>
      <c r="E116" s="298">
        <v>2</v>
      </c>
      <c r="F116" s="207" t="s">
        <v>236</v>
      </c>
      <c r="G116" s="208"/>
      <c r="H116" s="208"/>
      <c r="I116" s="299"/>
      <c r="J116" s="218"/>
      <c r="K116" s="208">
        <v>97.2</v>
      </c>
      <c r="L116" s="208"/>
      <c r="M116" s="208" t="s">
        <v>237</v>
      </c>
      <c r="N116" s="295" t="s">
        <v>440</v>
      </c>
      <c r="O116" s="209"/>
      <c r="P116" s="25"/>
      <c r="Q116" s="347" t="s">
        <v>419</v>
      </c>
      <c r="R116" s="26"/>
      <c r="S116" s="27"/>
      <c r="T116" s="301"/>
      <c r="U116" s="27"/>
      <c r="V116" s="118"/>
    </row>
    <row r="117" spans="1:22" s="119" customFormat="1" ht="24.9" customHeight="1">
      <c r="A117" s="296">
        <v>6</v>
      </c>
      <c r="B117" s="207" t="s">
        <v>430</v>
      </c>
      <c r="C117" s="303" t="s">
        <v>441</v>
      </c>
      <c r="D117" s="207" t="s">
        <v>235</v>
      </c>
      <c r="E117" s="298">
        <v>2</v>
      </c>
      <c r="F117" s="207" t="s">
        <v>236</v>
      </c>
      <c r="G117" s="208"/>
      <c r="H117" s="208"/>
      <c r="I117" s="299"/>
      <c r="J117" s="218"/>
      <c r="K117" s="208">
        <v>32</v>
      </c>
      <c r="L117" s="208"/>
      <c r="M117" s="208" t="s">
        <v>237</v>
      </c>
      <c r="N117" s="295" t="s">
        <v>442</v>
      </c>
      <c r="O117" s="209"/>
      <c r="P117" s="25"/>
      <c r="Q117" s="347" t="s">
        <v>443</v>
      </c>
      <c r="R117" s="26"/>
      <c r="S117" s="27"/>
      <c r="T117" s="301"/>
      <c r="U117" s="27"/>
      <c r="V117" s="118"/>
    </row>
    <row r="118" spans="1:22" s="119" customFormat="1" ht="24.9" customHeight="1">
      <c r="A118" s="296">
        <v>7</v>
      </c>
      <c r="B118" s="207" t="s">
        <v>430</v>
      </c>
      <c r="C118" s="303" t="s">
        <v>444</v>
      </c>
      <c r="D118" s="207" t="s">
        <v>235</v>
      </c>
      <c r="E118" s="298">
        <v>2</v>
      </c>
      <c r="F118" s="207" t="s">
        <v>236</v>
      </c>
      <c r="G118" s="208"/>
      <c r="H118" s="208"/>
      <c r="I118" s="299"/>
      <c r="J118" s="218"/>
      <c r="K118" s="208">
        <v>32</v>
      </c>
      <c r="L118" s="208"/>
      <c r="M118" s="208" t="s">
        <v>237</v>
      </c>
      <c r="N118" s="295" t="s">
        <v>445</v>
      </c>
      <c r="O118" s="209"/>
      <c r="P118" s="25"/>
      <c r="Q118" s="347" t="s">
        <v>446</v>
      </c>
      <c r="R118" s="26"/>
      <c r="S118" s="27"/>
      <c r="T118" s="301"/>
      <c r="U118" s="27"/>
      <c r="V118" s="118"/>
    </row>
    <row r="119" spans="1:22" s="161" customFormat="1" ht="24.9" customHeight="1">
      <c r="A119" s="234" t="s">
        <v>447</v>
      </c>
      <c r="B119" s="235">
        <f>RIGHT(B118, 2)*1</f>
        <v>18</v>
      </c>
      <c r="C119" s="246" t="s">
        <v>448</v>
      </c>
      <c r="D119" s="237"/>
      <c r="E119" s="238">
        <f>SUM(E112:E118)</f>
        <v>32</v>
      </c>
      <c r="F119" s="237"/>
      <c r="G119" s="239">
        <v>410</v>
      </c>
      <c r="H119" s="239">
        <v>160</v>
      </c>
      <c r="I119" s="240">
        <v>189</v>
      </c>
      <c r="J119" s="241">
        <f>ROUND(I119*H119*G119/1000000,3)</f>
        <v>12.398</v>
      </c>
      <c r="K119" s="242">
        <f>SUM(K112:K118)</f>
        <v>1932.2</v>
      </c>
      <c r="L119" s="239">
        <f>K119+140</f>
        <v>2072.1999999999998</v>
      </c>
      <c r="M119" s="239"/>
      <c r="N119" s="243"/>
      <c r="O119" s="244"/>
      <c r="P119" s="245"/>
      <c r="Q119" s="348"/>
      <c r="R119" s="26"/>
      <c r="S119" s="304"/>
      <c r="T119" s="305"/>
      <c r="U119" s="304"/>
      <c r="V119" s="304"/>
    </row>
    <row r="120" spans="1:22" s="119" customFormat="1" ht="24.9" customHeight="1">
      <c r="A120" s="296">
        <v>1</v>
      </c>
      <c r="B120" s="207" t="s">
        <v>449</v>
      </c>
      <c r="C120" s="303" t="s">
        <v>450</v>
      </c>
      <c r="D120" s="207" t="s">
        <v>235</v>
      </c>
      <c r="E120" s="298">
        <v>1</v>
      </c>
      <c r="F120" s="207" t="s">
        <v>236</v>
      </c>
      <c r="G120" s="208"/>
      <c r="H120" s="208"/>
      <c r="I120" s="299"/>
      <c r="J120" s="218"/>
      <c r="K120" s="208">
        <f>262/2</f>
        <v>131</v>
      </c>
      <c r="L120" s="208"/>
      <c r="M120" s="208" t="s">
        <v>237</v>
      </c>
      <c r="N120" s="295" t="s">
        <v>451</v>
      </c>
      <c r="O120" s="209"/>
      <c r="P120" s="25"/>
      <c r="Q120" s="347" t="s">
        <v>452</v>
      </c>
      <c r="R120" s="345" t="s">
        <v>276</v>
      </c>
      <c r="S120" s="27"/>
      <c r="T120" s="301"/>
      <c r="U120" s="27"/>
      <c r="V120" s="118"/>
    </row>
    <row r="121" spans="1:22" s="119" customFormat="1" ht="24.9" customHeight="1">
      <c r="A121" s="296">
        <v>2</v>
      </c>
      <c r="B121" s="207" t="s">
        <v>449</v>
      </c>
      <c r="C121" s="303" t="s">
        <v>453</v>
      </c>
      <c r="D121" s="207" t="s">
        <v>235</v>
      </c>
      <c r="E121" s="298">
        <v>1</v>
      </c>
      <c r="F121" s="207" t="s">
        <v>236</v>
      </c>
      <c r="G121" s="208"/>
      <c r="H121" s="208"/>
      <c r="I121" s="299"/>
      <c r="J121" s="218"/>
      <c r="K121" s="208">
        <f>36/2</f>
        <v>18</v>
      </c>
      <c r="L121" s="208"/>
      <c r="M121" s="208" t="s">
        <v>237</v>
      </c>
      <c r="N121" s="295" t="s">
        <v>454</v>
      </c>
      <c r="O121" s="209"/>
      <c r="P121" s="25"/>
      <c r="Q121" s="347" t="s">
        <v>455</v>
      </c>
      <c r="R121" s="26"/>
      <c r="S121" s="27"/>
      <c r="T121" s="301"/>
      <c r="U121" s="27"/>
      <c r="V121" s="118"/>
    </row>
    <row r="122" spans="1:22" s="119" customFormat="1" ht="24.9" customHeight="1">
      <c r="A122" s="296">
        <v>3</v>
      </c>
      <c r="B122" s="207" t="s">
        <v>449</v>
      </c>
      <c r="C122" s="303" t="s">
        <v>456</v>
      </c>
      <c r="D122" s="207" t="s">
        <v>235</v>
      </c>
      <c r="E122" s="298">
        <v>1</v>
      </c>
      <c r="F122" s="207" t="s">
        <v>236</v>
      </c>
      <c r="G122" s="208"/>
      <c r="H122" s="208"/>
      <c r="I122" s="299"/>
      <c r="J122" s="218"/>
      <c r="K122" s="208">
        <f>262/2</f>
        <v>131</v>
      </c>
      <c r="L122" s="208"/>
      <c r="M122" s="208" t="s">
        <v>237</v>
      </c>
      <c r="N122" s="295" t="s">
        <v>457</v>
      </c>
      <c r="O122" s="209"/>
      <c r="P122" s="25"/>
      <c r="Q122" s="347" t="s">
        <v>458</v>
      </c>
      <c r="R122" s="345" t="s">
        <v>276</v>
      </c>
      <c r="S122" s="27"/>
      <c r="T122" s="301"/>
      <c r="U122" s="27"/>
      <c r="V122" s="118"/>
    </row>
    <row r="123" spans="1:22" s="119" customFormat="1" ht="24.9" customHeight="1">
      <c r="A123" s="296">
        <v>4</v>
      </c>
      <c r="B123" s="207" t="s">
        <v>449</v>
      </c>
      <c r="C123" s="303" t="s">
        <v>453</v>
      </c>
      <c r="D123" s="207" t="s">
        <v>235</v>
      </c>
      <c r="E123" s="298">
        <v>1</v>
      </c>
      <c r="F123" s="207" t="s">
        <v>236</v>
      </c>
      <c r="G123" s="208"/>
      <c r="H123" s="208"/>
      <c r="I123" s="299"/>
      <c r="J123" s="218"/>
      <c r="K123" s="208">
        <f>36/2</f>
        <v>18</v>
      </c>
      <c r="L123" s="208"/>
      <c r="M123" s="208" t="s">
        <v>237</v>
      </c>
      <c r="N123" s="295" t="s">
        <v>454</v>
      </c>
      <c r="O123" s="209"/>
      <c r="P123" s="25"/>
      <c r="Q123" s="347" t="s">
        <v>459</v>
      </c>
      <c r="R123" s="26"/>
      <c r="S123" s="27"/>
      <c r="T123" s="301"/>
      <c r="U123" s="27"/>
      <c r="V123" s="118"/>
    </row>
    <row r="124" spans="1:22" s="307" customFormat="1" ht="24.9" customHeight="1">
      <c r="A124" s="234" t="s">
        <v>460</v>
      </c>
      <c r="B124" s="235">
        <f>RIGHT(B123, 2)*1</f>
        <v>19</v>
      </c>
      <c r="C124" s="246" t="s">
        <v>461</v>
      </c>
      <c r="D124" s="237"/>
      <c r="E124" s="238">
        <f>SUM(E120:E123)</f>
        <v>4</v>
      </c>
      <c r="F124" s="237"/>
      <c r="G124" s="239">
        <v>536</v>
      </c>
      <c r="H124" s="239">
        <v>206</v>
      </c>
      <c r="I124" s="240">
        <v>135</v>
      </c>
      <c r="J124" s="241">
        <f>ROUND(I124*H124*G124/1000000,3)</f>
        <v>14.906000000000001</v>
      </c>
      <c r="K124" s="242">
        <f>SUM(K120:K123)</f>
        <v>298</v>
      </c>
      <c r="L124" s="239">
        <f>K124+120</f>
        <v>418</v>
      </c>
      <c r="M124" s="239"/>
      <c r="N124" s="243"/>
      <c r="O124" s="244"/>
      <c r="P124" s="245"/>
      <c r="Q124" s="348"/>
      <c r="R124" s="26"/>
      <c r="S124" s="304"/>
      <c r="T124" s="305"/>
      <c r="U124" s="304"/>
      <c r="V124" s="306"/>
    </row>
    <row r="125" spans="1:22" s="119" customFormat="1" ht="24.9" customHeight="1">
      <c r="A125" s="296">
        <v>1</v>
      </c>
      <c r="B125" s="207" t="s">
        <v>462</v>
      </c>
      <c r="C125" s="303" t="s">
        <v>450</v>
      </c>
      <c r="D125" s="207" t="s">
        <v>235</v>
      </c>
      <c r="E125" s="298">
        <v>1</v>
      </c>
      <c r="F125" s="207" t="s">
        <v>236</v>
      </c>
      <c r="G125" s="208"/>
      <c r="H125" s="208"/>
      <c r="I125" s="299"/>
      <c r="J125" s="218"/>
      <c r="K125" s="208">
        <f>262/2</f>
        <v>131</v>
      </c>
      <c r="L125" s="208"/>
      <c r="M125" s="208" t="s">
        <v>237</v>
      </c>
      <c r="N125" s="295" t="s">
        <v>451</v>
      </c>
      <c r="O125" s="209"/>
      <c r="P125" s="25"/>
      <c r="Q125" s="347" t="s">
        <v>452</v>
      </c>
      <c r="R125" s="345" t="s">
        <v>276</v>
      </c>
      <c r="S125" s="27"/>
      <c r="T125" s="301"/>
      <c r="U125" s="27"/>
      <c r="V125" s="118"/>
    </row>
    <row r="126" spans="1:22" s="119" customFormat="1" ht="24.9" customHeight="1">
      <c r="A126" s="296">
        <v>2</v>
      </c>
      <c r="B126" s="207" t="s">
        <v>462</v>
      </c>
      <c r="C126" s="303" t="s">
        <v>453</v>
      </c>
      <c r="D126" s="207" t="s">
        <v>235</v>
      </c>
      <c r="E126" s="298">
        <v>1</v>
      </c>
      <c r="F126" s="207" t="s">
        <v>236</v>
      </c>
      <c r="G126" s="208"/>
      <c r="H126" s="208"/>
      <c r="I126" s="299"/>
      <c r="J126" s="218"/>
      <c r="K126" s="208">
        <f>36/2</f>
        <v>18</v>
      </c>
      <c r="L126" s="208"/>
      <c r="M126" s="208" t="s">
        <v>237</v>
      </c>
      <c r="N126" s="295" t="s">
        <v>454</v>
      </c>
      <c r="O126" s="209"/>
      <c r="P126" s="25"/>
      <c r="Q126" s="347" t="s">
        <v>455</v>
      </c>
      <c r="R126" s="26"/>
      <c r="S126" s="27"/>
      <c r="T126" s="301"/>
      <c r="U126" s="27"/>
      <c r="V126" s="118"/>
    </row>
    <row r="127" spans="1:22" s="119" customFormat="1" ht="24.9" customHeight="1">
      <c r="A127" s="296">
        <v>3</v>
      </c>
      <c r="B127" s="207" t="s">
        <v>462</v>
      </c>
      <c r="C127" s="303" t="s">
        <v>456</v>
      </c>
      <c r="D127" s="207" t="s">
        <v>235</v>
      </c>
      <c r="E127" s="298">
        <v>1</v>
      </c>
      <c r="F127" s="207" t="s">
        <v>236</v>
      </c>
      <c r="G127" s="208"/>
      <c r="H127" s="208"/>
      <c r="I127" s="299"/>
      <c r="J127" s="218"/>
      <c r="K127" s="208">
        <f>262/2</f>
        <v>131</v>
      </c>
      <c r="L127" s="208"/>
      <c r="M127" s="208" t="s">
        <v>237</v>
      </c>
      <c r="N127" s="295" t="s">
        <v>457</v>
      </c>
      <c r="O127" s="209"/>
      <c r="P127" s="25"/>
      <c r="Q127" s="347" t="s">
        <v>458</v>
      </c>
      <c r="R127" s="345" t="s">
        <v>276</v>
      </c>
      <c r="S127" s="27"/>
      <c r="T127" s="301"/>
      <c r="U127" s="27"/>
      <c r="V127" s="118"/>
    </row>
    <row r="128" spans="1:22" s="119" customFormat="1" ht="24.9" customHeight="1">
      <c r="A128" s="296">
        <v>4</v>
      </c>
      <c r="B128" s="207" t="s">
        <v>462</v>
      </c>
      <c r="C128" s="303" t="s">
        <v>453</v>
      </c>
      <c r="D128" s="207" t="s">
        <v>235</v>
      </c>
      <c r="E128" s="298">
        <v>1</v>
      </c>
      <c r="F128" s="207" t="s">
        <v>236</v>
      </c>
      <c r="G128" s="208"/>
      <c r="H128" s="208"/>
      <c r="I128" s="299"/>
      <c r="J128" s="218"/>
      <c r="K128" s="208">
        <f>36/2</f>
        <v>18</v>
      </c>
      <c r="L128" s="208"/>
      <c r="M128" s="208" t="s">
        <v>237</v>
      </c>
      <c r="N128" s="295" t="s">
        <v>454</v>
      </c>
      <c r="O128" s="209"/>
      <c r="P128" s="25"/>
      <c r="Q128" s="347" t="s">
        <v>459</v>
      </c>
      <c r="R128" s="26"/>
      <c r="S128" s="27"/>
      <c r="T128" s="301"/>
      <c r="U128" s="27"/>
      <c r="V128" s="118"/>
    </row>
    <row r="129" spans="1:22" s="307" customFormat="1" ht="24.9" customHeight="1">
      <c r="A129" s="234" t="s">
        <v>463</v>
      </c>
      <c r="B129" s="235">
        <f>RIGHT(B128, 2)*1</f>
        <v>20</v>
      </c>
      <c r="C129" s="246" t="s">
        <v>461</v>
      </c>
      <c r="D129" s="237"/>
      <c r="E129" s="238">
        <f>SUM(E125:E128)</f>
        <v>4</v>
      </c>
      <c r="F129" s="237"/>
      <c r="G129" s="239">
        <v>536</v>
      </c>
      <c r="H129" s="239">
        <v>206</v>
      </c>
      <c r="I129" s="240">
        <v>135</v>
      </c>
      <c r="J129" s="241">
        <f>ROUND(I129*H129*G129/1000000,3)</f>
        <v>14.906000000000001</v>
      </c>
      <c r="K129" s="242">
        <f>SUM(K125:K128)</f>
        <v>298</v>
      </c>
      <c r="L129" s="239">
        <f>K129+120</f>
        <v>418</v>
      </c>
      <c r="M129" s="239"/>
      <c r="N129" s="243"/>
      <c r="O129" s="244"/>
      <c r="P129" s="245"/>
      <c r="Q129" s="348"/>
      <c r="R129" s="26"/>
      <c r="S129" s="304"/>
      <c r="T129" s="305"/>
      <c r="U129" s="304"/>
      <c r="V129" s="306"/>
    </row>
    <row r="130" spans="1:22" s="119" customFormat="1" ht="24.9" customHeight="1">
      <c r="A130" s="296">
        <v>1</v>
      </c>
      <c r="B130" s="207" t="s">
        <v>464</v>
      </c>
      <c r="C130" s="303" t="s">
        <v>465</v>
      </c>
      <c r="D130" s="207" t="s">
        <v>235</v>
      </c>
      <c r="E130" s="298">
        <v>6</v>
      </c>
      <c r="F130" s="207" t="s">
        <v>236</v>
      </c>
      <c r="G130" s="208"/>
      <c r="H130" s="208"/>
      <c r="I130" s="299"/>
      <c r="J130" s="218"/>
      <c r="K130" s="208">
        <v>1669.2</v>
      </c>
      <c r="L130" s="208"/>
      <c r="M130" s="208" t="s">
        <v>237</v>
      </c>
      <c r="N130" s="295" t="s">
        <v>466</v>
      </c>
      <c r="O130" s="209"/>
      <c r="P130" s="25"/>
      <c r="Q130" s="347" t="s">
        <v>275</v>
      </c>
      <c r="R130" s="26"/>
      <c r="S130" s="27"/>
      <c r="T130" s="301"/>
      <c r="U130" s="27"/>
      <c r="V130" s="118"/>
    </row>
    <row r="131" spans="1:22" s="119" customFormat="1" ht="24.9" customHeight="1">
      <c r="A131" s="296">
        <v>2</v>
      </c>
      <c r="B131" s="207" t="s">
        <v>464</v>
      </c>
      <c r="C131" s="303" t="s">
        <v>467</v>
      </c>
      <c r="D131" s="207" t="s">
        <v>235</v>
      </c>
      <c r="E131" s="298">
        <v>8</v>
      </c>
      <c r="F131" s="207" t="s">
        <v>236</v>
      </c>
      <c r="G131" s="208"/>
      <c r="H131" s="208"/>
      <c r="I131" s="299"/>
      <c r="J131" s="218"/>
      <c r="K131" s="208">
        <f>2556/9*8</f>
        <v>2272</v>
      </c>
      <c r="L131" s="208"/>
      <c r="M131" s="208" t="s">
        <v>237</v>
      </c>
      <c r="N131" s="295" t="s">
        <v>468</v>
      </c>
      <c r="O131" s="209"/>
      <c r="P131" s="25"/>
      <c r="Q131" s="347" t="s">
        <v>469</v>
      </c>
      <c r="R131" s="345" t="s">
        <v>276</v>
      </c>
      <c r="S131" s="27"/>
      <c r="T131" s="301"/>
      <c r="U131" s="27"/>
      <c r="V131" s="118"/>
    </row>
    <row r="132" spans="1:22" s="119" customFormat="1" ht="24.9" customHeight="1">
      <c r="A132" s="296">
        <v>3</v>
      </c>
      <c r="B132" s="207" t="s">
        <v>464</v>
      </c>
      <c r="C132" s="303" t="s">
        <v>470</v>
      </c>
      <c r="D132" s="207" t="s">
        <v>235</v>
      </c>
      <c r="E132" s="298">
        <v>1</v>
      </c>
      <c r="F132" s="207" t="s">
        <v>236</v>
      </c>
      <c r="G132" s="208"/>
      <c r="H132" s="208"/>
      <c r="I132" s="299"/>
      <c r="J132" s="218"/>
      <c r="K132" s="208">
        <v>284</v>
      </c>
      <c r="L132" s="208"/>
      <c r="M132" s="208" t="s">
        <v>237</v>
      </c>
      <c r="N132" s="295" t="s">
        <v>471</v>
      </c>
      <c r="O132" s="209"/>
      <c r="P132" s="25"/>
      <c r="Q132" s="347" t="s">
        <v>469</v>
      </c>
      <c r="R132" s="26"/>
      <c r="S132" s="27"/>
      <c r="T132" s="301"/>
      <c r="U132" s="27"/>
      <c r="V132" s="118"/>
    </row>
    <row r="133" spans="1:22" s="307" customFormat="1" ht="24.9" customHeight="1">
      <c r="A133" s="234" t="s">
        <v>472</v>
      </c>
      <c r="B133" s="235">
        <f>RIGHT(B132, 2)*1</f>
        <v>21</v>
      </c>
      <c r="C133" s="246" t="s">
        <v>473</v>
      </c>
      <c r="D133" s="237"/>
      <c r="E133" s="238">
        <f>SUM(E130:E132)</f>
        <v>15</v>
      </c>
      <c r="F133" s="237"/>
      <c r="G133" s="239">
        <v>735</v>
      </c>
      <c r="H133" s="239">
        <v>220</v>
      </c>
      <c r="I133" s="240">
        <v>200</v>
      </c>
      <c r="J133" s="241">
        <f>ROUND(I133*H133*G133/1000000,3)</f>
        <v>32.340000000000003</v>
      </c>
      <c r="K133" s="242">
        <f>SUM(K130:K132)</f>
        <v>4225.2</v>
      </c>
      <c r="L133" s="239">
        <f>K133+80</f>
        <v>4305.2</v>
      </c>
      <c r="M133" s="239"/>
      <c r="N133" s="243"/>
      <c r="O133" s="244"/>
      <c r="P133" s="245"/>
      <c r="Q133" s="348"/>
      <c r="R133" s="26"/>
      <c r="S133" s="304"/>
      <c r="T133" s="305"/>
      <c r="U133" s="304"/>
      <c r="V133" s="306"/>
    </row>
    <row r="134" spans="1:22" s="119" customFormat="1" ht="24.9" customHeight="1">
      <c r="A134" s="296">
        <v>1</v>
      </c>
      <c r="B134" s="207" t="s">
        <v>474</v>
      </c>
      <c r="C134" s="303" t="s">
        <v>475</v>
      </c>
      <c r="D134" s="207" t="s">
        <v>235</v>
      </c>
      <c r="E134" s="298">
        <v>8</v>
      </c>
      <c r="F134" s="207" t="s">
        <v>236</v>
      </c>
      <c r="G134" s="208"/>
      <c r="H134" s="208"/>
      <c r="I134" s="299"/>
      <c r="J134" s="218"/>
      <c r="K134" s="208">
        <f>2853.9/12*8</f>
        <v>1902.6000000000001</v>
      </c>
      <c r="L134" s="208"/>
      <c r="M134" s="208" t="s">
        <v>237</v>
      </c>
      <c r="N134" s="295" t="s">
        <v>476</v>
      </c>
      <c r="O134" s="209"/>
      <c r="P134" s="25"/>
      <c r="Q134" s="347" t="s">
        <v>477</v>
      </c>
      <c r="R134" s="345" t="s">
        <v>276</v>
      </c>
      <c r="S134" s="27"/>
      <c r="T134" s="301"/>
      <c r="U134" s="27"/>
      <c r="V134" s="118"/>
    </row>
    <row r="135" spans="1:22" s="119" customFormat="1" ht="24.9" customHeight="1">
      <c r="A135" s="296">
        <v>2</v>
      </c>
      <c r="B135" s="207" t="s">
        <v>474</v>
      </c>
      <c r="C135" s="303" t="s">
        <v>478</v>
      </c>
      <c r="D135" s="207" t="s">
        <v>235</v>
      </c>
      <c r="E135" s="298">
        <v>4</v>
      </c>
      <c r="F135" s="207" t="s">
        <v>236</v>
      </c>
      <c r="G135" s="208"/>
      <c r="H135" s="208"/>
      <c r="I135" s="299"/>
      <c r="J135" s="218"/>
      <c r="K135" s="208">
        <f>2837.5/12*4</f>
        <v>945.83333333333337</v>
      </c>
      <c r="L135" s="208"/>
      <c r="M135" s="208" t="s">
        <v>237</v>
      </c>
      <c r="N135" s="295" t="s">
        <v>479</v>
      </c>
      <c r="O135" s="209"/>
      <c r="P135" s="25"/>
      <c r="Q135" s="347" t="s">
        <v>477</v>
      </c>
      <c r="R135" s="345" t="s">
        <v>276</v>
      </c>
      <c r="S135" s="27"/>
      <c r="T135" s="301"/>
      <c r="U135" s="27"/>
      <c r="V135" s="118"/>
    </row>
    <row r="136" spans="1:22" s="119" customFormat="1" ht="24.9" customHeight="1">
      <c r="A136" s="296">
        <v>3</v>
      </c>
      <c r="B136" s="207" t="s">
        <v>474</v>
      </c>
      <c r="C136" s="303" t="s">
        <v>480</v>
      </c>
      <c r="D136" s="207" t="s">
        <v>235</v>
      </c>
      <c r="E136" s="298">
        <v>3</v>
      </c>
      <c r="F136" s="207" t="s">
        <v>236</v>
      </c>
      <c r="G136" s="208"/>
      <c r="H136" s="208"/>
      <c r="I136" s="299"/>
      <c r="J136" s="218"/>
      <c r="K136" s="208">
        <f>1472/6*3</f>
        <v>736</v>
      </c>
      <c r="L136" s="208"/>
      <c r="M136" s="208" t="s">
        <v>237</v>
      </c>
      <c r="N136" s="295" t="s">
        <v>481</v>
      </c>
      <c r="O136" s="209"/>
      <c r="P136" s="25"/>
      <c r="Q136" s="347" t="s">
        <v>275</v>
      </c>
      <c r="R136" s="26"/>
      <c r="S136" s="27"/>
      <c r="T136" s="301"/>
      <c r="U136" s="27"/>
      <c r="V136" s="118"/>
    </row>
    <row r="137" spans="1:22" s="119" customFormat="1" ht="24.9" customHeight="1">
      <c r="A137" s="296">
        <v>4</v>
      </c>
      <c r="B137" s="207" t="s">
        <v>474</v>
      </c>
      <c r="C137" s="303" t="s">
        <v>482</v>
      </c>
      <c r="D137" s="207" t="s">
        <v>235</v>
      </c>
      <c r="E137" s="298">
        <v>1</v>
      </c>
      <c r="F137" s="207" t="s">
        <v>236</v>
      </c>
      <c r="G137" s="208"/>
      <c r="H137" s="208"/>
      <c r="I137" s="299"/>
      <c r="J137" s="218"/>
      <c r="K137" s="208">
        <f>1472/6*1</f>
        <v>245.33333333333334</v>
      </c>
      <c r="L137" s="208"/>
      <c r="M137" s="208" t="s">
        <v>237</v>
      </c>
      <c r="N137" s="295" t="s">
        <v>483</v>
      </c>
      <c r="O137" s="209"/>
      <c r="P137" s="25"/>
      <c r="Q137" s="347" t="s">
        <v>275</v>
      </c>
      <c r="R137" s="345" t="s">
        <v>276</v>
      </c>
      <c r="S137" s="27"/>
      <c r="T137" s="301"/>
      <c r="U137" s="27"/>
      <c r="V137" s="118"/>
    </row>
    <row r="138" spans="1:22" s="119" customFormat="1" ht="24.9" customHeight="1">
      <c r="A138" s="296">
        <v>5</v>
      </c>
      <c r="B138" s="207" t="s">
        <v>474</v>
      </c>
      <c r="C138" s="303" t="s">
        <v>484</v>
      </c>
      <c r="D138" s="207" t="s">
        <v>235</v>
      </c>
      <c r="E138" s="298">
        <v>1</v>
      </c>
      <c r="F138" s="207" t="s">
        <v>236</v>
      </c>
      <c r="G138" s="208"/>
      <c r="H138" s="208"/>
      <c r="I138" s="299"/>
      <c r="J138" s="218"/>
      <c r="K138" s="208">
        <f>1472/6*1</f>
        <v>245.33333333333334</v>
      </c>
      <c r="L138" s="208"/>
      <c r="M138" s="208" t="s">
        <v>237</v>
      </c>
      <c r="N138" s="295" t="s">
        <v>485</v>
      </c>
      <c r="O138" s="209"/>
      <c r="P138" s="25"/>
      <c r="Q138" s="347" t="s">
        <v>275</v>
      </c>
      <c r="R138" s="26"/>
      <c r="S138" s="27"/>
      <c r="T138" s="301"/>
      <c r="U138" s="27"/>
      <c r="V138" s="118"/>
    </row>
    <row r="139" spans="1:22" s="119" customFormat="1" ht="24.9" customHeight="1">
      <c r="A139" s="296">
        <v>6</v>
      </c>
      <c r="B139" s="207" t="s">
        <v>474</v>
      </c>
      <c r="C139" s="303" t="s">
        <v>486</v>
      </c>
      <c r="D139" s="207" t="s">
        <v>235</v>
      </c>
      <c r="E139" s="298">
        <v>1</v>
      </c>
      <c r="F139" s="207" t="s">
        <v>236</v>
      </c>
      <c r="G139" s="208"/>
      <c r="H139" s="208"/>
      <c r="I139" s="299"/>
      <c r="J139" s="218"/>
      <c r="K139" s="208">
        <f>1472/6*1</f>
        <v>245.33333333333334</v>
      </c>
      <c r="L139" s="208"/>
      <c r="M139" s="208" t="s">
        <v>237</v>
      </c>
      <c r="N139" s="295" t="s">
        <v>487</v>
      </c>
      <c r="O139" s="209"/>
      <c r="P139" s="25"/>
      <c r="Q139" s="347" t="s">
        <v>275</v>
      </c>
      <c r="R139" s="345" t="s">
        <v>276</v>
      </c>
      <c r="S139" s="27"/>
      <c r="T139" s="301"/>
      <c r="U139" s="27"/>
      <c r="V139" s="118"/>
    </row>
    <row r="140" spans="1:22" s="307" customFormat="1" ht="24.9" customHeight="1">
      <c r="A140" s="234" t="s">
        <v>488</v>
      </c>
      <c r="B140" s="235">
        <f>RIGHT(B139, 2)*1</f>
        <v>22</v>
      </c>
      <c r="C140" s="246" t="s">
        <v>489</v>
      </c>
      <c r="D140" s="237"/>
      <c r="E140" s="238">
        <f>SUM(E134:E139)</f>
        <v>18</v>
      </c>
      <c r="F140" s="237"/>
      <c r="G140" s="239">
        <v>630</v>
      </c>
      <c r="H140" s="239">
        <v>220</v>
      </c>
      <c r="I140" s="240">
        <v>155</v>
      </c>
      <c r="J140" s="241">
        <f>ROUND(I140*H140*G140/1000000,3)</f>
        <v>21.483000000000001</v>
      </c>
      <c r="K140" s="242">
        <f>SUM(K134:K139)</f>
        <v>4320.4333333333334</v>
      </c>
      <c r="L140" s="239">
        <f>K140+80</f>
        <v>4400.4333333333334</v>
      </c>
      <c r="M140" s="239"/>
      <c r="N140" s="243"/>
      <c r="O140" s="244"/>
      <c r="P140" s="245"/>
      <c r="Q140" s="348"/>
      <c r="R140" s="26"/>
      <c r="S140" s="304"/>
      <c r="T140" s="305"/>
      <c r="U140" s="304"/>
      <c r="V140" s="306"/>
    </row>
    <row r="141" spans="1:22" s="119" customFormat="1" ht="24.9" customHeight="1">
      <c r="A141" s="296">
        <v>1</v>
      </c>
      <c r="B141" s="207" t="s">
        <v>490</v>
      </c>
      <c r="C141" s="303" t="s">
        <v>475</v>
      </c>
      <c r="D141" s="207" t="s">
        <v>235</v>
      </c>
      <c r="E141" s="298">
        <v>4</v>
      </c>
      <c r="F141" s="207" t="s">
        <v>236</v>
      </c>
      <c r="G141" s="208"/>
      <c r="H141" s="208"/>
      <c r="I141" s="299"/>
      <c r="J141" s="218"/>
      <c r="K141" s="208">
        <f>2853.9/12*4</f>
        <v>951.30000000000007</v>
      </c>
      <c r="L141" s="208"/>
      <c r="M141" s="208" t="s">
        <v>237</v>
      </c>
      <c r="N141" s="295" t="s">
        <v>476</v>
      </c>
      <c r="O141" s="209"/>
      <c r="P141" s="25"/>
      <c r="Q141" s="347" t="s">
        <v>477</v>
      </c>
      <c r="R141" s="345" t="s">
        <v>276</v>
      </c>
      <c r="S141" s="27"/>
      <c r="T141" s="301"/>
      <c r="U141" s="27"/>
      <c r="V141" s="118"/>
    </row>
    <row r="142" spans="1:22" s="119" customFormat="1" ht="24.9" customHeight="1">
      <c r="A142" s="296">
        <v>2</v>
      </c>
      <c r="B142" s="207" t="s">
        <v>490</v>
      </c>
      <c r="C142" s="303" t="s">
        <v>478</v>
      </c>
      <c r="D142" s="207" t="s">
        <v>235</v>
      </c>
      <c r="E142" s="298">
        <v>8</v>
      </c>
      <c r="F142" s="207" t="s">
        <v>236</v>
      </c>
      <c r="G142" s="208"/>
      <c r="H142" s="208"/>
      <c r="I142" s="299"/>
      <c r="J142" s="218"/>
      <c r="K142" s="208">
        <f>2837.5/12*8</f>
        <v>1891.6666666666667</v>
      </c>
      <c r="L142" s="208"/>
      <c r="M142" s="208" t="s">
        <v>237</v>
      </c>
      <c r="N142" s="295" t="s">
        <v>479</v>
      </c>
      <c r="O142" s="209"/>
      <c r="P142" s="25"/>
      <c r="Q142" s="347" t="s">
        <v>477</v>
      </c>
      <c r="R142" s="345" t="s">
        <v>276</v>
      </c>
      <c r="S142" s="27"/>
      <c r="T142" s="301"/>
      <c r="U142" s="27"/>
      <c r="V142" s="118"/>
    </row>
    <row r="143" spans="1:22" s="119" customFormat="1" ht="24.9" customHeight="1">
      <c r="A143" s="296">
        <v>3</v>
      </c>
      <c r="B143" s="207" t="s">
        <v>490</v>
      </c>
      <c r="C143" s="303" t="s">
        <v>480</v>
      </c>
      <c r="D143" s="207" t="s">
        <v>235</v>
      </c>
      <c r="E143" s="298">
        <v>3</v>
      </c>
      <c r="F143" s="207" t="s">
        <v>236</v>
      </c>
      <c r="G143" s="208"/>
      <c r="H143" s="208"/>
      <c r="I143" s="299"/>
      <c r="J143" s="218"/>
      <c r="K143" s="208">
        <f>1472/6*3</f>
        <v>736</v>
      </c>
      <c r="L143" s="208"/>
      <c r="M143" s="208" t="s">
        <v>237</v>
      </c>
      <c r="N143" s="295" t="s">
        <v>481</v>
      </c>
      <c r="O143" s="209"/>
      <c r="P143" s="25"/>
      <c r="Q143" s="347" t="s">
        <v>275</v>
      </c>
      <c r="R143" s="26"/>
      <c r="S143" s="27"/>
      <c r="T143" s="301"/>
      <c r="U143" s="27"/>
      <c r="V143" s="118"/>
    </row>
    <row r="144" spans="1:22" s="119" customFormat="1" ht="24.9" customHeight="1">
      <c r="A144" s="296">
        <v>4</v>
      </c>
      <c r="B144" s="207" t="s">
        <v>490</v>
      </c>
      <c r="C144" s="303" t="s">
        <v>482</v>
      </c>
      <c r="D144" s="207" t="s">
        <v>235</v>
      </c>
      <c r="E144" s="298">
        <v>3</v>
      </c>
      <c r="F144" s="207" t="s">
        <v>236</v>
      </c>
      <c r="G144" s="208"/>
      <c r="H144" s="208"/>
      <c r="I144" s="299"/>
      <c r="J144" s="218"/>
      <c r="K144" s="208">
        <f>1472/6*3</f>
        <v>736</v>
      </c>
      <c r="L144" s="208"/>
      <c r="M144" s="208" t="s">
        <v>237</v>
      </c>
      <c r="N144" s="295" t="s">
        <v>483</v>
      </c>
      <c r="O144" s="209"/>
      <c r="P144" s="25"/>
      <c r="Q144" s="347" t="s">
        <v>275</v>
      </c>
      <c r="R144" s="345" t="s">
        <v>276</v>
      </c>
      <c r="S144" s="27"/>
      <c r="T144" s="301"/>
      <c r="U144" s="27"/>
      <c r="V144" s="118"/>
    </row>
    <row r="145" spans="1:22" s="307" customFormat="1" ht="24.9" customHeight="1">
      <c r="A145" s="234" t="s">
        <v>491</v>
      </c>
      <c r="B145" s="235">
        <f>RIGHT(B144, 2)*1</f>
        <v>23</v>
      </c>
      <c r="C145" s="246" t="s">
        <v>489</v>
      </c>
      <c r="D145" s="237"/>
      <c r="E145" s="238">
        <f>SUM(E141:E144)</f>
        <v>18</v>
      </c>
      <c r="F145" s="237"/>
      <c r="G145" s="239">
        <v>630</v>
      </c>
      <c r="H145" s="239">
        <v>220</v>
      </c>
      <c r="I145" s="240">
        <v>155</v>
      </c>
      <c r="J145" s="241">
        <f>ROUND(I145*H145*G145/1000000,3)</f>
        <v>21.483000000000001</v>
      </c>
      <c r="K145" s="242">
        <f>SUM(K141:K144)</f>
        <v>4314.9666666666672</v>
      </c>
      <c r="L145" s="239">
        <f>K145+80</f>
        <v>4394.9666666666672</v>
      </c>
      <c r="M145" s="239"/>
      <c r="N145" s="243"/>
      <c r="O145" s="244"/>
      <c r="P145" s="245"/>
      <c r="Q145" s="348"/>
      <c r="R145" s="26"/>
      <c r="S145" s="304"/>
      <c r="T145" s="305"/>
      <c r="U145" s="304"/>
      <c r="V145" s="306"/>
    </row>
    <row r="146" spans="1:22" s="119" customFormat="1" ht="24.9" customHeight="1">
      <c r="A146" s="296">
        <v>1</v>
      </c>
      <c r="B146" s="207" t="s">
        <v>492</v>
      </c>
      <c r="C146" s="303" t="s">
        <v>493</v>
      </c>
      <c r="D146" s="207" t="s">
        <v>235</v>
      </c>
      <c r="E146" s="298">
        <v>1</v>
      </c>
      <c r="F146" s="207" t="s">
        <v>236</v>
      </c>
      <c r="G146" s="208"/>
      <c r="H146" s="208"/>
      <c r="I146" s="299"/>
      <c r="J146" s="218"/>
      <c r="K146" s="208">
        <v>492.3</v>
      </c>
      <c r="L146" s="208"/>
      <c r="M146" s="208" t="s">
        <v>237</v>
      </c>
      <c r="N146" s="295" t="s">
        <v>494</v>
      </c>
      <c r="O146" s="209"/>
      <c r="P146" s="25"/>
      <c r="Q146" s="347" t="s">
        <v>495</v>
      </c>
      <c r="R146" s="345" t="s">
        <v>276</v>
      </c>
      <c r="S146" s="27"/>
      <c r="T146" s="301"/>
      <c r="U146" s="27"/>
      <c r="V146" s="118"/>
    </row>
    <row r="147" spans="1:22" s="119" customFormat="1" ht="25.2" customHeight="1">
      <c r="A147" s="296">
        <v>2</v>
      </c>
      <c r="B147" s="207" t="s">
        <v>492</v>
      </c>
      <c r="C147" s="303" t="s">
        <v>496</v>
      </c>
      <c r="D147" s="207" t="s">
        <v>235</v>
      </c>
      <c r="E147" s="298">
        <v>4</v>
      </c>
      <c r="F147" s="207" t="s">
        <v>236</v>
      </c>
      <c r="G147" s="208"/>
      <c r="H147" s="208"/>
      <c r="I147" s="299"/>
      <c r="J147" s="218"/>
      <c r="K147" s="208">
        <v>1726.2</v>
      </c>
      <c r="L147" s="208"/>
      <c r="M147" s="208" t="s">
        <v>237</v>
      </c>
      <c r="N147" s="295" t="s">
        <v>497</v>
      </c>
      <c r="O147" s="209"/>
      <c r="P147" s="25"/>
      <c r="Q147" s="347" t="s">
        <v>495</v>
      </c>
      <c r="R147" s="26"/>
      <c r="S147" s="27"/>
      <c r="T147" s="301"/>
      <c r="U147" s="27"/>
      <c r="V147" s="118"/>
    </row>
    <row r="148" spans="1:22" s="119" customFormat="1" ht="24.9" customHeight="1">
      <c r="A148" s="296">
        <v>3</v>
      </c>
      <c r="B148" s="207" t="s">
        <v>492</v>
      </c>
      <c r="C148" s="303" t="s">
        <v>498</v>
      </c>
      <c r="D148" s="207" t="s">
        <v>235</v>
      </c>
      <c r="E148" s="298">
        <v>1</v>
      </c>
      <c r="F148" s="207" t="s">
        <v>236</v>
      </c>
      <c r="G148" s="208"/>
      <c r="H148" s="208"/>
      <c r="I148" s="299"/>
      <c r="J148" s="218"/>
      <c r="K148" s="208">
        <v>396.1</v>
      </c>
      <c r="L148" s="208"/>
      <c r="M148" s="208" t="s">
        <v>237</v>
      </c>
      <c r="N148" s="295" t="s">
        <v>499</v>
      </c>
      <c r="O148" s="209"/>
      <c r="P148" s="25"/>
      <c r="Q148" s="347" t="s">
        <v>495</v>
      </c>
      <c r="R148" s="26"/>
      <c r="S148" s="27"/>
      <c r="T148" s="301"/>
      <c r="U148" s="27"/>
      <c r="V148" s="118"/>
    </row>
    <row r="149" spans="1:22" s="119" customFormat="1" ht="24.9" customHeight="1">
      <c r="A149" s="296">
        <v>4</v>
      </c>
      <c r="B149" s="207" t="s">
        <v>492</v>
      </c>
      <c r="C149" s="303" t="s">
        <v>500</v>
      </c>
      <c r="D149" s="207" t="s">
        <v>235</v>
      </c>
      <c r="E149" s="298">
        <v>1</v>
      </c>
      <c r="F149" s="207" t="s">
        <v>236</v>
      </c>
      <c r="G149" s="208"/>
      <c r="H149" s="208"/>
      <c r="I149" s="299"/>
      <c r="J149" s="218"/>
      <c r="K149" s="208">
        <v>397.1</v>
      </c>
      <c r="L149" s="208"/>
      <c r="M149" s="208" t="s">
        <v>237</v>
      </c>
      <c r="N149" s="295" t="s">
        <v>501</v>
      </c>
      <c r="O149" s="209"/>
      <c r="P149" s="25"/>
      <c r="Q149" s="347" t="s">
        <v>495</v>
      </c>
      <c r="R149" s="26"/>
      <c r="S149" s="27"/>
      <c r="T149" s="301"/>
      <c r="U149" s="27"/>
      <c r="V149" s="118"/>
    </row>
    <row r="150" spans="1:22" s="119" customFormat="1" ht="24.9" customHeight="1">
      <c r="A150" s="296">
        <v>5</v>
      </c>
      <c r="B150" s="207" t="s">
        <v>492</v>
      </c>
      <c r="C150" s="303" t="s">
        <v>502</v>
      </c>
      <c r="D150" s="207" t="s">
        <v>235</v>
      </c>
      <c r="E150" s="298">
        <v>1</v>
      </c>
      <c r="F150" s="207" t="s">
        <v>236</v>
      </c>
      <c r="G150" s="208"/>
      <c r="H150" s="208"/>
      <c r="I150" s="299"/>
      <c r="J150" s="218"/>
      <c r="K150" s="208">
        <v>491.3</v>
      </c>
      <c r="L150" s="208"/>
      <c r="M150" s="208" t="s">
        <v>237</v>
      </c>
      <c r="N150" s="295" t="s">
        <v>503</v>
      </c>
      <c r="O150" s="209"/>
      <c r="P150" s="25"/>
      <c r="Q150" s="347" t="s">
        <v>495</v>
      </c>
      <c r="R150" s="26"/>
      <c r="S150" s="27"/>
      <c r="T150" s="301"/>
      <c r="U150" s="27"/>
      <c r="V150" s="118"/>
    </row>
    <row r="151" spans="1:22" s="307" customFormat="1" ht="24.9" customHeight="1">
      <c r="A151" s="234" t="s">
        <v>504</v>
      </c>
      <c r="B151" s="235">
        <f>RIGHT(B150, 2)*1</f>
        <v>24</v>
      </c>
      <c r="C151" s="246" t="s">
        <v>505</v>
      </c>
      <c r="D151" s="237"/>
      <c r="E151" s="238">
        <f>SUM(E146:E150)</f>
        <v>8</v>
      </c>
      <c r="F151" s="237"/>
      <c r="G151" s="239">
        <v>870</v>
      </c>
      <c r="H151" s="239">
        <v>180</v>
      </c>
      <c r="I151" s="240">
        <v>135</v>
      </c>
      <c r="J151" s="241">
        <f>ROUND(I151*H151*G151/1000000,3)</f>
        <v>21.140999999999998</v>
      </c>
      <c r="K151" s="242">
        <f>SUM(K146:K150)</f>
        <v>3503</v>
      </c>
      <c r="L151" s="239">
        <f>K151+80</f>
        <v>3583</v>
      </c>
      <c r="M151" s="239"/>
      <c r="N151" s="243"/>
      <c r="O151" s="244"/>
      <c r="P151" s="245"/>
      <c r="Q151" s="348"/>
      <c r="R151" s="26"/>
      <c r="S151" s="304"/>
      <c r="T151" s="305"/>
      <c r="U151" s="304"/>
      <c r="V151" s="306"/>
    </row>
    <row r="152" spans="1:22" s="119" customFormat="1" ht="24.9" customHeight="1">
      <c r="A152" s="296">
        <v>1</v>
      </c>
      <c r="B152" s="207" t="s">
        <v>506</v>
      </c>
      <c r="C152" s="303" t="s">
        <v>507</v>
      </c>
      <c r="D152" s="207" t="s">
        <v>235</v>
      </c>
      <c r="E152" s="298">
        <v>1</v>
      </c>
      <c r="F152" s="207" t="s">
        <v>236</v>
      </c>
      <c r="G152" s="208"/>
      <c r="H152" s="208"/>
      <c r="I152" s="299"/>
      <c r="J152" s="218"/>
      <c r="K152" s="208">
        <v>491.3</v>
      </c>
      <c r="L152" s="208"/>
      <c r="M152" s="208" t="s">
        <v>237</v>
      </c>
      <c r="N152" s="295" t="s">
        <v>508</v>
      </c>
      <c r="O152" s="209"/>
      <c r="P152" s="25"/>
      <c r="Q152" s="347" t="s">
        <v>495</v>
      </c>
      <c r="R152" s="26"/>
      <c r="S152" s="27"/>
      <c r="T152" s="301"/>
      <c r="U152" s="27"/>
      <c r="V152" s="118"/>
    </row>
    <row r="153" spans="1:22" s="119" customFormat="1" ht="24.9" customHeight="1">
      <c r="A153" s="296">
        <v>2</v>
      </c>
      <c r="B153" s="207" t="s">
        <v>506</v>
      </c>
      <c r="C153" s="303" t="s">
        <v>509</v>
      </c>
      <c r="D153" s="207" t="s">
        <v>235</v>
      </c>
      <c r="E153" s="298">
        <v>1</v>
      </c>
      <c r="F153" s="207" t="s">
        <v>236</v>
      </c>
      <c r="G153" s="208"/>
      <c r="H153" s="208"/>
      <c r="I153" s="299"/>
      <c r="J153" s="218"/>
      <c r="K153" s="208">
        <v>492.3</v>
      </c>
      <c r="L153" s="208"/>
      <c r="M153" s="208" t="s">
        <v>237</v>
      </c>
      <c r="N153" s="295" t="s">
        <v>510</v>
      </c>
      <c r="O153" s="209"/>
      <c r="P153" s="25"/>
      <c r="Q153" s="347" t="s">
        <v>495</v>
      </c>
      <c r="R153" s="345" t="s">
        <v>276</v>
      </c>
      <c r="S153" s="27"/>
      <c r="T153" s="301"/>
      <c r="U153" s="27"/>
      <c r="V153" s="118"/>
    </row>
    <row r="154" spans="1:22" s="119" customFormat="1" ht="24.9" customHeight="1">
      <c r="A154" s="296">
        <v>3</v>
      </c>
      <c r="B154" s="207" t="s">
        <v>506</v>
      </c>
      <c r="C154" s="303" t="s">
        <v>511</v>
      </c>
      <c r="D154" s="207" t="s">
        <v>235</v>
      </c>
      <c r="E154" s="298">
        <v>1</v>
      </c>
      <c r="F154" s="207" t="s">
        <v>236</v>
      </c>
      <c r="G154" s="208"/>
      <c r="H154" s="208"/>
      <c r="I154" s="299"/>
      <c r="J154" s="218"/>
      <c r="K154" s="208">
        <v>396.1</v>
      </c>
      <c r="L154" s="208"/>
      <c r="M154" s="208" t="s">
        <v>237</v>
      </c>
      <c r="N154" s="295" t="s">
        <v>512</v>
      </c>
      <c r="O154" s="209"/>
      <c r="P154" s="25"/>
      <c r="Q154" s="347" t="s">
        <v>495</v>
      </c>
      <c r="R154" s="26"/>
      <c r="S154" s="27"/>
      <c r="T154" s="301"/>
      <c r="U154" s="27"/>
      <c r="V154" s="118"/>
    </row>
    <row r="155" spans="1:22" s="119" customFormat="1" ht="24.9" customHeight="1">
      <c r="A155" s="296">
        <v>4</v>
      </c>
      <c r="B155" s="207" t="s">
        <v>506</v>
      </c>
      <c r="C155" s="303" t="s">
        <v>513</v>
      </c>
      <c r="D155" s="207" t="s">
        <v>235</v>
      </c>
      <c r="E155" s="298">
        <v>1</v>
      </c>
      <c r="F155" s="207" t="s">
        <v>236</v>
      </c>
      <c r="G155" s="208"/>
      <c r="H155" s="208"/>
      <c r="I155" s="299"/>
      <c r="J155" s="218"/>
      <c r="K155" s="208">
        <v>397.1</v>
      </c>
      <c r="L155" s="208"/>
      <c r="M155" s="208" t="s">
        <v>237</v>
      </c>
      <c r="N155" s="295" t="s">
        <v>514</v>
      </c>
      <c r="O155" s="209"/>
      <c r="P155" s="25"/>
      <c r="Q155" s="347" t="s">
        <v>495</v>
      </c>
      <c r="R155" s="26"/>
      <c r="S155" s="27"/>
      <c r="T155" s="301"/>
      <c r="U155" s="27"/>
      <c r="V155" s="118"/>
    </row>
    <row r="156" spans="1:22" s="119" customFormat="1" ht="24.9" customHeight="1">
      <c r="A156" s="296">
        <v>5</v>
      </c>
      <c r="B156" s="207" t="s">
        <v>506</v>
      </c>
      <c r="C156" s="303" t="s">
        <v>515</v>
      </c>
      <c r="D156" s="207" t="s">
        <v>235</v>
      </c>
      <c r="E156" s="298">
        <v>4</v>
      </c>
      <c r="F156" s="207" t="s">
        <v>236</v>
      </c>
      <c r="G156" s="208"/>
      <c r="H156" s="208"/>
      <c r="I156" s="299"/>
      <c r="J156" s="218"/>
      <c r="K156" s="208">
        <v>1726.2</v>
      </c>
      <c r="L156" s="208"/>
      <c r="M156" s="208" t="s">
        <v>237</v>
      </c>
      <c r="N156" s="295" t="s">
        <v>516</v>
      </c>
      <c r="O156" s="209"/>
      <c r="P156" s="25"/>
      <c r="Q156" s="347" t="s">
        <v>495</v>
      </c>
      <c r="R156" s="26"/>
      <c r="S156" s="27"/>
      <c r="T156" s="301"/>
      <c r="U156" s="27"/>
      <c r="V156" s="118"/>
    </row>
    <row r="157" spans="1:22" s="307" customFormat="1" ht="24.9" customHeight="1">
      <c r="A157" s="234" t="s">
        <v>517</v>
      </c>
      <c r="B157" s="235">
        <f>RIGHT(B156, 2)*1</f>
        <v>25</v>
      </c>
      <c r="C157" s="246" t="s">
        <v>505</v>
      </c>
      <c r="D157" s="237"/>
      <c r="E157" s="238">
        <f>SUM(E152:E156)</f>
        <v>8</v>
      </c>
      <c r="F157" s="237"/>
      <c r="G157" s="239">
        <v>870</v>
      </c>
      <c r="H157" s="239">
        <v>180</v>
      </c>
      <c r="I157" s="240">
        <v>135</v>
      </c>
      <c r="J157" s="241">
        <f>ROUND(I157*H157*G157/1000000,3)</f>
        <v>21.140999999999998</v>
      </c>
      <c r="K157" s="242">
        <f>SUM(K152:K156)</f>
        <v>3503</v>
      </c>
      <c r="L157" s="239">
        <f>K157+80</f>
        <v>3583</v>
      </c>
      <c r="M157" s="239"/>
      <c r="N157" s="243"/>
      <c r="O157" s="244"/>
      <c r="P157" s="245"/>
      <c r="Q157" s="348"/>
      <c r="R157" s="26"/>
      <c r="S157" s="304"/>
      <c r="T157" s="305"/>
      <c r="U157" s="304"/>
      <c r="V157" s="306"/>
    </row>
    <row r="158" spans="1:22" s="119" customFormat="1" ht="24.9" customHeight="1">
      <c r="A158" s="296">
        <v>1</v>
      </c>
      <c r="B158" s="207" t="s">
        <v>518</v>
      </c>
      <c r="C158" s="303" t="s">
        <v>519</v>
      </c>
      <c r="D158" s="207" t="s">
        <v>235</v>
      </c>
      <c r="E158" s="298">
        <v>3</v>
      </c>
      <c r="F158" s="207" t="s">
        <v>236</v>
      </c>
      <c r="G158" s="208"/>
      <c r="H158" s="208"/>
      <c r="I158" s="299"/>
      <c r="J158" s="218"/>
      <c r="K158" s="208">
        <f>1882.2/6*3</f>
        <v>941.09999999999991</v>
      </c>
      <c r="L158" s="208"/>
      <c r="M158" s="208" t="s">
        <v>237</v>
      </c>
      <c r="N158" s="295" t="s">
        <v>520</v>
      </c>
      <c r="O158" s="209"/>
      <c r="P158" s="25"/>
      <c r="Q158" s="347" t="s">
        <v>275</v>
      </c>
      <c r="R158" s="345" t="s">
        <v>276</v>
      </c>
      <c r="S158" s="27"/>
      <c r="T158" s="301"/>
      <c r="U158" s="27"/>
      <c r="V158" s="118"/>
    </row>
    <row r="159" spans="1:22" s="119" customFormat="1" ht="24.9" customHeight="1">
      <c r="A159" s="296">
        <v>2</v>
      </c>
      <c r="B159" s="207" t="s">
        <v>518</v>
      </c>
      <c r="C159" s="303" t="s">
        <v>521</v>
      </c>
      <c r="D159" s="207" t="s">
        <v>235</v>
      </c>
      <c r="E159" s="298">
        <v>3</v>
      </c>
      <c r="F159" s="207" t="s">
        <v>236</v>
      </c>
      <c r="G159" s="208"/>
      <c r="H159" s="208"/>
      <c r="I159" s="299"/>
      <c r="J159" s="218"/>
      <c r="K159" s="208">
        <f>1882.2/6*3</f>
        <v>941.09999999999991</v>
      </c>
      <c r="L159" s="208"/>
      <c r="M159" s="208" t="s">
        <v>237</v>
      </c>
      <c r="N159" s="295" t="s">
        <v>522</v>
      </c>
      <c r="O159" s="209"/>
      <c r="P159" s="25"/>
      <c r="Q159" s="347" t="s">
        <v>275</v>
      </c>
      <c r="R159" s="26"/>
      <c r="S159" s="27"/>
      <c r="T159" s="301"/>
      <c r="U159" s="27"/>
      <c r="V159" s="118"/>
    </row>
    <row r="160" spans="1:22" s="119" customFormat="1" ht="24.9" customHeight="1">
      <c r="A160" s="296">
        <v>3</v>
      </c>
      <c r="B160" s="207" t="s">
        <v>518</v>
      </c>
      <c r="C160" s="303" t="s">
        <v>467</v>
      </c>
      <c r="D160" s="207" t="s">
        <v>235</v>
      </c>
      <c r="E160" s="298">
        <v>3</v>
      </c>
      <c r="F160" s="207" t="s">
        <v>236</v>
      </c>
      <c r="G160" s="208"/>
      <c r="H160" s="208"/>
      <c r="I160" s="299"/>
      <c r="J160" s="218"/>
      <c r="K160" s="309">
        <f>568/2*3</f>
        <v>852</v>
      </c>
      <c r="L160" s="208"/>
      <c r="M160" s="208" t="s">
        <v>237</v>
      </c>
      <c r="N160" s="295" t="s">
        <v>468</v>
      </c>
      <c r="O160" s="209"/>
      <c r="P160" s="25"/>
      <c r="Q160" s="347" t="s">
        <v>469</v>
      </c>
      <c r="R160" s="345" t="s">
        <v>276</v>
      </c>
      <c r="S160" s="27"/>
      <c r="T160" s="301"/>
      <c r="U160" s="27"/>
      <c r="V160" s="118"/>
    </row>
    <row r="161" spans="1:22" s="119" customFormat="1" ht="24.9" customHeight="1">
      <c r="A161" s="296">
        <v>4</v>
      </c>
      <c r="B161" s="207" t="s">
        <v>518</v>
      </c>
      <c r="C161" s="303" t="s">
        <v>523</v>
      </c>
      <c r="D161" s="207" t="s">
        <v>235</v>
      </c>
      <c r="E161" s="298">
        <v>1</v>
      </c>
      <c r="F161" s="207" t="s">
        <v>236</v>
      </c>
      <c r="G161" s="208"/>
      <c r="H161" s="208"/>
      <c r="I161" s="299"/>
      <c r="J161" s="218"/>
      <c r="K161" s="208">
        <v>309.8</v>
      </c>
      <c r="L161" s="208"/>
      <c r="M161" s="208" t="s">
        <v>237</v>
      </c>
      <c r="N161" s="295" t="s">
        <v>524</v>
      </c>
      <c r="O161" s="209"/>
      <c r="P161" s="25"/>
      <c r="Q161" s="347" t="s">
        <v>469</v>
      </c>
      <c r="R161" s="26"/>
      <c r="S161" s="27"/>
      <c r="T161" s="301"/>
      <c r="U161" s="27"/>
      <c r="V161" s="118"/>
    </row>
    <row r="162" spans="1:22" s="119" customFormat="1" ht="24.9" customHeight="1">
      <c r="A162" s="296">
        <v>5</v>
      </c>
      <c r="B162" s="207" t="s">
        <v>518</v>
      </c>
      <c r="C162" s="303" t="s">
        <v>525</v>
      </c>
      <c r="D162" s="207" t="s">
        <v>235</v>
      </c>
      <c r="E162" s="298">
        <v>1</v>
      </c>
      <c r="F162" s="207" t="s">
        <v>236</v>
      </c>
      <c r="G162" s="208"/>
      <c r="H162" s="208"/>
      <c r="I162" s="299"/>
      <c r="J162" s="218"/>
      <c r="K162" s="208">
        <v>308.60000000000002</v>
      </c>
      <c r="L162" s="208"/>
      <c r="M162" s="208" t="s">
        <v>237</v>
      </c>
      <c r="N162" s="295" t="s">
        <v>526</v>
      </c>
      <c r="O162" s="209"/>
      <c r="P162" s="25"/>
      <c r="Q162" s="347" t="s">
        <v>469</v>
      </c>
      <c r="R162" s="26"/>
      <c r="S162" s="27"/>
      <c r="T162" s="301"/>
      <c r="U162" s="27"/>
      <c r="V162" s="118"/>
    </row>
    <row r="163" spans="1:22" s="119" customFormat="1" ht="24.9" customHeight="1">
      <c r="A163" s="296">
        <v>6</v>
      </c>
      <c r="B163" s="207" t="s">
        <v>518</v>
      </c>
      <c r="C163" s="303" t="s">
        <v>527</v>
      </c>
      <c r="D163" s="207" t="s">
        <v>235</v>
      </c>
      <c r="E163" s="298">
        <v>1</v>
      </c>
      <c r="F163" s="207" t="s">
        <v>236</v>
      </c>
      <c r="G163" s="208"/>
      <c r="H163" s="208"/>
      <c r="I163" s="299"/>
      <c r="J163" s="218"/>
      <c r="K163" s="208">
        <v>310.7</v>
      </c>
      <c r="L163" s="208"/>
      <c r="M163" s="208" t="s">
        <v>237</v>
      </c>
      <c r="N163" s="295" t="s">
        <v>528</v>
      </c>
      <c r="O163" s="209"/>
      <c r="P163" s="25"/>
      <c r="Q163" s="347" t="s">
        <v>469</v>
      </c>
      <c r="R163" s="26"/>
      <c r="S163" s="27"/>
      <c r="T163" s="301"/>
      <c r="U163" s="27"/>
      <c r="V163" s="118"/>
    </row>
    <row r="164" spans="1:22" s="119" customFormat="1" ht="24.9" customHeight="1">
      <c r="A164" s="296">
        <v>7</v>
      </c>
      <c r="B164" s="207" t="s">
        <v>518</v>
      </c>
      <c r="C164" s="303" t="s">
        <v>529</v>
      </c>
      <c r="D164" s="207" t="s">
        <v>235</v>
      </c>
      <c r="E164" s="298">
        <v>1</v>
      </c>
      <c r="F164" s="207" t="s">
        <v>236</v>
      </c>
      <c r="G164" s="208"/>
      <c r="H164" s="208"/>
      <c r="I164" s="299"/>
      <c r="J164" s="218"/>
      <c r="K164" s="208">
        <v>312.10000000000002</v>
      </c>
      <c r="L164" s="208"/>
      <c r="M164" s="208" t="s">
        <v>237</v>
      </c>
      <c r="N164" s="295" t="s">
        <v>530</v>
      </c>
      <c r="O164" s="209"/>
      <c r="P164" s="25"/>
      <c r="Q164" s="347" t="s">
        <v>469</v>
      </c>
      <c r="R164" s="26"/>
      <c r="S164" s="27"/>
      <c r="T164" s="301"/>
      <c r="U164" s="27"/>
      <c r="V164" s="118"/>
    </row>
    <row r="165" spans="1:22" s="119" customFormat="1" ht="24.9" customHeight="1">
      <c r="A165" s="296">
        <v>8</v>
      </c>
      <c r="B165" s="207" t="s">
        <v>518</v>
      </c>
      <c r="C165" s="303" t="s">
        <v>531</v>
      </c>
      <c r="D165" s="207" t="s">
        <v>235</v>
      </c>
      <c r="E165" s="298">
        <v>1</v>
      </c>
      <c r="F165" s="207" t="s">
        <v>236</v>
      </c>
      <c r="G165" s="208"/>
      <c r="H165" s="208"/>
      <c r="I165" s="299"/>
      <c r="J165" s="218"/>
      <c r="K165" s="208">
        <v>313.39999999999998</v>
      </c>
      <c r="L165" s="208"/>
      <c r="M165" s="208" t="s">
        <v>237</v>
      </c>
      <c r="N165" s="295" t="s">
        <v>532</v>
      </c>
      <c r="O165" s="209"/>
      <c r="P165" s="25"/>
      <c r="Q165" s="347" t="s">
        <v>469</v>
      </c>
      <c r="R165" s="26"/>
      <c r="S165" s="27"/>
      <c r="T165" s="301"/>
      <c r="U165" s="27"/>
      <c r="V165" s="118"/>
    </row>
    <row r="166" spans="1:22" s="119" customFormat="1" ht="24.9" customHeight="1">
      <c r="A166" s="296">
        <v>9</v>
      </c>
      <c r="B166" s="207" t="s">
        <v>518</v>
      </c>
      <c r="C166" s="303" t="s">
        <v>533</v>
      </c>
      <c r="D166" s="207" t="s">
        <v>235</v>
      </c>
      <c r="E166" s="298">
        <v>1</v>
      </c>
      <c r="F166" s="207" t="s">
        <v>236</v>
      </c>
      <c r="G166" s="208"/>
      <c r="H166" s="208"/>
      <c r="I166" s="299"/>
      <c r="J166" s="218"/>
      <c r="K166" s="208">
        <v>314.7</v>
      </c>
      <c r="L166" s="208"/>
      <c r="M166" s="208" t="s">
        <v>237</v>
      </c>
      <c r="N166" s="295" t="s">
        <v>534</v>
      </c>
      <c r="O166" s="209"/>
      <c r="P166" s="25"/>
      <c r="Q166" s="347" t="s">
        <v>469</v>
      </c>
      <c r="R166" s="26"/>
      <c r="S166" s="27"/>
      <c r="T166" s="301"/>
      <c r="U166" s="27"/>
      <c r="V166" s="118"/>
    </row>
    <row r="167" spans="1:22" s="307" customFormat="1" ht="24.9" customHeight="1">
      <c r="A167" s="234" t="s">
        <v>535</v>
      </c>
      <c r="B167" s="235">
        <f>RIGHT(B166, 2)*1</f>
        <v>26</v>
      </c>
      <c r="C167" s="246" t="s">
        <v>536</v>
      </c>
      <c r="D167" s="237"/>
      <c r="E167" s="238">
        <f>SUM(E158:E166)</f>
        <v>15</v>
      </c>
      <c r="F167" s="237"/>
      <c r="G167" s="239">
        <v>750</v>
      </c>
      <c r="H167" s="239">
        <v>220</v>
      </c>
      <c r="I167" s="240">
        <v>205</v>
      </c>
      <c r="J167" s="241">
        <f>ROUND(I167*H167*G167/1000000,3)</f>
        <v>33.825000000000003</v>
      </c>
      <c r="K167" s="242">
        <f>SUM(K158:K166)</f>
        <v>4603.4999999999991</v>
      </c>
      <c r="L167" s="239">
        <f>K167+100</f>
        <v>4703.4999999999991</v>
      </c>
      <c r="M167" s="239"/>
      <c r="N167" s="243"/>
      <c r="O167" s="244"/>
      <c r="P167" s="245"/>
      <c r="Q167" s="348"/>
      <c r="R167" s="26"/>
      <c r="S167" s="304"/>
      <c r="T167" s="305"/>
      <c r="U167" s="304"/>
      <c r="V167" s="306"/>
    </row>
    <row r="168" spans="1:22" s="119" customFormat="1" ht="24.9" customHeight="1">
      <c r="A168" s="296">
        <v>1</v>
      </c>
      <c r="B168" s="207" t="s">
        <v>537</v>
      </c>
      <c r="C168" s="303" t="s">
        <v>519</v>
      </c>
      <c r="D168" s="207" t="s">
        <v>235</v>
      </c>
      <c r="E168" s="298">
        <v>3</v>
      </c>
      <c r="F168" s="207" t="s">
        <v>236</v>
      </c>
      <c r="G168" s="208"/>
      <c r="H168" s="208"/>
      <c r="I168" s="299"/>
      <c r="J168" s="218"/>
      <c r="K168" s="208">
        <f>1882.2/6*3</f>
        <v>941.09999999999991</v>
      </c>
      <c r="L168" s="208"/>
      <c r="M168" s="208" t="s">
        <v>237</v>
      </c>
      <c r="N168" s="295" t="s">
        <v>520</v>
      </c>
      <c r="O168" s="209"/>
      <c r="P168" s="25"/>
      <c r="Q168" s="347" t="s">
        <v>275</v>
      </c>
      <c r="R168" s="345" t="s">
        <v>276</v>
      </c>
      <c r="S168" s="27"/>
      <c r="T168" s="301"/>
      <c r="U168" s="27"/>
      <c r="V168" s="118"/>
    </row>
    <row r="169" spans="1:22" s="119" customFormat="1" ht="24.9" customHeight="1">
      <c r="A169" s="296">
        <v>2</v>
      </c>
      <c r="B169" s="207" t="s">
        <v>537</v>
      </c>
      <c r="C169" s="303" t="s">
        <v>482</v>
      </c>
      <c r="D169" s="207" t="s">
        <v>235</v>
      </c>
      <c r="E169" s="298">
        <v>2</v>
      </c>
      <c r="F169" s="207" t="s">
        <v>236</v>
      </c>
      <c r="G169" s="208"/>
      <c r="H169" s="208"/>
      <c r="I169" s="299"/>
      <c r="J169" s="218"/>
      <c r="K169" s="208">
        <f>1472/6*2</f>
        <v>490.66666666666669</v>
      </c>
      <c r="L169" s="208"/>
      <c r="M169" s="208" t="s">
        <v>237</v>
      </c>
      <c r="N169" s="295" t="s">
        <v>483</v>
      </c>
      <c r="O169" s="209"/>
      <c r="P169" s="25"/>
      <c r="Q169" s="347" t="s">
        <v>275</v>
      </c>
      <c r="R169" s="345" t="s">
        <v>276</v>
      </c>
      <c r="S169" s="27"/>
      <c r="T169" s="301"/>
      <c r="U169" s="27"/>
      <c r="V169" s="118"/>
    </row>
    <row r="170" spans="1:22" s="119" customFormat="1" ht="24.9" customHeight="1">
      <c r="A170" s="296">
        <v>3</v>
      </c>
      <c r="B170" s="207" t="s">
        <v>537</v>
      </c>
      <c r="C170" s="303" t="s">
        <v>484</v>
      </c>
      <c r="D170" s="207" t="s">
        <v>235</v>
      </c>
      <c r="E170" s="298">
        <v>5</v>
      </c>
      <c r="F170" s="207" t="s">
        <v>236</v>
      </c>
      <c r="G170" s="208"/>
      <c r="H170" s="208"/>
      <c r="I170" s="299"/>
      <c r="J170" s="218"/>
      <c r="K170" s="208">
        <f>1472/6*5</f>
        <v>1226.6666666666667</v>
      </c>
      <c r="L170" s="208"/>
      <c r="M170" s="208" t="s">
        <v>237</v>
      </c>
      <c r="N170" s="295" t="s">
        <v>485</v>
      </c>
      <c r="O170" s="209"/>
      <c r="P170" s="25"/>
      <c r="Q170" s="347" t="s">
        <v>275</v>
      </c>
      <c r="R170" s="26"/>
      <c r="S170" s="27"/>
      <c r="T170" s="301"/>
      <c r="U170" s="27"/>
      <c r="V170" s="118"/>
    </row>
    <row r="171" spans="1:22" s="119" customFormat="1" ht="24.9" customHeight="1">
      <c r="A171" s="296">
        <v>4</v>
      </c>
      <c r="B171" s="207" t="s">
        <v>537</v>
      </c>
      <c r="C171" s="303" t="s">
        <v>486</v>
      </c>
      <c r="D171" s="207" t="s">
        <v>235</v>
      </c>
      <c r="E171" s="298">
        <v>5</v>
      </c>
      <c r="F171" s="207" t="s">
        <v>236</v>
      </c>
      <c r="G171" s="208"/>
      <c r="H171" s="208"/>
      <c r="I171" s="299"/>
      <c r="J171" s="218"/>
      <c r="K171" s="208">
        <f>1472/6*5</f>
        <v>1226.6666666666667</v>
      </c>
      <c r="L171" s="208"/>
      <c r="M171" s="208" t="s">
        <v>237</v>
      </c>
      <c r="N171" s="295" t="s">
        <v>487</v>
      </c>
      <c r="O171" s="209"/>
      <c r="P171" s="25"/>
      <c r="Q171" s="347" t="s">
        <v>275</v>
      </c>
      <c r="R171" s="345" t="s">
        <v>276</v>
      </c>
      <c r="S171" s="27"/>
      <c r="T171" s="301"/>
      <c r="U171" s="27"/>
      <c r="V171" s="118"/>
    </row>
    <row r="172" spans="1:22" s="119" customFormat="1" ht="24.9" customHeight="1">
      <c r="A172" s="296">
        <v>5</v>
      </c>
      <c r="B172" s="207" t="s">
        <v>537</v>
      </c>
      <c r="C172" s="303" t="s">
        <v>521</v>
      </c>
      <c r="D172" s="207" t="s">
        <v>235</v>
      </c>
      <c r="E172" s="298">
        <v>3</v>
      </c>
      <c r="F172" s="207" t="s">
        <v>236</v>
      </c>
      <c r="G172" s="208"/>
      <c r="H172" s="208"/>
      <c r="I172" s="299"/>
      <c r="J172" s="218"/>
      <c r="K172" s="208">
        <f>1882.2/6*3</f>
        <v>941.09999999999991</v>
      </c>
      <c r="L172" s="208"/>
      <c r="M172" s="208" t="s">
        <v>237</v>
      </c>
      <c r="N172" s="295" t="s">
        <v>522</v>
      </c>
      <c r="O172" s="209"/>
      <c r="P172" s="25"/>
      <c r="Q172" s="347" t="s">
        <v>275</v>
      </c>
      <c r="R172" s="26"/>
      <c r="S172" s="27"/>
      <c r="T172" s="301"/>
      <c r="U172" s="27"/>
      <c r="V172" s="118"/>
    </row>
    <row r="173" spans="1:22" s="307" customFormat="1" ht="24.9" customHeight="1">
      <c r="A173" s="234" t="s">
        <v>538</v>
      </c>
      <c r="B173" s="235">
        <f>RIGHT(B172, 2)*1</f>
        <v>27</v>
      </c>
      <c r="C173" s="246" t="s">
        <v>539</v>
      </c>
      <c r="D173" s="237"/>
      <c r="E173" s="238">
        <f>SUM(E168:E172)</f>
        <v>18</v>
      </c>
      <c r="F173" s="237"/>
      <c r="G173" s="239">
        <v>745</v>
      </c>
      <c r="H173" s="239">
        <v>220</v>
      </c>
      <c r="I173" s="240">
        <v>205</v>
      </c>
      <c r="J173" s="241">
        <f>ROUND(I173*H173*G173/1000000,3)</f>
        <v>33.6</v>
      </c>
      <c r="K173" s="242">
        <f>SUM(K168:K172)</f>
        <v>4826.2000000000007</v>
      </c>
      <c r="L173" s="239">
        <f>K173+100</f>
        <v>4926.2000000000007</v>
      </c>
      <c r="M173" s="239"/>
      <c r="N173" s="243"/>
      <c r="O173" s="244"/>
      <c r="P173" s="245"/>
      <c r="Q173" s="348"/>
      <c r="R173" s="26"/>
      <c r="S173" s="304"/>
      <c r="T173" s="305"/>
      <c r="U173" s="304"/>
      <c r="V173" s="306"/>
    </row>
    <row r="174" spans="1:22" s="119" customFormat="1" ht="24.9" customHeight="1">
      <c r="A174" s="296">
        <v>1</v>
      </c>
      <c r="B174" s="207" t="s">
        <v>540</v>
      </c>
      <c r="C174" s="303" t="s">
        <v>541</v>
      </c>
      <c r="D174" s="207" t="s">
        <v>235</v>
      </c>
      <c r="E174" s="298">
        <v>18</v>
      </c>
      <c r="F174" s="207" t="s">
        <v>236</v>
      </c>
      <c r="G174" s="208"/>
      <c r="H174" s="208"/>
      <c r="I174" s="299"/>
      <c r="J174" s="218"/>
      <c r="K174" s="208">
        <f>99.1*18</f>
        <v>1783.8</v>
      </c>
      <c r="L174" s="208"/>
      <c r="M174" s="208" t="s">
        <v>237</v>
      </c>
      <c r="N174" s="295" t="s">
        <v>542</v>
      </c>
      <c r="O174" s="209"/>
      <c r="P174" s="25"/>
      <c r="Q174" s="347" t="s">
        <v>275</v>
      </c>
      <c r="R174" s="345" t="s">
        <v>276</v>
      </c>
      <c r="S174" s="27"/>
      <c r="T174" s="301"/>
      <c r="U174" s="27"/>
      <c r="V174" s="118"/>
    </row>
    <row r="175" spans="1:22" s="119" customFormat="1" ht="24.9" customHeight="1">
      <c r="A175" s="296">
        <v>2</v>
      </c>
      <c r="B175" s="207" t="s">
        <v>540</v>
      </c>
      <c r="C175" s="303" t="s">
        <v>541</v>
      </c>
      <c r="D175" s="207" t="s">
        <v>235</v>
      </c>
      <c r="E175" s="298">
        <v>6</v>
      </c>
      <c r="F175" s="207" t="s">
        <v>236</v>
      </c>
      <c r="G175" s="208"/>
      <c r="H175" s="208"/>
      <c r="I175" s="299"/>
      <c r="J175" s="218"/>
      <c r="K175" s="208">
        <f>99.1*6</f>
        <v>594.59999999999991</v>
      </c>
      <c r="L175" s="208"/>
      <c r="M175" s="208" t="s">
        <v>237</v>
      </c>
      <c r="N175" s="295" t="s">
        <v>542</v>
      </c>
      <c r="O175" s="209"/>
      <c r="P175" s="25"/>
      <c r="Q175" s="347" t="s">
        <v>275</v>
      </c>
      <c r="R175" s="26"/>
      <c r="S175" s="27"/>
      <c r="T175" s="301"/>
      <c r="U175" s="27"/>
      <c r="V175" s="118"/>
    </row>
    <row r="176" spans="1:22" s="119" customFormat="1" ht="24.9" customHeight="1">
      <c r="A176" s="296">
        <v>3</v>
      </c>
      <c r="B176" s="207" t="s">
        <v>540</v>
      </c>
      <c r="C176" s="303" t="s">
        <v>543</v>
      </c>
      <c r="D176" s="207" t="s">
        <v>235</v>
      </c>
      <c r="E176" s="298">
        <v>12</v>
      </c>
      <c r="F176" s="207" t="s">
        <v>236</v>
      </c>
      <c r="G176" s="208"/>
      <c r="H176" s="208"/>
      <c r="I176" s="299"/>
      <c r="J176" s="218"/>
      <c r="K176" s="208">
        <v>478.8</v>
      </c>
      <c r="L176" s="208"/>
      <c r="M176" s="208" t="s">
        <v>237</v>
      </c>
      <c r="N176" s="295" t="s">
        <v>544</v>
      </c>
      <c r="O176" s="209"/>
      <c r="P176" s="25"/>
      <c r="Q176" s="347" t="s">
        <v>390</v>
      </c>
      <c r="R176" s="26"/>
      <c r="S176" s="27"/>
      <c r="T176" s="301"/>
      <c r="U176" s="27"/>
      <c r="V176" s="118"/>
    </row>
    <row r="177" spans="1:22" s="119" customFormat="1" ht="24.9" customHeight="1">
      <c r="A177" s="296">
        <v>4</v>
      </c>
      <c r="B177" s="207" t="s">
        <v>540</v>
      </c>
      <c r="C177" s="303" t="s">
        <v>545</v>
      </c>
      <c r="D177" s="207" t="s">
        <v>235</v>
      </c>
      <c r="E177" s="298">
        <v>12</v>
      </c>
      <c r="F177" s="207" t="s">
        <v>236</v>
      </c>
      <c r="G177" s="208"/>
      <c r="H177" s="208"/>
      <c r="I177" s="299"/>
      <c r="J177" s="218"/>
      <c r="K177" s="208">
        <v>865.3</v>
      </c>
      <c r="L177" s="208"/>
      <c r="M177" s="208" t="s">
        <v>237</v>
      </c>
      <c r="N177" s="295" t="s">
        <v>546</v>
      </c>
      <c r="O177" s="209"/>
      <c r="P177" s="25"/>
      <c r="Q177" s="347" t="s">
        <v>390</v>
      </c>
      <c r="R177" s="26"/>
      <c r="S177" s="27"/>
      <c r="T177" s="301"/>
      <c r="U177" s="27"/>
      <c r="V177" s="118"/>
    </row>
    <row r="178" spans="1:22" s="119" customFormat="1" ht="24.9" customHeight="1">
      <c r="A178" s="296">
        <v>5</v>
      </c>
      <c r="B178" s="207" t="s">
        <v>540</v>
      </c>
      <c r="C178" s="303" t="s">
        <v>547</v>
      </c>
      <c r="D178" s="207" t="s">
        <v>235</v>
      </c>
      <c r="E178" s="298">
        <v>12</v>
      </c>
      <c r="F178" s="207" t="s">
        <v>236</v>
      </c>
      <c r="G178" s="208"/>
      <c r="H178" s="208"/>
      <c r="I178" s="299"/>
      <c r="J178" s="218"/>
      <c r="K178" s="208">
        <v>865.3</v>
      </c>
      <c r="L178" s="208"/>
      <c r="M178" s="208" t="s">
        <v>237</v>
      </c>
      <c r="N178" s="295" t="s">
        <v>548</v>
      </c>
      <c r="O178" s="209"/>
      <c r="P178" s="25"/>
      <c r="Q178" s="347" t="s">
        <v>390</v>
      </c>
      <c r="R178" s="26"/>
      <c r="S178" s="27"/>
      <c r="T178" s="301"/>
      <c r="U178" s="27"/>
      <c r="V178" s="118"/>
    </row>
    <row r="179" spans="1:22" s="119" customFormat="1" ht="24.9" customHeight="1">
      <c r="A179" s="296">
        <v>6</v>
      </c>
      <c r="B179" s="207" t="s">
        <v>540</v>
      </c>
      <c r="C179" s="303" t="s">
        <v>549</v>
      </c>
      <c r="D179" s="207" t="s">
        <v>235</v>
      </c>
      <c r="E179" s="298">
        <v>4</v>
      </c>
      <c r="F179" s="207" t="s">
        <v>236</v>
      </c>
      <c r="G179" s="208"/>
      <c r="H179" s="208"/>
      <c r="I179" s="299"/>
      <c r="J179" s="218"/>
      <c r="K179" s="208">
        <v>193.8</v>
      </c>
      <c r="L179" s="208"/>
      <c r="M179" s="208" t="s">
        <v>237</v>
      </c>
      <c r="N179" s="295" t="s">
        <v>550</v>
      </c>
      <c r="O179" s="209"/>
      <c r="P179" s="25"/>
      <c r="Q179" s="347" t="s">
        <v>321</v>
      </c>
      <c r="R179" s="26"/>
      <c r="S179" s="27"/>
      <c r="T179" s="301"/>
      <c r="U179" s="27"/>
      <c r="V179" s="118"/>
    </row>
    <row r="180" spans="1:22" s="307" customFormat="1" ht="24.9" customHeight="1">
      <c r="A180" s="234" t="s">
        <v>551</v>
      </c>
      <c r="B180" s="235">
        <f>RIGHT(B179, 2)*1</f>
        <v>28</v>
      </c>
      <c r="C180" s="246" t="s">
        <v>552</v>
      </c>
      <c r="D180" s="237"/>
      <c r="E180" s="238">
        <f>SUM(E174:E179)</f>
        <v>64</v>
      </c>
      <c r="F180" s="237"/>
      <c r="G180" s="239">
        <v>380</v>
      </c>
      <c r="H180" s="239">
        <v>220</v>
      </c>
      <c r="I180" s="240">
        <v>140</v>
      </c>
      <c r="J180" s="241">
        <f>ROUND(I180*H180*G180/1000000,3)</f>
        <v>11.704000000000001</v>
      </c>
      <c r="K180" s="242">
        <f>SUM(K174:K179)</f>
        <v>4781.6000000000004</v>
      </c>
      <c r="L180" s="239">
        <f>K180+100</f>
        <v>4881.6000000000004</v>
      </c>
      <c r="M180" s="239"/>
      <c r="N180" s="243"/>
      <c r="O180" s="244"/>
      <c r="P180" s="245"/>
      <c r="Q180" s="348"/>
      <c r="R180" s="26"/>
      <c r="S180" s="304"/>
      <c r="T180" s="305"/>
      <c r="U180" s="304"/>
      <c r="V180" s="306"/>
    </row>
    <row r="181" spans="1:22" s="119" customFormat="1" ht="24.9" customHeight="1">
      <c r="A181" s="296">
        <v>1</v>
      </c>
      <c r="B181" s="207" t="s">
        <v>553</v>
      </c>
      <c r="C181" s="303" t="s">
        <v>309</v>
      </c>
      <c r="D181" s="207" t="s">
        <v>235</v>
      </c>
      <c r="E181" s="298">
        <v>42</v>
      </c>
      <c r="F181" s="207" t="s">
        <v>236</v>
      </c>
      <c r="G181" s="208"/>
      <c r="H181" s="208"/>
      <c r="I181" s="299"/>
      <c r="J181" s="218"/>
      <c r="K181" s="209">
        <f>(1678.1/36)*E181</f>
        <v>1957.7833333333333</v>
      </c>
      <c r="L181" s="208"/>
      <c r="M181" s="208" t="s">
        <v>237</v>
      </c>
      <c r="N181" s="295" t="s">
        <v>310</v>
      </c>
      <c r="O181" s="209"/>
      <c r="P181" s="25"/>
      <c r="Q181" s="347" t="s">
        <v>297</v>
      </c>
      <c r="R181" s="26"/>
      <c r="S181" s="27"/>
      <c r="T181" s="301"/>
      <c r="U181" s="27"/>
      <c r="V181" s="118"/>
    </row>
    <row r="182" spans="1:22" s="119" customFormat="1" ht="24.9" customHeight="1">
      <c r="A182" s="296">
        <v>2</v>
      </c>
      <c r="B182" s="207" t="s">
        <v>553</v>
      </c>
      <c r="C182" s="303" t="s">
        <v>311</v>
      </c>
      <c r="D182" s="207" t="s">
        <v>235</v>
      </c>
      <c r="E182" s="298">
        <v>39</v>
      </c>
      <c r="F182" s="207" t="s">
        <v>236</v>
      </c>
      <c r="G182" s="208"/>
      <c r="H182" s="208"/>
      <c r="I182" s="299"/>
      <c r="J182" s="218"/>
      <c r="K182" s="209">
        <f>(1606.9/42)*E182</f>
        <v>1492.1214285714286</v>
      </c>
      <c r="L182" s="208"/>
      <c r="M182" s="208" t="s">
        <v>237</v>
      </c>
      <c r="N182" s="295" t="s">
        <v>312</v>
      </c>
      <c r="O182" s="209"/>
      <c r="P182" s="25"/>
      <c r="Q182" s="347" t="s">
        <v>297</v>
      </c>
      <c r="R182" s="26"/>
      <c r="S182" s="27"/>
      <c r="T182" s="301"/>
      <c r="U182" s="27"/>
      <c r="V182" s="118"/>
    </row>
    <row r="183" spans="1:22" s="119" customFormat="1" ht="24.9" customHeight="1">
      <c r="A183" s="296">
        <v>3</v>
      </c>
      <c r="B183" s="207" t="s">
        <v>553</v>
      </c>
      <c r="C183" s="303" t="s">
        <v>295</v>
      </c>
      <c r="D183" s="207" t="s">
        <v>235</v>
      </c>
      <c r="E183" s="298">
        <v>16</v>
      </c>
      <c r="F183" s="207" t="s">
        <v>236</v>
      </c>
      <c r="G183" s="208"/>
      <c r="H183" s="208"/>
      <c r="I183" s="299"/>
      <c r="J183" s="218"/>
      <c r="K183" s="209">
        <f>(5228.7/48)*E183</f>
        <v>1742.8999999999999</v>
      </c>
      <c r="L183" s="208"/>
      <c r="M183" s="208" t="s">
        <v>237</v>
      </c>
      <c r="N183" s="295" t="s">
        <v>296</v>
      </c>
      <c r="O183" s="209"/>
      <c r="P183" s="25"/>
      <c r="Q183" s="347" t="s">
        <v>297</v>
      </c>
      <c r="R183" s="345" t="s">
        <v>276</v>
      </c>
      <c r="S183" s="27"/>
      <c r="T183" s="301"/>
      <c r="U183" s="27"/>
      <c r="V183" s="118"/>
    </row>
    <row r="184" spans="1:22" s="119" customFormat="1" ht="24.9" customHeight="1">
      <c r="A184" s="296">
        <v>4</v>
      </c>
      <c r="B184" s="207" t="s">
        <v>553</v>
      </c>
      <c r="C184" s="303" t="s">
        <v>554</v>
      </c>
      <c r="D184" s="207" t="s">
        <v>235</v>
      </c>
      <c r="E184" s="298">
        <v>48</v>
      </c>
      <c r="F184" s="207" t="s">
        <v>236</v>
      </c>
      <c r="G184" s="208"/>
      <c r="H184" s="208"/>
      <c r="I184" s="299"/>
      <c r="J184" s="218"/>
      <c r="K184" s="208">
        <v>1451.5</v>
      </c>
      <c r="L184" s="208"/>
      <c r="M184" s="208" t="s">
        <v>237</v>
      </c>
      <c r="N184" s="295" t="s">
        <v>555</v>
      </c>
      <c r="O184" s="209"/>
      <c r="P184" s="25"/>
      <c r="Q184" s="347" t="s">
        <v>393</v>
      </c>
      <c r="R184" s="26"/>
      <c r="S184" s="27"/>
      <c r="T184" s="301"/>
      <c r="U184" s="27"/>
      <c r="V184" s="118"/>
    </row>
    <row r="185" spans="1:22" s="307" customFormat="1" ht="24.9" customHeight="1">
      <c r="A185" s="234" t="s">
        <v>556</v>
      </c>
      <c r="B185" s="235">
        <f>RIGHT(B184, 2)*1</f>
        <v>29</v>
      </c>
      <c r="C185" s="246" t="s">
        <v>557</v>
      </c>
      <c r="D185" s="237"/>
      <c r="E185" s="238">
        <f>SUM(E181:E184)</f>
        <v>145</v>
      </c>
      <c r="F185" s="237"/>
      <c r="G185" s="239">
        <v>515</v>
      </c>
      <c r="H185" s="239">
        <v>220</v>
      </c>
      <c r="I185" s="240">
        <v>130</v>
      </c>
      <c r="J185" s="241">
        <f>ROUND(I185*H185*G185/1000000,3)</f>
        <v>14.728999999999999</v>
      </c>
      <c r="K185" s="242">
        <f>SUM(K181:K184)</f>
        <v>6644.304761904762</v>
      </c>
      <c r="L185" s="239">
        <f>K185+60</f>
        <v>6704.304761904762</v>
      </c>
      <c r="M185" s="239"/>
      <c r="N185" s="243"/>
      <c r="O185" s="244"/>
      <c r="P185" s="245"/>
      <c r="Q185" s="348"/>
      <c r="R185" s="26"/>
      <c r="S185" s="304"/>
      <c r="T185" s="305"/>
      <c r="U185" s="304"/>
      <c r="V185" s="306"/>
    </row>
    <row r="186" spans="1:22" s="119" customFormat="1" ht="24.9" customHeight="1">
      <c r="A186" s="296">
        <v>1</v>
      </c>
      <c r="B186" s="207" t="s">
        <v>558</v>
      </c>
      <c r="C186" s="202" t="s">
        <v>559</v>
      </c>
      <c r="D186" s="207" t="s">
        <v>235</v>
      </c>
      <c r="E186" s="298">
        <v>490</v>
      </c>
      <c r="F186" s="207" t="s">
        <v>560</v>
      </c>
      <c r="G186" s="208"/>
      <c r="H186" s="208"/>
      <c r="I186" s="299"/>
      <c r="J186" s="218"/>
      <c r="K186" s="310">
        <v>50</v>
      </c>
      <c r="L186" s="208"/>
      <c r="M186" s="208"/>
      <c r="N186" s="311" t="s">
        <v>561</v>
      </c>
      <c r="O186" s="209"/>
      <c r="P186" s="25"/>
      <c r="Q186" s="347" t="s">
        <v>562</v>
      </c>
      <c r="R186" s="345" t="s">
        <v>276</v>
      </c>
      <c r="S186" s="27"/>
      <c r="T186" s="301"/>
      <c r="U186" s="27"/>
      <c r="V186" s="118"/>
    </row>
    <row r="187" spans="1:22" s="119" customFormat="1" ht="24.9" customHeight="1">
      <c r="A187" s="296">
        <v>2</v>
      </c>
      <c r="B187" s="207" t="s">
        <v>558</v>
      </c>
      <c r="C187" s="202" t="s">
        <v>563</v>
      </c>
      <c r="D187" s="207" t="s">
        <v>235</v>
      </c>
      <c r="E187" s="298">
        <v>9</v>
      </c>
      <c r="F187" s="207" t="s">
        <v>560</v>
      </c>
      <c r="G187" s="208"/>
      <c r="H187" s="208"/>
      <c r="I187" s="299"/>
      <c r="J187" s="218"/>
      <c r="K187" s="310">
        <v>1</v>
      </c>
      <c r="L187" s="208"/>
      <c r="M187" s="208"/>
      <c r="N187" s="311" t="s">
        <v>561</v>
      </c>
      <c r="O187" s="209"/>
      <c r="P187" s="25"/>
      <c r="Q187" s="347" t="s">
        <v>562</v>
      </c>
      <c r="R187" s="26"/>
      <c r="S187" s="27"/>
      <c r="T187" s="301"/>
      <c r="U187" s="27"/>
      <c r="V187" s="118"/>
    </row>
    <row r="188" spans="1:22" s="119" customFormat="1" ht="24.9" customHeight="1">
      <c r="A188" s="296">
        <v>3</v>
      </c>
      <c r="B188" s="207" t="s">
        <v>558</v>
      </c>
      <c r="C188" s="202" t="s">
        <v>564</v>
      </c>
      <c r="D188" s="207" t="s">
        <v>235</v>
      </c>
      <c r="E188" s="298">
        <v>49</v>
      </c>
      <c r="F188" s="207" t="s">
        <v>560</v>
      </c>
      <c r="G188" s="208"/>
      <c r="H188" s="208"/>
      <c r="I188" s="299"/>
      <c r="J188" s="218"/>
      <c r="K188" s="310">
        <v>5</v>
      </c>
      <c r="L188" s="208"/>
      <c r="M188" s="208"/>
      <c r="N188" s="311" t="s">
        <v>561</v>
      </c>
      <c r="O188" s="209"/>
      <c r="P188" s="25"/>
      <c r="Q188" s="347" t="s">
        <v>562</v>
      </c>
      <c r="R188" s="26"/>
      <c r="S188" s="27"/>
      <c r="T188" s="301"/>
      <c r="U188" s="27"/>
      <c r="V188" s="118"/>
    </row>
    <row r="189" spans="1:22" s="119" customFormat="1" ht="24.9" customHeight="1">
      <c r="A189" s="296">
        <v>4</v>
      </c>
      <c r="B189" s="207" t="s">
        <v>558</v>
      </c>
      <c r="C189" s="202" t="s">
        <v>565</v>
      </c>
      <c r="D189" s="207" t="s">
        <v>235</v>
      </c>
      <c r="E189" s="298">
        <v>221</v>
      </c>
      <c r="F189" s="207" t="s">
        <v>560</v>
      </c>
      <c r="G189" s="208"/>
      <c r="H189" s="208"/>
      <c r="I189" s="299"/>
      <c r="J189" s="218"/>
      <c r="K189" s="310">
        <v>30</v>
      </c>
      <c r="L189" s="208"/>
      <c r="M189" s="208"/>
      <c r="N189" s="311" t="s">
        <v>561</v>
      </c>
      <c r="O189" s="209"/>
      <c r="P189" s="25"/>
      <c r="Q189" s="347" t="s">
        <v>562</v>
      </c>
      <c r="R189" s="26"/>
      <c r="S189" s="27"/>
      <c r="T189" s="301"/>
      <c r="U189" s="27"/>
      <c r="V189" s="118"/>
    </row>
    <row r="190" spans="1:22" s="119" customFormat="1" ht="24.9" customHeight="1">
      <c r="A190" s="296">
        <v>5</v>
      </c>
      <c r="B190" s="207" t="s">
        <v>558</v>
      </c>
      <c r="C190" s="202" t="s">
        <v>566</v>
      </c>
      <c r="D190" s="207" t="s">
        <v>235</v>
      </c>
      <c r="E190" s="298">
        <v>5582</v>
      </c>
      <c r="F190" s="207" t="s">
        <v>560</v>
      </c>
      <c r="G190" s="208"/>
      <c r="H190" s="208"/>
      <c r="I190" s="299"/>
      <c r="J190" s="218"/>
      <c r="K190" s="310">
        <v>750</v>
      </c>
      <c r="L190" s="208"/>
      <c r="M190" s="208"/>
      <c r="N190" s="311" t="s">
        <v>561</v>
      </c>
      <c r="O190" s="209"/>
      <c r="P190" s="25"/>
      <c r="Q190" s="347" t="s">
        <v>562</v>
      </c>
      <c r="R190" s="26"/>
      <c r="S190" s="27"/>
      <c r="T190" s="301"/>
      <c r="U190" s="27"/>
      <c r="V190" s="118"/>
    </row>
    <row r="191" spans="1:22" s="119" customFormat="1" ht="24.9" customHeight="1">
      <c r="A191" s="296">
        <v>6</v>
      </c>
      <c r="B191" s="207" t="s">
        <v>558</v>
      </c>
      <c r="C191" s="202" t="s">
        <v>567</v>
      </c>
      <c r="D191" s="207" t="s">
        <v>235</v>
      </c>
      <c r="E191" s="298">
        <v>196</v>
      </c>
      <c r="F191" s="207" t="s">
        <v>560</v>
      </c>
      <c r="G191" s="208"/>
      <c r="H191" s="208"/>
      <c r="I191" s="299"/>
      <c r="J191" s="218"/>
      <c r="K191" s="310">
        <v>30</v>
      </c>
      <c r="L191" s="208"/>
      <c r="M191" s="208"/>
      <c r="N191" s="311" t="s">
        <v>561</v>
      </c>
      <c r="O191" s="209"/>
      <c r="P191" s="25"/>
      <c r="Q191" s="347" t="s">
        <v>562</v>
      </c>
      <c r="R191" s="26"/>
      <c r="S191" s="27"/>
      <c r="T191" s="301"/>
      <c r="U191" s="27"/>
      <c r="V191" s="118"/>
    </row>
    <row r="192" spans="1:22" s="119" customFormat="1" ht="24.9" customHeight="1">
      <c r="A192" s="296">
        <v>7</v>
      </c>
      <c r="B192" s="207" t="s">
        <v>558</v>
      </c>
      <c r="C192" s="202" t="s">
        <v>568</v>
      </c>
      <c r="D192" s="207" t="s">
        <v>235</v>
      </c>
      <c r="E192" s="298">
        <v>123</v>
      </c>
      <c r="F192" s="207" t="s">
        <v>560</v>
      </c>
      <c r="G192" s="208"/>
      <c r="H192" s="208"/>
      <c r="I192" s="299"/>
      <c r="J192" s="218"/>
      <c r="K192" s="310">
        <v>25</v>
      </c>
      <c r="L192" s="208"/>
      <c r="M192" s="208"/>
      <c r="N192" s="311" t="s">
        <v>561</v>
      </c>
      <c r="O192" s="209"/>
      <c r="P192" s="25"/>
      <c r="Q192" s="347" t="s">
        <v>562</v>
      </c>
      <c r="R192" s="26"/>
      <c r="S192" s="27"/>
      <c r="T192" s="301"/>
      <c r="U192" s="27"/>
      <c r="V192" s="118"/>
    </row>
    <row r="193" spans="1:22" s="119" customFormat="1" ht="24.9" customHeight="1">
      <c r="A193" s="296">
        <v>8</v>
      </c>
      <c r="B193" s="207" t="s">
        <v>558</v>
      </c>
      <c r="C193" s="202" t="s">
        <v>569</v>
      </c>
      <c r="D193" s="207" t="s">
        <v>235</v>
      </c>
      <c r="E193" s="298">
        <v>25</v>
      </c>
      <c r="F193" s="207" t="s">
        <v>560</v>
      </c>
      <c r="G193" s="208"/>
      <c r="H193" s="208"/>
      <c r="I193" s="299"/>
      <c r="J193" s="218"/>
      <c r="K193" s="310">
        <v>10</v>
      </c>
      <c r="L193" s="208"/>
      <c r="M193" s="208"/>
      <c r="N193" s="311" t="s">
        <v>561</v>
      </c>
      <c r="O193" s="209"/>
      <c r="P193" s="25"/>
      <c r="Q193" s="347" t="s">
        <v>562</v>
      </c>
      <c r="R193" s="26"/>
      <c r="S193" s="27"/>
      <c r="T193" s="301"/>
      <c r="U193" s="27"/>
      <c r="V193" s="118"/>
    </row>
    <row r="194" spans="1:22" s="119" customFormat="1" ht="24.9" customHeight="1">
      <c r="A194" s="296">
        <v>9</v>
      </c>
      <c r="B194" s="207" t="s">
        <v>558</v>
      </c>
      <c r="C194" s="202" t="s">
        <v>570</v>
      </c>
      <c r="D194" s="207" t="s">
        <v>235</v>
      </c>
      <c r="E194" s="298">
        <v>49</v>
      </c>
      <c r="F194" s="207" t="s">
        <v>560</v>
      </c>
      <c r="G194" s="208"/>
      <c r="H194" s="208"/>
      <c r="I194" s="299"/>
      <c r="J194" s="218"/>
      <c r="K194" s="310">
        <v>20</v>
      </c>
      <c r="L194" s="208"/>
      <c r="M194" s="208"/>
      <c r="N194" s="311" t="s">
        <v>561</v>
      </c>
      <c r="O194" s="209"/>
      <c r="P194" s="25"/>
      <c r="Q194" s="347" t="s">
        <v>562</v>
      </c>
      <c r="R194" s="26"/>
      <c r="S194" s="27"/>
      <c r="T194" s="301"/>
      <c r="U194" s="27"/>
      <c r="V194" s="118"/>
    </row>
    <row r="195" spans="1:22" s="119" customFormat="1" ht="24.9" customHeight="1">
      <c r="A195" s="296">
        <v>10</v>
      </c>
      <c r="B195" s="207" t="s">
        <v>558</v>
      </c>
      <c r="C195" s="202" t="s">
        <v>571</v>
      </c>
      <c r="D195" s="207" t="s">
        <v>235</v>
      </c>
      <c r="E195" s="298">
        <v>17</v>
      </c>
      <c r="F195" s="207" t="s">
        <v>560</v>
      </c>
      <c r="G195" s="208"/>
      <c r="H195" s="208"/>
      <c r="I195" s="299"/>
      <c r="J195" s="218"/>
      <c r="K195" s="310">
        <v>10</v>
      </c>
      <c r="L195" s="208"/>
      <c r="M195" s="208"/>
      <c r="N195" s="311" t="s">
        <v>561</v>
      </c>
      <c r="O195" s="209"/>
      <c r="P195" s="25"/>
      <c r="Q195" s="347" t="s">
        <v>562</v>
      </c>
      <c r="R195" s="26"/>
      <c r="S195" s="27"/>
      <c r="T195" s="301"/>
      <c r="U195" s="27"/>
      <c r="V195" s="118"/>
    </row>
    <row r="196" spans="1:22" s="119" customFormat="1" ht="24.9" customHeight="1">
      <c r="A196" s="296">
        <v>11</v>
      </c>
      <c r="B196" s="207" t="s">
        <v>558</v>
      </c>
      <c r="C196" s="202" t="s">
        <v>572</v>
      </c>
      <c r="D196" s="207" t="s">
        <v>235</v>
      </c>
      <c r="E196" s="298">
        <v>865</v>
      </c>
      <c r="F196" s="207" t="s">
        <v>560</v>
      </c>
      <c r="G196" s="208"/>
      <c r="H196" s="208"/>
      <c r="I196" s="299"/>
      <c r="J196" s="218"/>
      <c r="K196" s="310">
        <v>500</v>
      </c>
      <c r="L196" s="208"/>
      <c r="M196" s="208"/>
      <c r="N196" s="311" t="s">
        <v>561</v>
      </c>
      <c r="O196" s="209"/>
      <c r="P196" s="25"/>
      <c r="Q196" s="347" t="s">
        <v>562</v>
      </c>
      <c r="R196" s="26"/>
      <c r="S196" s="27"/>
      <c r="T196" s="301"/>
      <c r="U196" s="27"/>
      <c r="V196" s="118"/>
    </row>
    <row r="197" spans="1:22" s="119" customFormat="1" ht="24.9" customHeight="1">
      <c r="A197" s="296">
        <v>12</v>
      </c>
      <c r="B197" s="207" t="s">
        <v>558</v>
      </c>
      <c r="C197" s="202" t="s">
        <v>573</v>
      </c>
      <c r="D197" s="207" t="s">
        <v>235</v>
      </c>
      <c r="E197" s="298">
        <v>9</v>
      </c>
      <c r="F197" s="207" t="s">
        <v>560</v>
      </c>
      <c r="G197" s="208"/>
      <c r="H197" s="208"/>
      <c r="I197" s="299"/>
      <c r="J197" s="218"/>
      <c r="K197" s="310">
        <v>6</v>
      </c>
      <c r="L197" s="208"/>
      <c r="M197" s="208"/>
      <c r="N197" s="311" t="s">
        <v>561</v>
      </c>
      <c r="O197" s="209"/>
      <c r="P197" s="25"/>
      <c r="Q197" s="347" t="s">
        <v>562</v>
      </c>
      <c r="R197" s="26"/>
      <c r="S197" s="27"/>
      <c r="T197" s="301"/>
      <c r="U197" s="27"/>
      <c r="V197" s="118"/>
    </row>
    <row r="198" spans="1:22" s="119" customFormat="1" ht="24.9" customHeight="1">
      <c r="A198" s="296">
        <v>13</v>
      </c>
      <c r="B198" s="207" t="s">
        <v>558</v>
      </c>
      <c r="C198" s="202" t="s">
        <v>574</v>
      </c>
      <c r="D198" s="207" t="s">
        <v>235</v>
      </c>
      <c r="E198" s="298">
        <v>98</v>
      </c>
      <c r="F198" s="207" t="s">
        <v>560</v>
      </c>
      <c r="G198" s="208"/>
      <c r="H198" s="208"/>
      <c r="I198" s="299"/>
      <c r="J198" s="218"/>
      <c r="K198" s="310">
        <v>150</v>
      </c>
      <c r="L198" s="208"/>
      <c r="M198" s="208"/>
      <c r="N198" s="311" t="s">
        <v>561</v>
      </c>
      <c r="O198" s="209"/>
      <c r="P198" s="25"/>
      <c r="Q198" s="347" t="s">
        <v>562</v>
      </c>
      <c r="R198" s="26"/>
      <c r="S198" s="27"/>
      <c r="T198" s="301"/>
      <c r="U198" s="27"/>
      <c r="V198" s="118"/>
    </row>
    <row r="199" spans="1:22" s="119" customFormat="1" ht="24.9" customHeight="1">
      <c r="A199" s="296">
        <v>14</v>
      </c>
      <c r="B199" s="207" t="s">
        <v>558</v>
      </c>
      <c r="C199" s="202" t="s">
        <v>575</v>
      </c>
      <c r="D199" s="207" t="s">
        <v>235</v>
      </c>
      <c r="E199" s="298">
        <v>98</v>
      </c>
      <c r="F199" s="207" t="s">
        <v>560</v>
      </c>
      <c r="G199" s="208"/>
      <c r="H199" s="208"/>
      <c r="I199" s="299"/>
      <c r="J199" s="218"/>
      <c r="K199" s="310">
        <v>200</v>
      </c>
      <c r="L199" s="208"/>
      <c r="M199" s="208"/>
      <c r="N199" s="311" t="s">
        <v>561</v>
      </c>
      <c r="O199" s="209"/>
      <c r="P199" s="25"/>
      <c r="Q199" s="347" t="s">
        <v>562</v>
      </c>
      <c r="R199" s="26"/>
      <c r="S199" s="27"/>
      <c r="T199" s="301"/>
      <c r="U199" s="27"/>
      <c r="V199" s="118"/>
    </row>
    <row r="200" spans="1:22" s="119" customFormat="1" ht="24.9" customHeight="1">
      <c r="A200" s="296">
        <v>15</v>
      </c>
      <c r="B200" s="207" t="s">
        <v>558</v>
      </c>
      <c r="C200" s="202" t="s">
        <v>575</v>
      </c>
      <c r="D200" s="207" t="s">
        <v>235</v>
      </c>
      <c r="E200" s="298">
        <v>196</v>
      </c>
      <c r="F200" s="207" t="s">
        <v>560</v>
      </c>
      <c r="G200" s="208"/>
      <c r="H200" s="208"/>
      <c r="I200" s="299"/>
      <c r="J200" s="218"/>
      <c r="K200" s="310">
        <v>400</v>
      </c>
      <c r="L200" s="208"/>
      <c r="M200" s="208"/>
      <c r="N200" s="311" t="s">
        <v>561</v>
      </c>
      <c r="O200" s="209"/>
      <c r="P200" s="25"/>
      <c r="Q200" s="347" t="s">
        <v>562</v>
      </c>
      <c r="R200" s="26"/>
      <c r="S200" s="27"/>
      <c r="T200" s="301"/>
      <c r="U200" s="27"/>
      <c r="V200" s="118"/>
    </row>
    <row r="201" spans="1:22" s="119" customFormat="1" ht="24.9" customHeight="1">
      <c r="A201" s="296">
        <v>16</v>
      </c>
      <c r="B201" s="207" t="s">
        <v>558</v>
      </c>
      <c r="C201" s="202" t="s">
        <v>576</v>
      </c>
      <c r="D201" s="207" t="s">
        <v>235</v>
      </c>
      <c r="E201" s="298">
        <v>98</v>
      </c>
      <c r="F201" s="207" t="s">
        <v>560</v>
      </c>
      <c r="G201" s="208"/>
      <c r="H201" s="208"/>
      <c r="I201" s="299"/>
      <c r="J201" s="218"/>
      <c r="K201" s="310">
        <v>200</v>
      </c>
      <c r="L201" s="208"/>
      <c r="M201" s="208"/>
      <c r="N201" s="311" t="s">
        <v>561</v>
      </c>
      <c r="O201" s="209"/>
      <c r="P201" s="25"/>
      <c r="Q201" s="347" t="s">
        <v>562</v>
      </c>
      <c r="R201" s="26"/>
      <c r="S201" s="27"/>
      <c r="T201" s="301"/>
      <c r="U201" s="27"/>
      <c r="V201" s="118"/>
    </row>
    <row r="202" spans="1:22" s="119" customFormat="1" ht="24.9" customHeight="1">
      <c r="A202" s="296">
        <v>17</v>
      </c>
      <c r="B202" s="207" t="s">
        <v>558</v>
      </c>
      <c r="C202" s="202" t="s">
        <v>577</v>
      </c>
      <c r="D202" s="207" t="s">
        <v>235</v>
      </c>
      <c r="E202" s="298">
        <v>49</v>
      </c>
      <c r="F202" s="207" t="s">
        <v>560</v>
      </c>
      <c r="G202" s="208"/>
      <c r="H202" s="208"/>
      <c r="I202" s="299"/>
      <c r="J202" s="218"/>
      <c r="K202" s="310">
        <v>110</v>
      </c>
      <c r="L202" s="208"/>
      <c r="M202" s="208"/>
      <c r="N202" s="311" t="s">
        <v>561</v>
      </c>
      <c r="O202" s="209"/>
      <c r="P202" s="25"/>
      <c r="Q202" s="347" t="s">
        <v>562</v>
      </c>
      <c r="R202" s="26"/>
      <c r="S202" s="27"/>
      <c r="T202" s="301"/>
      <c r="U202" s="27"/>
      <c r="V202" s="118"/>
    </row>
    <row r="203" spans="1:22" s="119" customFormat="1" ht="24.9" customHeight="1">
      <c r="A203" s="296">
        <v>18</v>
      </c>
      <c r="B203" s="207" t="s">
        <v>558</v>
      </c>
      <c r="C203" s="202" t="s">
        <v>578</v>
      </c>
      <c r="D203" s="207" t="s">
        <v>235</v>
      </c>
      <c r="E203" s="298">
        <v>2402</v>
      </c>
      <c r="F203" s="207" t="s">
        <v>560</v>
      </c>
      <c r="G203" s="208"/>
      <c r="H203" s="208"/>
      <c r="I203" s="299"/>
      <c r="J203" s="218"/>
      <c r="K203" s="310">
        <v>480</v>
      </c>
      <c r="L203" s="208"/>
      <c r="M203" s="208"/>
      <c r="N203" s="311" t="s">
        <v>561</v>
      </c>
      <c r="O203" s="209"/>
      <c r="P203" s="25"/>
      <c r="Q203" s="347" t="s">
        <v>562</v>
      </c>
      <c r="R203" s="26"/>
      <c r="S203" s="27"/>
      <c r="T203" s="301"/>
      <c r="U203" s="27"/>
      <c r="V203" s="118"/>
    </row>
    <row r="204" spans="1:22" s="119" customFormat="1" ht="24.9" customHeight="1">
      <c r="A204" s="296">
        <v>19</v>
      </c>
      <c r="B204" s="207" t="s">
        <v>558</v>
      </c>
      <c r="C204" s="202" t="s">
        <v>579</v>
      </c>
      <c r="D204" s="207" t="s">
        <v>235</v>
      </c>
      <c r="E204" s="298">
        <v>894</v>
      </c>
      <c r="F204" s="207" t="s">
        <v>560</v>
      </c>
      <c r="G204" s="208"/>
      <c r="H204" s="208"/>
      <c r="I204" s="299"/>
      <c r="J204" s="218"/>
      <c r="K204" s="310">
        <v>180</v>
      </c>
      <c r="L204" s="208"/>
      <c r="M204" s="208"/>
      <c r="N204" s="311" t="s">
        <v>561</v>
      </c>
      <c r="O204" s="209"/>
      <c r="P204" s="25"/>
      <c r="Q204" s="347" t="s">
        <v>562</v>
      </c>
      <c r="R204" s="26"/>
      <c r="S204" s="27"/>
      <c r="T204" s="301"/>
      <c r="U204" s="27"/>
      <c r="V204" s="118"/>
    </row>
    <row r="205" spans="1:22" s="119" customFormat="1" ht="24.9" customHeight="1">
      <c r="A205" s="296">
        <v>20</v>
      </c>
      <c r="B205" s="207" t="s">
        <v>558</v>
      </c>
      <c r="C205" s="202" t="s">
        <v>580</v>
      </c>
      <c r="D205" s="207" t="s">
        <v>235</v>
      </c>
      <c r="E205" s="298">
        <v>98</v>
      </c>
      <c r="F205" s="207" t="s">
        <v>560</v>
      </c>
      <c r="G205" s="208"/>
      <c r="H205" s="208"/>
      <c r="I205" s="299"/>
      <c r="J205" s="218"/>
      <c r="K205" s="310">
        <v>30</v>
      </c>
      <c r="L205" s="208"/>
      <c r="M205" s="208"/>
      <c r="N205" s="311" t="s">
        <v>561</v>
      </c>
      <c r="O205" s="209"/>
      <c r="P205" s="25"/>
      <c r="Q205" s="347" t="s">
        <v>562</v>
      </c>
      <c r="R205" s="26"/>
      <c r="S205" s="27"/>
      <c r="T205" s="301"/>
      <c r="U205" s="27"/>
      <c r="V205" s="118"/>
    </row>
    <row r="206" spans="1:22" s="119" customFormat="1" ht="24.9" customHeight="1">
      <c r="A206" s="296">
        <v>21</v>
      </c>
      <c r="B206" s="207" t="s">
        <v>558</v>
      </c>
      <c r="C206" s="202" t="s">
        <v>581</v>
      </c>
      <c r="D206" s="207" t="s">
        <v>235</v>
      </c>
      <c r="E206" s="298">
        <v>123</v>
      </c>
      <c r="F206" s="207" t="s">
        <v>560</v>
      </c>
      <c r="G206" s="208"/>
      <c r="H206" s="208"/>
      <c r="I206" s="299"/>
      <c r="J206" s="218"/>
      <c r="K206" s="310">
        <v>45</v>
      </c>
      <c r="L206" s="208"/>
      <c r="M206" s="208"/>
      <c r="N206" s="311" t="s">
        <v>561</v>
      </c>
      <c r="O206" s="209"/>
      <c r="P206" s="25"/>
      <c r="Q206" s="347" t="s">
        <v>562</v>
      </c>
      <c r="R206" s="26"/>
      <c r="S206" s="27"/>
      <c r="T206" s="301"/>
      <c r="U206" s="27"/>
      <c r="V206" s="118"/>
    </row>
    <row r="207" spans="1:22" s="119" customFormat="1" ht="24.9" customHeight="1">
      <c r="A207" s="296">
        <v>22</v>
      </c>
      <c r="B207" s="207" t="s">
        <v>558</v>
      </c>
      <c r="C207" s="202" t="s">
        <v>582</v>
      </c>
      <c r="D207" s="207" t="s">
        <v>235</v>
      </c>
      <c r="E207" s="298">
        <v>49</v>
      </c>
      <c r="F207" s="207" t="s">
        <v>560</v>
      </c>
      <c r="G207" s="208"/>
      <c r="H207" s="208"/>
      <c r="I207" s="299"/>
      <c r="J207" s="218"/>
      <c r="K207" s="310">
        <v>250</v>
      </c>
      <c r="L207" s="208"/>
      <c r="M207" s="208"/>
      <c r="N207" s="311" t="s">
        <v>561</v>
      </c>
      <c r="O207" s="209"/>
      <c r="P207" s="25"/>
      <c r="Q207" s="347" t="s">
        <v>562</v>
      </c>
      <c r="R207" s="26"/>
      <c r="S207" s="27"/>
      <c r="T207" s="301"/>
      <c r="U207" s="27"/>
      <c r="V207" s="118"/>
    </row>
    <row r="208" spans="1:22" s="119" customFormat="1" ht="24.9" customHeight="1">
      <c r="A208" s="296">
        <v>23</v>
      </c>
      <c r="B208" s="207" t="s">
        <v>558</v>
      </c>
      <c r="C208" s="202" t="s">
        <v>583</v>
      </c>
      <c r="D208" s="207" t="s">
        <v>235</v>
      </c>
      <c r="E208" s="298">
        <v>544</v>
      </c>
      <c r="F208" s="207" t="s">
        <v>560</v>
      </c>
      <c r="G208" s="208"/>
      <c r="H208" s="208"/>
      <c r="I208" s="299"/>
      <c r="J208" s="218"/>
      <c r="K208" s="310">
        <v>200</v>
      </c>
      <c r="L208" s="208"/>
      <c r="M208" s="208"/>
      <c r="N208" s="311"/>
      <c r="O208" s="209"/>
      <c r="P208" s="25"/>
      <c r="Q208" s="347" t="s">
        <v>562</v>
      </c>
      <c r="R208" s="26"/>
      <c r="S208" s="27"/>
      <c r="T208" s="301"/>
      <c r="U208" s="27"/>
      <c r="V208" s="118"/>
    </row>
    <row r="209" spans="1:30" s="119" customFormat="1" ht="24.9" customHeight="1">
      <c r="A209" s="296">
        <v>24</v>
      </c>
      <c r="B209" s="207" t="s">
        <v>558</v>
      </c>
      <c r="C209" s="202" t="s">
        <v>584</v>
      </c>
      <c r="D209" s="207" t="s">
        <v>235</v>
      </c>
      <c r="E209" s="298">
        <v>544</v>
      </c>
      <c r="F209" s="207" t="s">
        <v>560</v>
      </c>
      <c r="G209" s="208"/>
      <c r="H209" s="208"/>
      <c r="I209" s="299"/>
      <c r="J209" s="218"/>
      <c r="K209" s="310">
        <v>80</v>
      </c>
      <c r="L209" s="208"/>
      <c r="M209" s="208"/>
      <c r="N209" s="311" t="s">
        <v>561</v>
      </c>
      <c r="O209" s="209"/>
      <c r="P209" s="25"/>
      <c r="Q209" s="347" t="s">
        <v>562</v>
      </c>
      <c r="R209" s="26"/>
      <c r="S209" s="27"/>
      <c r="T209" s="301"/>
      <c r="U209" s="27"/>
      <c r="V209" s="118"/>
    </row>
    <row r="210" spans="1:30" s="307" customFormat="1" ht="24.9" customHeight="1" thickBot="1">
      <c r="A210" s="254" t="s">
        <v>585</v>
      </c>
      <c r="B210" s="255">
        <f>RIGHT(B209, 2)*1</f>
        <v>30</v>
      </c>
      <c r="C210" s="256" t="s">
        <v>586</v>
      </c>
      <c r="D210" s="257"/>
      <c r="E210" s="258">
        <f>SUM(E186:E209)</f>
        <v>12828</v>
      </c>
      <c r="F210" s="257"/>
      <c r="G210" s="259">
        <v>206</v>
      </c>
      <c r="H210" s="259">
        <v>128</v>
      </c>
      <c r="I210" s="260">
        <v>97</v>
      </c>
      <c r="J210" s="261">
        <f>ROUND(I210*H210*G210/1000000,3)</f>
        <v>2.5579999999999998</v>
      </c>
      <c r="K210" s="262">
        <f>SUM(K186:K209)</f>
        <v>3762</v>
      </c>
      <c r="L210" s="259">
        <f>K210+120</f>
        <v>3882</v>
      </c>
      <c r="M210" s="259"/>
      <c r="N210" s="263" t="s">
        <v>561</v>
      </c>
      <c r="O210" s="264"/>
      <c r="P210" s="265"/>
      <c r="Q210" s="349"/>
      <c r="S210" s="304"/>
      <c r="T210" s="305"/>
      <c r="U210" s="304"/>
      <c r="V210" s="306"/>
    </row>
    <row r="211" spans="1:30" s="119" customFormat="1" ht="24.9" customHeight="1" thickTop="1">
      <c r="A211" s="312">
        <v>1</v>
      </c>
      <c r="B211" s="313" t="s">
        <v>587</v>
      </c>
      <c r="C211" s="314" t="s">
        <v>588</v>
      </c>
      <c r="D211" s="313" t="s">
        <v>235</v>
      </c>
      <c r="E211" s="315">
        <v>48</v>
      </c>
      <c r="F211" s="313" t="s">
        <v>236</v>
      </c>
      <c r="G211" s="316"/>
      <c r="H211" s="316"/>
      <c r="I211" s="317"/>
      <c r="J211" s="318"/>
      <c r="K211" s="316">
        <v>1139.9000000000001</v>
      </c>
      <c r="L211" s="316"/>
      <c r="M211" s="316" t="s">
        <v>237</v>
      </c>
      <c r="N211" s="269" t="s">
        <v>589</v>
      </c>
      <c r="O211" s="319"/>
      <c r="P211" s="320"/>
      <c r="Q211" s="350" t="s">
        <v>590</v>
      </c>
      <c r="R211" s="26"/>
      <c r="S211" s="27"/>
      <c r="T211" s="301"/>
      <c r="U211" s="27"/>
      <c r="V211" s="118"/>
    </row>
    <row r="212" spans="1:30" s="119" customFormat="1" ht="24.9" customHeight="1">
      <c r="A212" s="296">
        <v>2</v>
      </c>
      <c r="B212" s="313" t="s">
        <v>587</v>
      </c>
      <c r="C212" s="297" t="s">
        <v>591</v>
      </c>
      <c r="D212" s="207" t="s">
        <v>241</v>
      </c>
      <c r="E212" s="298">
        <v>24</v>
      </c>
      <c r="F212" s="207" t="s">
        <v>236</v>
      </c>
      <c r="G212" s="208"/>
      <c r="H212" s="208"/>
      <c r="I212" s="299"/>
      <c r="J212" s="218"/>
      <c r="K212" s="208">
        <f>2287.3/48*24</f>
        <v>1143.6500000000001</v>
      </c>
      <c r="L212" s="208"/>
      <c r="M212" s="208" t="s">
        <v>237</v>
      </c>
      <c r="N212" s="295" t="s">
        <v>592</v>
      </c>
      <c r="O212" s="209"/>
      <c r="P212" s="25"/>
      <c r="Q212" s="347" t="s">
        <v>590</v>
      </c>
      <c r="R212" s="345" t="s">
        <v>593</v>
      </c>
      <c r="S212" s="27"/>
      <c r="T212" s="301"/>
      <c r="U212" s="27"/>
      <c r="V212" s="118"/>
    </row>
    <row r="213" spans="1:30" s="119" customFormat="1" ht="24.9" customHeight="1">
      <c r="A213" s="312">
        <v>3</v>
      </c>
      <c r="B213" s="313" t="s">
        <v>587</v>
      </c>
      <c r="C213" s="297" t="s">
        <v>594</v>
      </c>
      <c r="D213" s="207" t="s">
        <v>235</v>
      </c>
      <c r="E213" s="298">
        <v>24</v>
      </c>
      <c r="F213" s="207" t="s">
        <v>236</v>
      </c>
      <c r="G213" s="208"/>
      <c r="H213" s="208"/>
      <c r="I213" s="299"/>
      <c r="J213" s="218"/>
      <c r="K213" s="208">
        <f>2767.9/48*24</f>
        <v>1383.95</v>
      </c>
      <c r="L213" s="208"/>
      <c r="M213" s="208" t="s">
        <v>237</v>
      </c>
      <c r="N213" s="295" t="s">
        <v>595</v>
      </c>
      <c r="O213" s="209"/>
      <c r="P213" s="25"/>
      <c r="Q213" s="347" t="s">
        <v>590</v>
      </c>
      <c r="R213" s="26"/>
      <c r="S213" s="27"/>
      <c r="T213" s="301"/>
      <c r="U213" s="27"/>
      <c r="V213" s="118"/>
    </row>
    <row r="214" spans="1:30" s="119" customFormat="1" ht="24.9" customHeight="1">
      <c r="A214" s="296">
        <v>4</v>
      </c>
      <c r="B214" s="313" t="s">
        <v>587</v>
      </c>
      <c r="C214" s="297" t="s">
        <v>596</v>
      </c>
      <c r="D214" s="207" t="s">
        <v>235</v>
      </c>
      <c r="E214" s="298">
        <v>24</v>
      </c>
      <c r="F214" s="207" t="s">
        <v>236</v>
      </c>
      <c r="G214" s="208"/>
      <c r="H214" s="208"/>
      <c r="I214" s="299"/>
      <c r="J214" s="218"/>
      <c r="K214" s="208">
        <f>1570.4/48*24</f>
        <v>785.2</v>
      </c>
      <c r="L214" s="208"/>
      <c r="M214" s="208" t="s">
        <v>237</v>
      </c>
      <c r="N214" s="295" t="s">
        <v>597</v>
      </c>
      <c r="O214" s="209"/>
      <c r="P214" s="25"/>
      <c r="Q214" s="347" t="s">
        <v>590</v>
      </c>
      <c r="R214" s="26"/>
      <c r="S214" s="27"/>
      <c r="T214" s="301"/>
      <c r="U214" s="27"/>
      <c r="V214" s="118"/>
    </row>
    <row r="215" spans="1:30" s="119" customFormat="1" ht="24.9" customHeight="1">
      <c r="A215" s="312">
        <v>5</v>
      </c>
      <c r="B215" s="313" t="s">
        <v>587</v>
      </c>
      <c r="C215" s="297" t="s">
        <v>598</v>
      </c>
      <c r="D215" s="207" t="s">
        <v>235</v>
      </c>
      <c r="E215" s="298">
        <v>24</v>
      </c>
      <c r="F215" s="207" t="s">
        <v>236</v>
      </c>
      <c r="G215" s="208"/>
      <c r="H215" s="208"/>
      <c r="I215" s="299"/>
      <c r="J215" s="218"/>
      <c r="K215" s="208">
        <f>1542.9/48*24</f>
        <v>771.45</v>
      </c>
      <c r="L215" s="208"/>
      <c r="M215" s="208" t="s">
        <v>237</v>
      </c>
      <c r="N215" s="295" t="s">
        <v>599</v>
      </c>
      <c r="O215" s="209"/>
      <c r="P215" s="25"/>
      <c r="Q215" s="347" t="s">
        <v>600</v>
      </c>
      <c r="R215" s="345" t="s">
        <v>593</v>
      </c>
      <c r="S215" s="27"/>
      <c r="T215" s="301"/>
      <c r="U215" s="27"/>
      <c r="V215" s="118"/>
      <c r="Y215" s="119">
        <f t="shared" ref="Y215:AD215" si="2">Y212</f>
        <v>0</v>
      </c>
      <c r="Z215" s="119">
        <f t="shared" si="2"/>
        <v>0</v>
      </c>
      <c r="AA215" s="119">
        <f t="shared" si="2"/>
        <v>0</v>
      </c>
      <c r="AB215" s="119">
        <f t="shared" si="2"/>
        <v>0</v>
      </c>
      <c r="AC215" s="119">
        <f t="shared" si="2"/>
        <v>0</v>
      </c>
      <c r="AD215" s="119">
        <f t="shared" si="2"/>
        <v>0</v>
      </c>
    </row>
    <row r="216" spans="1:30" s="119" customFormat="1" ht="24.9" customHeight="1">
      <c r="A216" s="296">
        <v>6</v>
      </c>
      <c r="B216" s="313" t="s">
        <v>587</v>
      </c>
      <c r="C216" s="297" t="s">
        <v>601</v>
      </c>
      <c r="D216" s="207" t="s">
        <v>241</v>
      </c>
      <c r="E216" s="298">
        <v>24</v>
      </c>
      <c r="F216" s="207" t="s">
        <v>236</v>
      </c>
      <c r="G216" s="208"/>
      <c r="H216" s="208"/>
      <c r="I216" s="299"/>
      <c r="J216" s="218"/>
      <c r="K216" s="208">
        <f>185.2/2</f>
        <v>92.6</v>
      </c>
      <c r="L216" s="208"/>
      <c r="M216" s="208" t="s">
        <v>237</v>
      </c>
      <c r="N216" s="295" t="s">
        <v>602</v>
      </c>
      <c r="O216" s="209"/>
      <c r="P216" s="25"/>
      <c r="Q216" s="347" t="s">
        <v>590</v>
      </c>
      <c r="R216" s="26"/>
      <c r="S216" s="27"/>
      <c r="T216" s="301"/>
      <c r="U216" s="27"/>
      <c r="V216" s="118"/>
    </row>
    <row r="217" spans="1:30" s="119" customFormat="1" ht="24.9" customHeight="1">
      <c r="A217" s="312">
        <v>7</v>
      </c>
      <c r="B217" s="313" t="s">
        <v>587</v>
      </c>
      <c r="C217" s="297" t="s">
        <v>603</v>
      </c>
      <c r="D217" s="207" t="s">
        <v>235</v>
      </c>
      <c r="E217" s="298">
        <v>24</v>
      </c>
      <c r="F217" s="207" t="s">
        <v>236</v>
      </c>
      <c r="G217" s="208"/>
      <c r="H217" s="208"/>
      <c r="I217" s="299"/>
      <c r="J217" s="218"/>
      <c r="K217" s="208">
        <f>302.7/2</f>
        <v>151.35</v>
      </c>
      <c r="L217" s="208"/>
      <c r="M217" s="208" t="s">
        <v>237</v>
      </c>
      <c r="N217" s="295" t="s">
        <v>604</v>
      </c>
      <c r="O217" s="209"/>
      <c r="P217" s="25"/>
      <c r="Q217" s="347" t="s">
        <v>590</v>
      </c>
      <c r="R217" s="26"/>
      <c r="S217" s="27"/>
      <c r="T217" s="301"/>
      <c r="U217" s="27"/>
      <c r="V217" s="118"/>
      <c r="Y217" s="119">
        <v>85</v>
      </c>
      <c r="Z217" s="119">
        <v>60</v>
      </c>
      <c r="AA217" s="119">
        <v>120</v>
      </c>
      <c r="AB217" s="119">
        <f>ROUND(AA217*Z217*Y217/1000000,3)</f>
        <v>0.61199999999999999</v>
      </c>
      <c r="AC217" s="119">
        <f>SUM(AC212:AC216)</f>
        <v>0</v>
      </c>
      <c r="AD217" s="119">
        <f>SUM(AD212:AD216)</f>
        <v>0</v>
      </c>
    </row>
    <row r="218" spans="1:30" s="119" customFormat="1" ht="24.9" customHeight="1">
      <c r="A218" s="296">
        <v>8</v>
      </c>
      <c r="B218" s="313" t="s">
        <v>587</v>
      </c>
      <c r="C218" s="303" t="s">
        <v>605</v>
      </c>
      <c r="D218" s="207" t="s">
        <v>235</v>
      </c>
      <c r="E218" s="298">
        <v>9</v>
      </c>
      <c r="F218" s="207" t="s">
        <v>236</v>
      </c>
      <c r="G218" s="208"/>
      <c r="H218" s="208"/>
      <c r="I218" s="299"/>
      <c r="J218" s="218"/>
      <c r="K218" s="208">
        <f>56/2</f>
        <v>28</v>
      </c>
      <c r="L218" s="208"/>
      <c r="M218" s="208" t="s">
        <v>237</v>
      </c>
      <c r="N218" s="295" t="s">
        <v>606</v>
      </c>
      <c r="O218" s="209"/>
      <c r="P218" s="25"/>
      <c r="Q218" s="347" t="s">
        <v>255</v>
      </c>
      <c r="R218" s="26"/>
      <c r="S218" s="27"/>
      <c r="T218" s="301"/>
      <c r="U218" s="27"/>
      <c r="V218" s="118"/>
    </row>
    <row r="219" spans="1:30" s="119" customFormat="1" ht="24.9" customHeight="1">
      <c r="A219" s="312">
        <v>9</v>
      </c>
      <c r="B219" s="313" t="s">
        <v>587</v>
      </c>
      <c r="C219" s="303" t="s">
        <v>607</v>
      </c>
      <c r="D219" s="207" t="s">
        <v>235</v>
      </c>
      <c r="E219" s="298">
        <v>6</v>
      </c>
      <c r="F219" s="207" t="s">
        <v>236</v>
      </c>
      <c r="G219" s="208"/>
      <c r="H219" s="208"/>
      <c r="I219" s="299"/>
      <c r="J219" s="218"/>
      <c r="K219" s="208">
        <f>124.6/2</f>
        <v>62.3</v>
      </c>
      <c r="L219" s="208"/>
      <c r="M219" s="208" t="s">
        <v>237</v>
      </c>
      <c r="N219" s="295" t="s">
        <v>608</v>
      </c>
      <c r="O219" s="209"/>
      <c r="P219" s="25"/>
      <c r="Q219" s="347" t="s">
        <v>258</v>
      </c>
      <c r="R219" s="26"/>
      <c r="S219" s="27"/>
      <c r="T219" s="301"/>
      <c r="U219" s="27"/>
      <c r="V219" s="118"/>
    </row>
    <row r="220" spans="1:30" s="307" customFormat="1" ht="24.9" customHeight="1">
      <c r="A220" s="234" t="s">
        <v>609</v>
      </c>
      <c r="B220" s="235">
        <f>RIGHT(B219, 2)*1</f>
        <v>31</v>
      </c>
      <c r="C220" s="236" t="s">
        <v>610</v>
      </c>
      <c r="D220" s="237"/>
      <c r="E220" s="238">
        <f>SUM(E211:E219)</f>
        <v>207</v>
      </c>
      <c r="F220" s="237"/>
      <c r="G220" s="239">
        <v>386</v>
      </c>
      <c r="H220" s="239">
        <v>226</v>
      </c>
      <c r="I220" s="240">
        <v>141</v>
      </c>
      <c r="J220" s="241">
        <f>ROUND(I220*H220*G220/1000000,3)</f>
        <v>12.3</v>
      </c>
      <c r="K220" s="242">
        <f>SUM(K211:K219)</f>
        <v>5558.4000000000005</v>
      </c>
      <c r="L220" s="239">
        <f>K220+140</f>
        <v>5698.4000000000005</v>
      </c>
      <c r="M220" s="239"/>
      <c r="N220" s="243"/>
      <c r="O220" s="244"/>
      <c r="P220" s="245"/>
      <c r="Q220" s="348"/>
      <c r="R220" s="26"/>
      <c r="S220" s="304"/>
      <c r="T220" s="305"/>
      <c r="U220" s="304"/>
      <c r="V220" s="306"/>
    </row>
    <row r="221" spans="1:30" s="119" customFormat="1" ht="24.9" customHeight="1">
      <c r="A221" s="296">
        <v>1</v>
      </c>
      <c r="B221" s="207" t="s">
        <v>611</v>
      </c>
      <c r="C221" s="297" t="s">
        <v>612</v>
      </c>
      <c r="D221" s="207" t="s">
        <v>241</v>
      </c>
      <c r="E221" s="298">
        <v>24</v>
      </c>
      <c r="F221" s="207" t="s">
        <v>236</v>
      </c>
      <c r="G221" s="208"/>
      <c r="H221" s="208"/>
      <c r="I221" s="299"/>
      <c r="J221" s="218"/>
      <c r="K221" s="208">
        <f>2287.3/48*24</f>
        <v>1143.6500000000001</v>
      </c>
      <c r="L221" s="208"/>
      <c r="M221" s="208" t="s">
        <v>237</v>
      </c>
      <c r="N221" s="295" t="s">
        <v>613</v>
      </c>
      <c r="O221" s="209"/>
      <c r="P221" s="25"/>
      <c r="Q221" s="347" t="s">
        <v>590</v>
      </c>
      <c r="R221" s="345" t="s">
        <v>593</v>
      </c>
      <c r="S221" s="27"/>
      <c r="T221" s="301"/>
      <c r="U221" s="27"/>
      <c r="V221" s="118"/>
    </row>
    <row r="222" spans="1:30" s="119" customFormat="1" ht="24.9" customHeight="1">
      <c r="A222" s="296">
        <v>2</v>
      </c>
      <c r="B222" s="207" t="s">
        <v>611</v>
      </c>
      <c r="C222" s="297" t="s">
        <v>614</v>
      </c>
      <c r="D222" s="207" t="s">
        <v>235</v>
      </c>
      <c r="E222" s="298">
        <v>24</v>
      </c>
      <c r="F222" s="207" t="s">
        <v>236</v>
      </c>
      <c r="G222" s="208"/>
      <c r="H222" s="208"/>
      <c r="I222" s="299"/>
      <c r="J222" s="218"/>
      <c r="K222" s="208">
        <f>2767.9/48*24</f>
        <v>1383.95</v>
      </c>
      <c r="L222" s="208"/>
      <c r="M222" s="208" t="s">
        <v>237</v>
      </c>
      <c r="N222" s="295" t="s">
        <v>615</v>
      </c>
      <c r="O222" s="209"/>
      <c r="P222" s="25"/>
      <c r="Q222" s="347" t="s">
        <v>590</v>
      </c>
      <c r="R222" s="26"/>
      <c r="S222" s="27"/>
      <c r="T222" s="301"/>
      <c r="U222" s="27"/>
      <c r="V222" s="118"/>
    </row>
    <row r="223" spans="1:30" s="119" customFormat="1" ht="24.9" customHeight="1">
      <c r="A223" s="296">
        <v>3</v>
      </c>
      <c r="B223" s="207" t="s">
        <v>611</v>
      </c>
      <c r="C223" s="297" t="s">
        <v>616</v>
      </c>
      <c r="D223" s="207" t="s">
        <v>235</v>
      </c>
      <c r="E223" s="298">
        <v>24</v>
      </c>
      <c r="F223" s="207" t="s">
        <v>236</v>
      </c>
      <c r="G223" s="208"/>
      <c r="H223" s="208"/>
      <c r="I223" s="299"/>
      <c r="J223" s="218"/>
      <c r="K223" s="208">
        <f>1542.9/48*24</f>
        <v>771.45</v>
      </c>
      <c r="L223" s="208"/>
      <c r="M223" s="208" t="s">
        <v>237</v>
      </c>
      <c r="N223" s="295" t="s">
        <v>617</v>
      </c>
      <c r="O223" s="209"/>
      <c r="P223" s="25"/>
      <c r="Q223" s="347" t="s">
        <v>600</v>
      </c>
      <c r="R223" s="345" t="s">
        <v>593</v>
      </c>
      <c r="S223" s="27"/>
      <c r="T223" s="301"/>
      <c r="U223" s="27"/>
      <c r="V223" s="118"/>
      <c r="Y223" s="119" t="e">
        <f>#REF!</f>
        <v>#REF!</v>
      </c>
      <c r="Z223" s="119" t="e">
        <f>#REF!</f>
        <v>#REF!</v>
      </c>
      <c r="AA223" s="119" t="e">
        <f>#REF!</f>
        <v>#REF!</v>
      </c>
      <c r="AB223" s="119" t="e">
        <f>#REF!</f>
        <v>#REF!</v>
      </c>
      <c r="AC223" s="119" t="e">
        <f>#REF!</f>
        <v>#REF!</v>
      </c>
      <c r="AD223" s="119" t="e">
        <f>#REF!</f>
        <v>#REF!</v>
      </c>
    </row>
    <row r="224" spans="1:30" s="119" customFormat="1" ht="24.9" customHeight="1">
      <c r="A224" s="296">
        <v>4</v>
      </c>
      <c r="B224" s="207" t="s">
        <v>611</v>
      </c>
      <c r="C224" s="297" t="s">
        <v>618</v>
      </c>
      <c r="D224" s="207" t="s">
        <v>235</v>
      </c>
      <c r="E224" s="298">
        <v>24</v>
      </c>
      <c r="F224" s="207" t="s">
        <v>236</v>
      </c>
      <c r="G224" s="208"/>
      <c r="H224" s="208"/>
      <c r="I224" s="299"/>
      <c r="J224" s="218"/>
      <c r="K224" s="208">
        <f>1570.4/48*24</f>
        <v>785.2</v>
      </c>
      <c r="L224" s="208"/>
      <c r="M224" s="208" t="s">
        <v>237</v>
      </c>
      <c r="N224" s="295" t="s">
        <v>619</v>
      </c>
      <c r="O224" s="209"/>
      <c r="P224" s="25"/>
      <c r="Q224" s="347" t="s">
        <v>590</v>
      </c>
      <c r="R224" s="26"/>
      <c r="S224" s="27"/>
      <c r="T224" s="301"/>
      <c r="U224" s="27"/>
      <c r="V224" s="118"/>
    </row>
    <row r="225" spans="1:30" s="119" customFormat="1" ht="24.9" customHeight="1">
      <c r="A225" s="296">
        <v>5</v>
      </c>
      <c r="B225" s="207" t="s">
        <v>611</v>
      </c>
      <c r="C225" s="297" t="s">
        <v>601</v>
      </c>
      <c r="D225" s="207" t="s">
        <v>241</v>
      </c>
      <c r="E225" s="298">
        <v>24</v>
      </c>
      <c r="F225" s="207" t="s">
        <v>236</v>
      </c>
      <c r="G225" s="208"/>
      <c r="H225" s="208"/>
      <c r="I225" s="299"/>
      <c r="J225" s="218"/>
      <c r="K225" s="208">
        <f>185.2/2</f>
        <v>92.6</v>
      </c>
      <c r="L225" s="208"/>
      <c r="M225" s="208" t="s">
        <v>237</v>
      </c>
      <c r="N225" s="295" t="s">
        <v>602</v>
      </c>
      <c r="O225" s="209"/>
      <c r="P225" s="25"/>
      <c r="Q225" s="347" t="s">
        <v>590</v>
      </c>
      <c r="R225" s="26"/>
      <c r="S225" s="27"/>
      <c r="T225" s="301"/>
      <c r="U225" s="27"/>
      <c r="V225" s="118"/>
    </row>
    <row r="226" spans="1:30" s="119" customFormat="1" ht="24.9" customHeight="1">
      <c r="A226" s="296">
        <v>6</v>
      </c>
      <c r="B226" s="207" t="s">
        <v>611</v>
      </c>
      <c r="C226" s="297" t="s">
        <v>603</v>
      </c>
      <c r="D226" s="207" t="s">
        <v>235</v>
      </c>
      <c r="E226" s="298">
        <v>24</v>
      </c>
      <c r="F226" s="207" t="s">
        <v>236</v>
      </c>
      <c r="G226" s="208"/>
      <c r="H226" s="208"/>
      <c r="I226" s="299"/>
      <c r="J226" s="218"/>
      <c r="K226" s="208">
        <f>302.7/2</f>
        <v>151.35</v>
      </c>
      <c r="L226" s="208"/>
      <c r="M226" s="208" t="s">
        <v>237</v>
      </c>
      <c r="N226" s="295" t="s">
        <v>604</v>
      </c>
      <c r="O226" s="209"/>
      <c r="P226" s="25"/>
      <c r="Q226" s="347" t="s">
        <v>590</v>
      </c>
      <c r="R226" s="26"/>
      <c r="S226" s="27"/>
      <c r="T226" s="301"/>
      <c r="U226" s="27"/>
      <c r="V226" s="118"/>
      <c r="Y226" s="119">
        <v>85</v>
      </c>
      <c r="Z226" s="119">
        <v>60</v>
      </c>
      <c r="AA226" s="119">
        <v>120</v>
      </c>
      <c r="AB226" s="119">
        <f>ROUND(AA226*Z226*Y226/1000000,3)</f>
        <v>0.61199999999999999</v>
      </c>
      <c r="AC226" s="119" t="e">
        <f>SUM(AC221:AC225)</f>
        <v>#REF!</v>
      </c>
      <c r="AD226" s="119" t="e">
        <f>SUM(AD221:AD225)</f>
        <v>#REF!</v>
      </c>
    </row>
    <row r="227" spans="1:30" s="119" customFormat="1" ht="24.9" customHeight="1">
      <c r="A227" s="296">
        <v>7</v>
      </c>
      <c r="B227" s="207" t="s">
        <v>611</v>
      </c>
      <c r="C227" s="303" t="s">
        <v>605</v>
      </c>
      <c r="D227" s="207" t="s">
        <v>235</v>
      </c>
      <c r="E227" s="298">
        <v>9</v>
      </c>
      <c r="F227" s="207" t="s">
        <v>236</v>
      </c>
      <c r="G227" s="208"/>
      <c r="H227" s="208"/>
      <c r="I227" s="299"/>
      <c r="J227" s="218"/>
      <c r="K227" s="208">
        <f>56/2</f>
        <v>28</v>
      </c>
      <c r="L227" s="208"/>
      <c r="M227" s="208" t="s">
        <v>237</v>
      </c>
      <c r="N227" s="295" t="s">
        <v>606</v>
      </c>
      <c r="O227" s="209"/>
      <c r="P227" s="25"/>
      <c r="Q227" s="347" t="s">
        <v>255</v>
      </c>
      <c r="R227" s="26"/>
      <c r="S227" s="27"/>
      <c r="T227" s="301"/>
      <c r="U227" s="27"/>
      <c r="V227" s="118"/>
    </row>
    <row r="228" spans="1:30" s="119" customFormat="1" ht="24.9" customHeight="1">
      <c r="A228" s="296">
        <v>8</v>
      </c>
      <c r="B228" s="207" t="s">
        <v>611</v>
      </c>
      <c r="C228" s="303" t="s">
        <v>607</v>
      </c>
      <c r="D228" s="207" t="s">
        <v>235</v>
      </c>
      <c r="E228" s="298">
        <v>6</v>
      </c>
      <c r="F228" s="207" t="s">
        <v>236</v>
      </c>
      <c r="G228" s="208"/>
      <c r="H228" s="208"/>
      <c r="I228" s="299"/>
      <c r="J228" s="218"/>
      <c r="K228" s="208">
        <f>124.6/2</f>
        <v>62.3</v>
      </c>
      <c r="L228" s="208"/>
      <c r="M228" s="208" t="s">
        <v>237</v>
      </c>
      <c r="N228" s="295" t="s">
        <v>608</v>
      </c>
      <c r="O228" s="209"/>
      <c r="P228" s="25"/>
      <c r="Q228" s="347" t="s">
        <v>258</v>
      </c>
      <c r="R228" s="26"/>
      <c r="S228" s="27"/>
      <c r="T228" s="301"/>
      <c r="U228" s="27"/>
      <c r="V228" s="118"/>
    </row>
    <row r="229" spans="1:30" s="307" customFormat="1" ht="24.9" customHeight="1">
      <c r="A229" s="234" t="s">
        <v>620</v>
      </c>
      <c r="B229" s="235">
        <f>RIGHT(B228, 2)*1</f>
        <v>32</v>
      </c>
      <c r="C229" s="236" t="s">
        <v>271</v>
      </c>
      <c r="D229" s="237"/>
      <c r="E229" s="238">
        <f>SUM(E221:E228)</f>
        <v>159</v>
      </c>
      <c r="F229" s="237"/>
      <c r="G229" s="239">
        <v>386</v>
      </c>
      <c r="H229" s="239">
        <v>226</v>
      </c>
      <c r="I229" s="240">
        <v>141</v>
      </c>
      <c r="J229" s="241">
        <f>ROUND(I229*H229*G229/1000000,3)</f>
        <v>12.3</v>
      </c>
      <c r="K229" s="242">
        <f>SUM(K221:K228)</f>
        <v>4418.5000000000009</v>
      </c>
      <c r="L229" s="239">
        <f>K229+140</f>
        <v>4558.5000000000009</v>
      </c>
      <c r="M229" s="239"/>
      <c r="N229" s="243"/>
      <c r="O229" s="244"/>
      <c r="P229" s="245"/>
      <c r="Q229" s="348"/>
      <c r="R229" s="26"/>
      <c r="S229" s="304"/>
      <c r="T229" s="305"/>
      <c r="U229" s="304"/>
      <c r="V229" s="306"/>
    </row>
    <row r="230" spans="1:30" s="119" customFormat="1" ht="24.9" customHeight="1">
      <c r="A230" s="296">
        <v>1</v>
      </c>
      <c r="B230" s="300" t="s">
        <v>621</v>
      </c>
      <c r="C230" s="303" t="s">
        <v>622</v>
      </c>
      <c r="D230" s="207" t="s">
        <v>235</v>
      </c>
      <c r="E230" s="298">
        <v>6</v>
      </c>
      <c r="F230" s="207" t="s">
        <v>236</v>
      </c>
      <c r="G230" s="208"/>
      <c r="H230" s="208"/>
      <c r="I230" s="299"/>
      <c r="J230" s="218"/>
      <c r="K230" s="208">
        <v>1122.5</v>
      </c>
      <c r="L230" s="208"/>
      <c r="M230" s="208" t="s">
        <v>237</v>
      </c>
      <c r="N230" s="295" t="s">
        <v>623</v>
      </c>
      <c r="O230" s="209"/>
      <c r="P230" s="25"/>
      <c r="Q230" s="347" t="s">
        <v>275</v>
      </c>
      <c r="R230" s="26"/>
      <c r="S230" s="27"/>
      <c r="T230" s="301"/>
      <c r="U230" s="27"/>
      <c r="V230" s="118"/>
    </row>
    <row r="231" spans="1:30" s="119" customFormat="1" ht="24.9" customHeight="1">
      <c r="A231" s="296">
        <v>2</v>
      </c>
      <c r="B231" s="300" t="s">
        <v>621</v>
      </c>
      <c r="C231" s="303" t="s">
        <v>624</v>
      </c>
      <c r="D231" s="207" t="s">
        <v>235</v>
      </c>
      <c r="E231" s="298">
        <v>6</v>
      </c>
      <c r="F231" s="207" t="s">
        <v>236</v>
      </c>
      <c r="G231" s="208"/>
      <c r="H231" s="208"/>
      <c r="I231" s="299"/>
      <c r="J231" s="218"/>
      <c r="K231" s="208">
        <v>1122.5</v>
      </c>
      <c r="L231" s="208"/>
      <c r="M231" s="208" t="s">
        <v>237</v>
      </c>
      <c r="N231" s="295" t="s">
        <v>625</v>
      </c>
      <c r="O231" s="209"/>
      <c r="P231" s="25"/>
      <c r="Q231" s="347" t="s">
        <v>275</v>
      </c>
      <c r="R231" s="26"/>
      <c r="S231" s="27"/>
      <c r="T231" s="301"/>
      <c r="U231" s="27"/>
      <c r="V231" s="118"/>
    </row>
    <row r="232" spans="1:30" s="119" customFormat="1" ht="24.9" customHeight="1">
      <c r="A232" s="296">
        <v>3</v>
      </c>
      <c r="B232" s="300" t="s">
        <v>621</v>
      </c>
      <c r="C232" s="303" t="s">
        <v>626</v>
      </c>
      <c r="D232" s="207" t="s">
        <v>235</v>
      </c>
      <c r="E232" s="298">
        <v>4</v>
      </c>
      <c r="F232" s="207" t="s">
        <v>236</v>
      </c>
      <c r="G232" s="208"/>
      <c r="H232" s="208"/>
      <c r="I232" s="299"/>
      <c r="J232" s="218"/>
      <c r="K232" s="208">
        <f>843/5*4</f>
        <v>674.4</v>
      </c>
      <c r="L232" s="208"/>
      <c r="M232" s="208" t="s">
        <v>237</v>
      </c>
      <c r="N232" s="295" t="s">
        <v>627</v>
      </c>
      <c r="O232" s="209"/>
      <c r="P232" s="25"/>
      <c r="Q232" s="347" t="s">
        <v>281</v>
      </c>
      <c r="R232" s="26"/>
      <c r="S232" s="27"/>
      <c r="T232" s="301"/>
      <c r="U232" s="27"/>
      <c r="V232" s="118"/>
    </row>
    <row r="233" spans="1:30" s="119" customFormat="1" ht="24.9" customHeight="1">
      <c r="A233" s="296">
        <v>4</v>
      </c>
      <c r="B233" s="300" t="s">
        <v>621</v>
      </c>
      <c r="C233" s="303" t="s">
        <v>628</v>
      </c>
      <c r="D233" s="207" t="s">
        <v>235</v>
      </c>
      <c r="E233" s="298">
        <v>1</v>
      </c>
      <c r="F233" s="207" t="s">
        <v>236</v>
      </c>
      <c r="G233" s="208"/>
      <c r="H233" s="208"/>
      <c r="I233" s="299"/>
      <c r="J233" s="218"/>
      <c r="K233" s="208">
        <v>197.5</v>
      </c>
      <c r="L233" s="208"/>
      <c r="M233" s="208" t="s">
        <v>237</v>
      </c>
      <c r="N233" s="295" t="s">
        <v>629</v>
      </c>
      <c r="O233" s="209"/>
      <c r="P233" s="25"/>
      <c r="Q233" s="347" t="s">
        <v>281</v>
      </c>
      <c r="R233" s="26"/>
      <c r="S233" s="27"/>
      <c r="T233" s="301"/>
      <c r="U233" s="27"/>
      <c r="V233" s="118"/>
    </row>
    <row r="234" spans="1:30" s="119" customFormat="1" ht="24.9" customHeight="1">
      <c r="A234" s="296">
        <v>5</v>
      </c>
      <c r="B234" s="300" t="s">
        <v>621</v>
      </c>
      <c r="C234" s="303" t="s">
        <v>630</v>
      </c>
      <c r="D234" s="207" t="s">
        <v>235</v>
      </c>
      <c r="E234" s="298">
        <v>4</v>
      </c>
      <c r="F234" s="207" t="s">
        <v>236</v>
      </c>
      <c r="G234" s="208"/>
      <c r="H234" s="208"/>
      <c r="I234" s="299"/>
      <c r="J234" s="218"/>
      <c r="K234" s="208">
        <f>899.6/5*4</f>
        <v>719.68000000000006</v>
      </c>
      <c r="L234" s="208"/>
      <c r="M234" s="208" t="s">
        <v>237</v>
      </c>
      <c r="N234" s="295" t="s">
        <v>631</v>
      </c>
      <c r="O234" s="209"/>
      <c r="P234" s="25"/>
      <c r="Q234" s="347" t="s">
        <v>281</v>
      </c>
      <c r="R234" s="26"/>
      <c r="S234" s="27"/>
      <c r="T234" s="301"/>
      <c r="U234" s="27"/>
      <c r="V234" s="118"/>
    </row>
    <row r="235" spans="1:30" s="119" customFormat="1" ht="24.9" customHeight="1">
      <c r="A235" s="296">
        <v>6</v>
      </c>
      <c r="B235" s="300" t="s">
        <v>621</v>
      </c>
      <c r="C235" s="303" t="s">
        <v>632</v>
      </c>
      <c r="D235" s="207" t="s">
        <v>235</v>
      </c>
      <c r="E235" s="298">
        <v>2</v>
      </c>
      <c r="F235" s="207" t="s">
        <v>236</v>
      </c>
      <c r="G235" s="208"/>
      <c r="H235" s="208"/>
      <c r="I235" s="299"/>
      <c r="J235" s="218"/>
      <c r="K235" s="208">
        <f>822.1/5*2</f>
        <v>328.84000000000003</v>
      </c>
      <c r="L235" s="208"/>
      <c r="M235" s="208" t="s">
        <v>237</v>
      </c>
      <c r="N235" s="295" t="s">
        <v>633</v>
      </c>
      <c r="O235" s="209"/>
      <c r="P235" s="25"/>
      <c r="Q235" s="347" t="s">
        <v>281</v>
      </c>
      <c r="R235" s="26"/>
      <c r="S235" s="27"/>
      <c r="T235" s="301"/>
      <c r="U235" s="27"/>
      <c r="V235" s="118"/>
    </row>
    <row r="236" spans="1:30" s="119" customFormat="1" ht="24.9" customHeight="1">
      <c r="A236" s="296">
        <v>7</v>
      </c>
      <c r="B236" s="300" t="s">
        <v>621</v>
      </c>
      <c r="C236" s="303" t="s">
        <v>634</v>
      </c>
      <c r="D236" s="207" t="s">
        <v>235</v>
      </c>
      <c r="E236" s="298">
        <v>1</v>
      </c>
      <c r="F236" s="207" t="s">
        <v>236</v>
      </c>
      <c r="G236" s="208"/>
      <c r="H236" s="208"/>
      <c r="I236" s="299"/>
      <c r="J236" s="218"/>
      <c r="K236" s="208">
        <v>171.4</v>
      </c>
      <c r="L236" s="208"/>
      <c r="M236" s="208" t="s">
        <v>237</v>
      </c>
      <c r="N236" s="295" t="s">
        <v>635</v>
      </c>
      <c r="O236" s="209"/>
      <c r="P236" s="25"/>
      <c r="Q236" s="347" t="s">
        <v>281</v>
      </c>
      <c r="R236" s="26"/>
      <c r="S236" s="27"/>
      <c r="T236" s="301"/>
      <c r="U236" s="27"/>
      <c r="V236" s="118"/>
    </row>
    <row r="237" spans="1:30" s="307" customFormat="1" ht="24.9" customHeight="1">
      <c r="A237" s="234" t="s">
        <v>636</v>
      </c>
      <c r="B237" s="235">
        <f>RIGHT(B236, 2)*1</f>
        <v>33</v>
      </c>
      <c r="C237" s="246" t="s">
        <v>637</v>
      </c>
      <c r="D237" s="237"/>
      <c r="E237" s="238">
        <f>SUM(E230:E236)</f>
        <v>24</v>
      </c>
      <c r="F237" s="237"/>
      <c r="G237" s="239">
        <v>625</v>
      </c>
      <c r="H237" s="239">
        <v>220</v>
      </c>
      <c r="I237" s="240">
        <v>210</v>
      </c>
      <c r="J237" s="241">
        <f>ROUND(I237*H237*G237/1000000,3)</f>
        <v>28.875</v>
      </c>
      <c r="K237" s="242">
        <f>SUM(K230:K236)</f>
        <v>4336.82</v>
      </c>
      <c r="L237" s="239">
        <f>K237+100</f>
        <v>4436.82</v>
      </c>
      <c r="M237" s="239"/>
      <c r="N237" s="243"/>
      <c r="O237" s="244"/>
      <c r="P237" s="245"/>
      <c r="Q237" s="348"/>
      <c r="R237" s="26"/>
      <c r="S237" s="304"/>
      <c r="T237" s="305"/>
      <c r="U237" s="304"/>
      <c r="V237" s="306"/>
    </row>
    <row r="238" spans="1:30" s="119" customFormat="1" ht="24.9" customHeight="1">
      <c r="A238" s="296">
        <v>1</v>
      </c>
      <c r="B238" s="300" t="s">
        <v>638</v>
      </c>
      <c r="C238" s="303" t="s">
        <v>639</v>
      </c>
      <c r="D238" s="207" t="s">
        <v>235</v>
      </c>
      <c r="E238" s="298">
        <v>16</v>
      </c>
      <c r="F238" s="207" t="s">
        <v>236</v>
      </c>
      <c r="G238" s="208"/>
      <c r="H238" s="208"/>
      <c r="I238" s="299"/>
      <c r="J238" s="218"/>
      <c r="K238" s="208">
        <f>5228.7/48*16</f>
        <v>1742.8999999999999</v>
      </c>
      <c r="L238" s="208"/>
      <c r="M238" s="208" t="s">
        <v>237</v>
      </c>
      <c r="N238" s="295" t="s">
        <v>640</v>
      </c>
      <c r="O238" s="209"/>
      <c r="P238" s="25"/>
      <c r="Q238" s="347" t="s">
        <v>297</v>
      </c>
      <c r="R238" s="26"/>
      <c r="S238" s="27"/>
      <c r="T238" s="301"/>
      <c r="U238" s="27"/>
      <c r="V238" s="118"/>
    </row>
    <row r="239" spans="1:30" s="119" customFormat="1" ht="24.9" customHeight="1">
      <c r="A239" s="296">
        <v>2</v>
      </c>
      <c r="B239" s="300" t="s">
        <v>638</v>
      </c>
      <c r="C239" s="308" t="s">
        <v>641</v>
      </c>
      <c r="D239" s="207" t="s">
        <v>235</v>
      </c>
      <c r="E239" s="298">
        <v>1</v>
      </c>
      <c r="F239" s="207" t="s">
        <v>236</v>
      </c>
      <c r="G239" s="208"/>
      <c r="H239" s="208"/>
      <c r="I239" s="299"/>
      <c r="J239" s="218"/>
      <c r="K239" s="208">
        <v>173.2</v>
      </c>
      <c r="L239" s="208"/>
      <c r="M239" s="208" t="s">
        <v>237</v>
      </c>
      <c r="N239" s="295" t="s">
        <v>642</v>
      </c>
      <c r="O239" s="209"/>
      <c r="P239" s="25"/>
      <c r="Q239" s="347" t="s">
        <v>643</v>
      </c>
      <c r="R239" s="26"/>
      <c r="S239" s="27"/>
      <c r="T239" s="301"/>
      <c r="U239" s="27"/>
      <c r="V239" s="118"/>
    </row>
    <row r="240" spans="1:30" s="119" customFormat="1" ht="24.9" customHeight="1">
      <c r="A240" s="296">
        <v>3</v>
      </c>
      <c r="B240" s="300" t="s">
        <v>638</v>
      </c>
      <c r="C240" s="303" t="s">
        <v>644</v>
      </c>
      <c r="D240" s="207" t="s">
        <v>235</v>
      </c>
      <c r="E240" s="298">
        <v>3</v>
      </c>
      <c r="F240" s="207" t="s">
        <v>236</v>
      </c>
      <c r="G240" s="208"/>
      <c r="H240" s="208"/>
      <c r="I240" s="299"/>
      <c r="J240" s="218"/>
      <c r="K240" s="208">
        <f>845.8/5*3</f>
        <v>507.48</v>
      </c>
      <c r="L240" s="208"/>
      <c r="M240" s="208" t="s">
        <v>237</v>
      </c>
      <c r="N240" s="295" t="s">
        <v>645</v>
      </c>
      <c r="O240" s="209"/>
      <c r="P240" s="25"/>
      <c r="Q240" s="347" t="s">
        <v>281</v>
      </c>
      <c r="R240" s="26"/>
      <c r="S240" s="27"/>
      <c r="T240" s="301"/>
      <c r="U240" s="27"/>
      <c r="V240" s="118"/>
    </row>
    <row r="241" spans="1:23" s="119" customFormat="1" ht="24.9" customHeight="1">
      <c r="A241" s="296">
        <v>4</v>
      </c>
      <c r="B241" s="300" t="s">
        <v>638</v>
      </c>
      <c r="C241" s="303" t="s">
        <v>626</v>
      </c>
      <c r="D241" s="207" t="s">
        <v>235</v>
      </c>
      <c r="E241" s="298">
        <v>1</v>
      </c>
      <c r="F241" s="207" t="s">
        <v>236</v>
      </c>
      <c r="G241" s="208"/>
      <c r="H241" s="208"/>
      <c r="I241" s="299"/>
      <c r="J241" s="218"/>
      <c r="K241" s="208">
        <f>843/5*1</f>
        <v>168.6</v>
      </c>
      <c r="L241" s="208"/>
      <c r="M241" s="208" t="s">
        <v>237</v>
      </c>
      <c r="N241" s="295" t="s">
        <v>627</v>
      </c>
      <c r="O241" s="209"/>
      <c r="P241" s="25"/>
      <c r="Q241" s="347" t="s">
        <v>281</v>
      </c>
      <c r="R241" s="26"/>
      <c r="S241" s="27"/>
      <c r="T241" s="301"/>
      <c r="U241" s="27"/>
      <c r="V241" s="118"/>
    </row>
    <row r="242" spans="1:23" s="119" customFormat="1" ht="24.9" customHeight="1">
      <c r="A242" s="296">
        <v>5</v>
      </c>
      <c r="B242" s="300" t="s">
        <v>638</v>
      </c>
      <c r="C242" s="303" t="s">
        <v>646</v>
      </c>
      <c r="D242" s="207" t="s">
        <v>235</v>
      </c>
      <c r="E242" s="298">
        <v>1</v>
      </c>
      <c r="F242" s="207" t="s">
        <v>236</v>
      </c>
      <c r="G242" s="208"/>
      <c r="H242" s="208"/>
      <c r="I242" s="299"/>
      <c r="J242" s="218"/>
      <c r="K242" s="208">
        <v>173.8</v>
      </c>
      <c r="L242" s="208"/>
      <c r="M242" s="208" t="s">
        <v>237</v>
      </c>
      <c r="N242" s="295" t="s">
        <v>647</v>
      </c>
      <c r="O242" s="209"/>
      <c r="P242" s="25"/>
      <c r="Q242" s="347" t="s">
        <v>281</v>
      </c>
      <c r="R242" s="26"/>
      <c r="S242" s="27"/>
      <c r="T242" s="301"/>
      <c r="U242" s="27"/>
      <c r="V242" s="118"/>
    </row>
    <row r="243" spans="1:23" s="119" customFormat="1" ht="24.75" customHeight="1">
      <c r="A243" s="296">
        <v>6</v>
      </c>
      <c r="B243" s="300" t="s">
        <v>638</v>
      </c>
      <c r="C243" s="303" t="s">
        <v>648</v>
      </c>
      <c r="D243" s="207" t="s">
        <v>235</v>
      </c>
      <c r="E243" s="298">
        <v>5</v>
      </c>
      <c r="F243" s="207" t="s">
        <v>236</v>
      </c>
      <c r="G243" s="208"/>
      <c r="H243" s="208"/>
      <c r="I243" s="299"/>
      <c r="J243" s="218"/>
      <c r="K243" s="208">
        <v>899.6</v>
      </c>
      <c r="L243" s="208"/>
      <c r="M243" s="208" t="s">
        <v>237</v>
      </c>
      <c r="N243" s="295" t="s">
        <v>649</v>
      </c>
      <c r="O243" s="209"/>
      <c r="P243" s="25"/>
      <c r="Q243" s="347" t="s">
        <v>281</v>
      </c>
      <c r="R243" s="26"/>
      <c r="S243" s="27"/>
      <c r="T243" s="301"/>
      <c r="U243" s="27"/>
      <c r="V243" s="118"/>
    </row>
    <row r="244" spans="1:23" s="119" customFormat="1" ht="24.9" customHeight="1">
      <c r="A244" s="296">
        <v>7</v>
      </c>
      <c r="B244" s="300" t="s">
        <v>638</v>
      </c>
      <c r="C244" s="303" t="s">
        <v>630</v>
      </c>
      <c r="D244" s="207" t="s">
        <v>235</v>
      </c>
      <c r="E244" s="298">
        <v>1</v>
      </c>
      <c r="F244" s="207" t="s">
        <v>236</v>
      </c>
      <c r="G244" s="208"/>
      <c r="H244" s="208"/>
      <c r="I244" s="299"/>
      <c r="J244" s="218"/>
      <c r="K244" s="208">
        <f>899.6/5*1</f>
        <v>179.92000000000002</v>
      </c>
      <c r="L244" s="208"/>
      <c r="M244" s="208" t="s">
        <v>237</v>
      </c>
      <c r="N244" s="295" t="s">
        <v>631</v>
      </c>
      <c r="O244" s="209"/>
      <c r="P244" s="25"/>
      <c r="Q244" s="347" t="s">
        <v>281</v>
      </c>
      <c r="R244" s="26"/>
      <c r="S244" s="27"/>
      <c r="T244" s="301"/>
      <c r="U244" s="27"/>
      <c r="V244" s="118"/>
    </row>
    <row r="245" spans="1:23" s="119" customFormat="1" ht="24.9" customHeight="1">
      <c r="A245" s="296">
        <v>8</v>
      </c>
      <c r="B245" s="300" t="s">
        <v>638</v>
      </c>
      <c r="C245" s="303" t="s">
        <v>650</v>
      </c>
      <c r="D245" s="207" t="s">
        <v>235</v>
      </c>
      <c r="E245" s="298">
        <v>1</v>
      </c>
      <c r="F245" s="207" t="s">
        <v>236</v>
      </c>
      <c r="G245" s="208"/>
      <c r="H245" s="208"/>
      <c r="I245" s="299"/>
      <c r="J245" s="218"/>
      <c r="K245" s="208">
        <v>189.4</v>
      </c>
      <c r="L245" s="208"/>
      <c r="M245" s="208" t="s">
        <v>237</v>
      </c>
      <c r="N245" s="295" t="s">
        <v>651</v>
      </c>
      <c r="O245" s="209"/>
      <c r="P245" s="25"/>
      <c r="Q245" s="347" t="s">
        <v>281</v>
      </c>
      <c r="R245" s="26"/>
      <c r="S245" s="27"/>
      <c r="T245" s="301"/>
      <c r="U245" s="27"/>
      <c r="V245" s="118"/>
    </row>
    <row r="246" spans="1:23" s="119" customFormat="1" ht="24.9" customHeight="1">
      <c r="A246" s="296">
        <v>9</v>
      </c>
      <c r="B246" s="300" t="s">
        <v>638</v>
      </c>
      <c r="C246" s="303" t="s">
        <v>632</v>
      </c>
      <c r="D246" s="207" t="s">
        <v>235</v>
      </c>
      <c r="E246" s="298">
        <v>3</v>
      </c>
      <c r="F246" s="207" t="s">
        <v>236</v>
      </c>
      <c r="G246" s="208"/>
      <c r="H246" s="208"/>
      <c r="I246" s="299"/>
      <c r="J246" s="218"/>
      <c r="K246" s="208">
        <f>822.1/5*3</f>
        <v>493.26000000000005</v>
      </c>
      <c r="L246" s="208"/>
      <c r="M246" s="208" t="s">
        <v>237</v>
      </c>
      <c r="N246" s="295" t="s">
        <v>633</v>
      </c>
      <c r="O246" s="209"/>
      <c r="P246" s="25"/>
      <c r="Q246" s="347" t="s">
        <v>281</v>
      </c>
      <c r="R246" s="26"/>
      <c r="S246" s="27"/>
      <c r="T246" s="301"/>
      <c r="U246" s="27"/>
      <c r="V246" s="118"/>
    </row>
    <row r="247" spans="1:23" s="119" customFormat="1" ht="24.9" customHeight="1">
      <c r="A247" s="296">
        <v>10</v>
      </c>
      <c r="B247" s="300" t="s">
        <v>638</v>
      </c>
      <c r="C247" s="303" t="s">
        <v>652</v>
      </c>
      <c r="D247" s="207" t="s">
        <v>235</v>
      </c>
      <c r="E247" s="298">
        <v>2</v>
      </c>
      <c r="F247" s="207" t="s">
        <v>236</v>
      </c>
      <c r="G247" s="208"/>
      <c r="H247" s="208"/>
      <c r="I247" s="299"/>
      <c r="J247" s="218"/>
      <c r="K247" s="208">
        <f>824.8/5*2</f>
        <v>329.91999999999996</v>
      </c>
      <c r="L247" s="208"/>
      <c r="M247" s="208" t="s">
        <v>237</v>
      </c>
      <c r="N247" s="295" t="s">
        <v>653</v>
      </c>
      <c r="O247" s="209"/>
      <c r="P247" s="25"/>
      <c r="Q247" s="347" t="s">
        <v>281</v>
      </c>
      <c r="R247" s="26"/>
      <c r="S247" s="27"/>
      <c r="T247" s="301"/>
      <c r="U247" s="27"/>
      <c r="V247" s="118"/>
    </row>
    <row r="248" spans="1:23" s="307" customFormat="1" ht="24.9" customHeight="1">
      <c r="A248" s="234" t="s">
        <v>654</v>
      </c>
      <c r="B248" s="235">
        <f>RIGHT(B247, 2)*1</f>
        <v>34</v>
      </c>
      <c r="C248" s="246" t="s">
        <v>307</v>
      </c>
      <c r="D248" s="237"/>
      <c r="E248" s="238">
        <f>SUM(E238:E247)</f>
        <v>34</v>
      </c>
      <c r="F248" s="237"/>
      <c r="G248" s="239">
        <v>515</v>
      </c>
      <c r="H248" s="239">
        <v>220</v>
      </c>
      <c r="I248" s="240">
        <v>190</v>
      </c>
      <c r="J248" s="241">
        <f>ROUND(I248*H248*G248/1000000,3)</f>
        <v>21.527000000000001</v>
      </c>
      <c r="K248" s="242">
        <f>SUM(K238:K247)</f>
        <v>4858.08</v>
      </c>
      <c r="L248" s="239">
        <f>K248+100</f>
        <v>4958.08</v>
      </c>
      <c r="M248" s="239"/>
      <c r="N248" s="243"/>
      <c r="O248" s="244"/>
      <c r="P248" s="245"/>
      <c r="Q248" s="348"/>
      <c r="R248" s="26"/>
      <c r="S248" s="304"/>
      <c r="T248" s="305"/>
      <c r="U248" s="304"/>
      <c r="V248" s="306"/>
    </row>
    <row r="249" spans="1:23" s="119" customFormat="1" ht="24.9" customHeight="1">
      <c r="A249" s="296">
        <v>1</v>
      </c>
      <c r="B249" s="300" t="s">
        <v>655</v>
      </c>
      <c r="C249" s="303" t="s">
        <v>656</v>
      </c>
      <c r="D249" s="207" t="s">
        <v>235</v>
      </c>
      <c r="E249" s="321">
        <v>16</v>
      </c>
      <c r="F249" s="207" t="s">
        <v>236</v>
      </c>
      <c r="G249" s="208"/>
      <c r="H249" s="208"/>
      <c r="I249" s="299"/>
      <c r="J249" s="218"/>
      <c r="K249" s="322">
        <f>((1606.9/36)*E249)</f>
        <v>714.17777777777781</v>
      </c>
      <c r="L249" s="208"/>
      <c r="M249" s="208" t="s">
        <v>237</v>
      </c>
      <c r="N249" s="295" t="s">
        <v>657</v>
      </c>
      <c r="O249" s="209"/>
      <c r="P249" s="25"/>
      <c r="Q249" s="347" t="s">
        <v>297</v>
      </c>
      <c r="R249" s="26"/>
      <c r="S249" s="27">
        <v>3</v>
      </c>
      <c r="T249" s="301"/>
      <c r="U249" s="301">
        <f>$S302+T249</f>
        <v>2</v>
      </c>
      <c r="V249" s="301">
        <f>$S302+U249</f>
        <v>4</v>
      </c>
      <c r="W249" s="301">
        <f>$S302+V249</f>
        <v>6</v>
      </c>
    </row>
    <row r="250" spans="1:23" s="119" customFormat="1" ht="24.9" customHeight="1">
      <c r="A250" s="296">
        <v>2</v>
      </c>
      <c r="B250" s="300" t="s">
        <v>655</v>
      </c>
      <c r="C250" s="303" t="s">
        <v>658</v>
      </c>
      <c r="D250" s="207" t="s">
        <v>235</v>
      </c>
      <c r="E250" s="321">
        <v>48</v>
      </c>
      <c r="F250" s="207" t="s">
        <v>236</v>
      </c>
      <c r="G250" s="208"/>
      <c r="H250" s="208"/>
      <c r="I250" s="299"/>
      <c r="J250" s="218"/>
      <c r="K250" s="322">
        <f>((1606.9/36)*E250)</f>
        <v>2142.5333333333333</v>
      </c>
      <c r="L250" s="208"/>
      <c r="M250" s="208" t="s">
        <v>237</v>
      </c>
      <c r="N250" s="295" t="s">
        <v>659</v>
      </c>
      <c r="O250" s="209"/>
      <c r="P250" s="25"/>
      <c r="Q250" s="347" t="s">
        <v>297</v>
      </c>
      <c r="R250" s="26"/>
      <c r="S250" s="27"/>
      <c r="T250" s="301"/>
      <c r="U250" s="27"/>
      <c r="V250" s="118"/>
    </row>
    <row r="251" spans="1:23" s="119" customFormat="1" ht="24.9" customHeight="1">
      <c r="A251" s="296">
        <v>3</v>
      </c>
      <c r="B251" s="300" t="s">
        <v>655</v>
      </c>
      <c r="C251" s="303" t="s">
        <v>639</v>
      </c>
      <c r="D251" s="207" t="s">
        <v>235</v>
      </c>
      <c r="E251" s="321">
        <v>16</v>
      </c>
      <c r="F251" s="207" t="s">
        <v>236</v>
      </c>
      <c r="G251" s="208"/>
      <c r="H251" s="208"/>
      <c r="I251" s="299"/>
      <c r="J251" s="218"/>
      <c r="K251" s="322">
        <f>(5228.7/48)*E251</f>
        <v>1742.8999999999999</v>
      </c>
      <c r="L251" s="208"/>
      <c r="M251" s="208" t="s">
        <v>237</v>
      </c>
      <c r="N251" s="295" t="s">
        <v>640</v>
      </c>
      <c r="O251" s="209"/>
      <c r="P251" s="25"/>
      <c r="Q251" s="347" t="s">
        <v>297</v>
      </c>
      <c r="R251" s="26"/>
      <c r="S251" s="27"/>
      <c r="T251" s="301"/>
      <c r="U251" s="27"/>
      <c r="V251" s="118"/>
    </row>
    <row r="252" spans="1:23" s="119" customFormat="1" ht="24.9" customHeight="1">
      <c r="A252" s="296">
        <v>4</v>
      </c>
      <c r="B252" s="300" t="s">
        <v>655</v>
      </c>
      <c r="C252" s="303" t="s">
        <v>644</v>
      </c>
      <c r="D252" s="207" t="s">
        <v>235</v>
      </c>
      <c r="E252" s="298">
        <v>2</v>
      </c>
      <c r="F252" s="207" t="s">
        <v>236</v>
      </c>
      <c r="G252" s="208"/>
      <c r="H252" s="208"/>
      <c r="I252" s="299"/>
      <c r="J252" s="218"/>
      <c r="K252" s="208">
        <f>845.8/5*2</f>
        <v>338.32</v>
      </c>
      <c r="L252" s="208"/>
      <c r="M252" s="208" t="s">
        <v>237</v>
      </c>
      <c r="N252" s="295" t="s">
        <v>645</v>
      </c>
      <c r="O252" s="209"/>
      <c r="P252" s="25"/>
      <c r="Q252" s="347" t="s">
        <v>281</v>
      </c>
      <c r="R252" s="26"/>
      <c r="S252" s="27"/>
      <c r="T252" s="301"/>
      <c r="U252" s="27"/>
      <c r="V252" s="118"/>
    </row>
    <row r="253" spans="1:23" s="119" customFormat="1" ht="24.9" customHeight="1">
      <c r="A253" s="296">
        <v>5</v>
      </c>
      <c r="B253" s="300" t="s">
        <v>655</v>
      </c>
      <c r="C253" s="303" t="s">
        <v>660</v>
      </c>
      <c r="D253" s="207" t="s">
        <v>235</v>
      </c>
      <c r="E253" s="298">
        <v>1</v>
      </c>
      <c r="F253" s="207" t="s">
        <v>236</v>
      </c>
      <c r="G253" s="208"/>
      <c r="H253" s="208"/>
      <c r="I253" s="299"/>
      <c r="J253" s="218"/>
      <c r="K253" s="208">
        <v>171.9</v>
      </c>
      <c r="L253" s="208"/>
      <c r="M253" s="208" t="s">
        <v>237</v>
      </c>
      <c r="N253" s="295" t="s">
        <v>661</v>
      </c>
      <c r="O253" s="209"/>
      <c r="P253" s="25"/>
      <c r="Q253" s="347" t="s">
        <v>281</v>
      </c>
      <c r="R253" s="26"/>
      <c r="S253" s="27"/>
      <c r="T253" s="301"/>
      <c r="U253" s="27"/>
      <c r="V253" s="118"/>
    </row>
    <row r="254" spans="1:23" s="119" customFormat="1" ht="24.9" customHeight="1">
      <c r="A254" s="296">
        <v>6</v>
      </c>
      <c r="B254" s="300" t="s">
        <v>655</v>
      </c>
      <c r="C254" s="303" t="s">
        <v>652</v>
      </c>
      <c r="D254" s="207" t="s">
        <v>235</v>
      </c>
      <c r="E254" s="298">
        <v>3</v>
      </c>
      <c r="F254" s="207" t="s">
        <v>236</v>
      </c>
      <c r="G254" s="208"/>
      <c r="H254" s="208"/>
      <c r="I254" s="299"/>
      <c r="J254" s="218"/>
      <c r="K254" s="208">
        <f>824.8/5*3</f>
        <v>494.87999999999994</v>
      </c>
      <c r="L254" s="208"/>
      <c r="M254" s="208" t="s">
        <v>237</v>
      </c>
      <c r="N254" s="295" t="s">
        <v>653</v>
      </c>
      <c r="O254" s="209"/>
      <c r="P254" s="25"/>
      <c r="Q254" s="347" t="s">
        <v>281</v>
      </c>
      <c r="R254" s="26"/>
      <c r="S254" s="27"/>
      <c r="T254" s="301"/>
      <c r="U254" s="27"/>
      <c r="V254" s="118"/>
    </row>
    <row r="255" spans="1:23" s="307" customFormat="1" ht="24.9" customHeight="1">
      <c r="A255" s="234" t="s">
        <v>662</v>
      </c>
      <c r="B255" s="235">
        <f>RIGHT(B254, 2)*1</f>
        <v>35</v>
      </c>
      <c r="C255" s="246" t="s">
        <v>307</v>
      </c>
      <c r="D255" s="237"/>
      <c r="E255" s="238">
        <f>SUM(E249:E254)</f>
        <v>86</v>
      </c>
      <c r="F255" s="237"/>
      <c r="G255" s="239">
        <v>515</v>
      </c>
      <c r="H255" s="239">
        <v>220</v>
      </c>
      <c r="I255" s="240">
        <v>130</v>
      </c>
      <c r="J255" s="241">
        <f>ROUND(I255*H255*G255/1000000,3)</f>
        <v>14.728999999999999</v>
      </c>
      <c r="K255" s="242">
        <f>SUM(K249:K254)</f>
        <v>5604.7111111111108</v>
      </c>
      <c r="L255" s="239">
        <f>K255+100</f>
        <v>5704.7111111111108</v>
      </c>
      <c r="M255" s="239"/>
      <c r="N255" s="243"/>
      <c r="O255" s="244"/>
      <c r="P255" s="245"/>
      <c r="Q255" s="348"/>
      <c r="R255" s="26"/>
      <c r="S255" s="304"/>
      <c r="T255" s="305"/>
      <c r="U255" s="304"/>
      <c r="V255" s="306"/>
    </row>
    <row r="256" spans="1:23" s="119" customFormat="1" ht="24.9" customHeight="1">
      <c r="A256" s="296">
        <v>1</v>
      </c>
      <c r="B256" s="300" t="s">
        <v>663</v>
      </c>
      <c r="C256" s="303" t="s">
        <v>656</v>
      </c>
      <c r="D256" s="207" t="s">
        <v>235</v>
      </c>
      <c r="E256" s="321">
        <v>56</v>
      </c>
      <c r="F256" s="207" t="s">
        <v>236</v>
      </c>
      <c r="G256" s="208"/>
      <c r="H256" s="208"/>
      <c r="I256" s="299"/>
      <c r="J256" s="218"/>
      <c r="K256" s="322">
        <f>(1606.9/36)*E256</f>
        <v>2499.6222222222223</v>
      </c>
      <c r="L256" s="208"/>
      <c r="M256" s="208" t="s">
        <v>237</v>
      </c>
      <c r="N256" s="295" t="s">
        <v>657</v>
      </c>
      <c r="O256" s="209"/>
      <c r="P256" s="25"/>
      <c r="Q256" s="347" t="s">
        <v>297</v>
      </c>
      <c r="R256" s="26"/>
      <c r="S256" s="27">
        <v>3</v>
      </c>
      <c r="T256" s="301"/>
      <c r="U256" s="301" t="e">
        <f>#REF!+T256</f>
        <v>#REF!</v>
      </c>
      <c r="V256" s="301" t="e">
        <f>#REF!+U256</f>
        <v>#REF!</v>
      </c>
      <c r="W256" s="301" t="e">
        <f>#REF!+V256</f>
        <v>#REF!</v>
      </c>
    </row>
    <row r="257" spans="1:22" s="119" customFormat="1" ht="24.9" customHeight="1">
      <c r="A257" s="296">
        <v>2</v>
      </c>
      <c r="B257" s="300" t="s">
        <v>663</v>
      </c>
      <c r="C257" s="303" t="s">
        <v>658</v>
      </c>
      <c r="D257" s="207" t="s">
        <v>235</v>
      </c>
      <c r="E257" s="321">
        <v>24</v>
      </c>
      <c r="F257" s="207" t="s">
        <v>236</v>
      </c>
      <c r="G257" s="208"/>
      <c r="H257" s="208"/>
      <c r="I257" s="299"/>
      <c r="J257" s="218"/>
      <c r="K257" s="322">
        <f>(1606.9/36)*E257</f>
        <v>1071.2666666666667</v>
      </c>
      <c r="L257" s="208"/>
      <c r="M257" s="208" t="s">
        <v>237</v>
      </c>
      <c r="N257" s="295" t="s">
        <v>659</v>
      </c>
      <c r="O257" s="209"/>
      <c r="P257" s="25"/>
      <c r="Q257" s="347" t="s">
        <v>297</v>
      </c>
      <c r="R257" s="26"/>
      <c r="S257" s="27"/>
      <c r="T257" s="301"/>
      <c r="U257" s="27"/>
      <c r="V257" s="118"/>
    </row>
    <row r="258" spans="1:22" s="119" customFormat="1" ht="24.9" customHeight="1">
      <c r="A258" s="296">
        <v>3</v>
      </c>
      <c r="B258" s="300" t="s">
        <v>663</v>
      </c>
      <c r="C258" s="303" t="s">
        <v>639</v>
      </c>
      <c r="D258" s="207" t="s">
        <v>235</v>
      </c>
      <c r="E258" s="321">
        <v>16</v>
      </c>
      <c r="F258" s="207" t="s">
        <v>236</v>
      </c>
      <c r="G258" s="208"/>
      <c r="H258" s="208"/>
      <c r="I258" s="299"/>
      <c r="J258" s="218"/>
      <c r="K258" s="322">
        <f>(5228.7/48)*E258</f>
        <v>1742.8999999999999</v>
      </c>
      <c r="L258" s="208"/>
      <c r="M258" s="208" t="s">
        <v>237</v>
      </c>
      <c r="N258" s="295" t="s">
        <v>640</v>
      </c>
      <c r="O258" s="209"/>
      <c r="P258" s="25"/>
      <c r="Q258" s="347" t="s">
        <v>297</v>
      </c>
      <c r="R258" s="26"/>
      <c r="S258" s="27"/>
      <c r="T258" s="301"/>
      <c r="U258" s="27"/>
      <c r="V258" s="118"/>
    </row>
    <row r="259" spans="1:22" s="119" customFormat="1" ht="24.9" customHeight="1">
      <c r="A259" s="296">
        <v>4</v>
      </c>
      <c r="B259" s="300" t="s">
        <v>663</v>
      </c>
      <c r="C259" s="303" t="s">
        <v>664</v>
      </c>
      <c r="D259" s="207" t="s">
        <v>235</v>
      </c>
      <c r="E259" s="298">
        <v>48</v>
      </c>
      <c r="F259" s="207" t="s">
        <v>236</v>
      </c>
      <c r="G259" s="208"/>
      <c r="H259" s="208"/>
      <c r="I259" s="299"/>
      <c r="J259" s="218"/>
      <c r="K259" s="208">
        <v>1451.5</v>
      </c>
      <c r="L259" s="208"/>
      <c r="M259" s="208" t="s">
        <v>237</v>
      </c>
      <c r="N259" s="295" t="s">
        <v>665</v>
      </c>
      <c r="O259" s="209"/>
      <c r="P259" s="25"/>
      <c r="Q259" s="347" t="s">
        <v>393</v>
      </c>
      <c r="R259" s="26"/>
      <c r="S259" s="27"/>
      <c r="T259" s="301"/>
      <c r="U259" s="27"/>
      <c r="V259" s="118"/>
    </row>
    <row r="260" spans="1:22" s="307" customFormat="1" ht="24.9" customHeight="1">
      <c r="A260" s="234" t="s">
        <v>666</v>
      </c>
      <c r="B260" s="235">
        <f>RIGHT(B259, 2)*1</f>
        <v>36</v>
      </c>
      <c r="C260" s="246" t="s">
        <v>667</v>
      </c>
      <c r="D260" s="237"/>
      <c r="E260" s="238">
        <f>SUM(E256:E259)</f>
        <v>144</v>
      </c>
      <c r="F260" s="237"/>
      <c r="G260" s="239">
        <v>515</v>
      </c>
      <c r="H260" s="239">
        <v>220</v>
      </c>
      <c r="I260" s="240">
        <v>130</v>
      </c>
      <c r="J260" s="241">
        <f>ROUND(I260*H260*G260/1000000,3)</f>
        <v>14.728999999999999</v>
      </c>
      <c r="K260" s="242">
        <f>SUM(K256:K259)</f>
        <v>6765.2888888888883</v>
      </c>
      <c r="L260" s="239">
        <f>K260+100</f>
        <v>6865.2888888888883</v>
      </c>
      <c r="M260" s="239"/>
      <c r="N260" s="243"/>
      <c r="O260" s="244"/>
      <c r="P260" s="245"/>
      <c r="Q260" s="348"/>
      <c r="R260" s="26"/>
      <c r="S260" s="304"/>
      <c r="T260" s="305"/>
      <c r="U260" s="304"/>
      <c r="V260" s="306"/>
    </row>
    <row r="261" spans="1:22" s="119" customFormat="1" ht="24.9" customHeight="1">
      <c r="A261" s="296">
        <v>1</v>
      </c>
      <c r="B261" s="300" t="s">
        <v>668</v>
      </c>
      <c r="C261" s="303" t="s">
        <v>669</v>
      </c>
      <c r="D261" s="207" t="s">
        <v>235</v>
      </c>
      <c r="E261" s="298">
        <v>5</v>
      </c>
      <c r="F261" s="207" t="s">
        <v>236</v>
      </c>
      <c r="G261" s="208"/>
      <c r="H261" s="208"/>
      <c r="I261" s="299"/>
      <c r="J261" s="218"/>
      <c r="K261" s="208">
        <v>448.1</v>
      </c>
      <c r="L261" s="208"/>
      <c r="M261" s="208" t="s">
        <v>237</v>
      </c>
      <c r="N261" s="295" t="s">
        <v>670</v>
      </c>
      <c r="O261" s="209"/>
      <c r="P261" s="25"/>
      <c r="Q261" s="347" t="s">
        <v>321</v>
      </c>
      <c r="R261" s="26"/>
      <c r="S261" s="27"/>
      <c r="T261" s="301"/>
      <c r="U261" s="27"/>
      <c r="V261" s="118"/>
    </row>
    <row r="262" spans="1:22" s="119" customFormat="1" ht="24.9" customHeight="1">
      <c r="A262" s="296">
        <v>2</v>
      </c>
      <c r="B262" s="300" t="s">
        <v>668</v>
      </c>
      <c r="C262" s="303" t="s">
        <v>671</v>
      </c>
      <c r="D262" s="207" t="s">
        <v>235</v>
      </c>
      <c r="E262" s="298">
        <v>7</v>
      </c>
      <c r="F262" s="207" t="s">
        <v>236</v>
      </c>
      <c r="G262" s="208"/>
      <c r="H262" s="208"/>
      <c r="I262" s="299"/>
      <c r="J262" s="218"/>
      <c r="K262" s="208">
        <v>165.1</v>
      </c>
      <c r="L262" s="208"/>
      <c r="M262" s="208" t="s">
        <v>237</v>
      </c>
      <c r="N262" s="295" t="s">
        <v>672</v>
      </c>
      <c r="O262" s="209"/>
      <c r="P262" s="25"/>
      <c r="Q262" s="347" t="s">
        <v>321</v>
      </c>
      <c r="R262" s="26"/>
      <c r="S262" s="27"/>
      <c r="T262" s="301"/>
      <c r="U262" s="27"/>
      <c r="V262" s="118"/>
    </row>
    <row r="263" spans="1:22" s="119" customFormat="1" ht="24.9" customHeight="1">
      <c r="A263" s="296">
        <v>3</v>
      </c>
      <c r="B263" s="300" t="s">
        <v>668</v>
      </c>
      <c r="C263" s="303" t="s">
        <v>673</v>
      </c>
      <c r="D263" s="207" t="s">
        <v>235</v>
      </c>
      <c r="E263" s="298">
        <v>12</v>
      </c>
      <c r="F263" s="207" t="s">
        <v>236</v>
      </c>
      <c r="G263" s="208"/>
      <c r="H263" s="208"/>
      <c r="I263" s="299"/>
      <c r="J263" s="218"/>
      <c r="K263" s="208">
        <v>616.79999999999995</v>
      </c>
      <c r="L263" s="208"/>
      <c r="M263" s="208" t="s">
        <v>237</v>
      </c>
      <c r="N263" s="295" t="s">
        <v>674</v>
      </c>
      <c r="O263" s="209"/>
      <c r="P263" s="25"/>
      <c r="Q263" s="347" t="s">
        <v>321</v>
      </c>
      <c r="R263" s="26"/>
      <c r="S263" s="27"/>
      <c r="T263" s="301"/>
      <c r="U263" s="27"/>
      <c r="V263" s="118"/>
    </row>
    <row r="264" spans="1:22" s="119" customFormat="1" ht="24.9" customHeight="1">
      <c r="A264" s="296">
        <v>4</v>
      </c>
      <c r="B264" s="300" t="s">
        <v>668</v>
      </c>
      <c r="C264" s="303" t="s">
        <v>675</v>
      </c>
      <c r="D264" s="207" t="s">
        <v>235</v>
      </c>
      <c r="E264" s="298">
        <v>12</v>
      </c>
      <c r="F264" s="207" t="s">
        <v>236</v>
      </c>
      <c r="G264" s="208"/>
      <c r="H264" s="208"/>
      <c r="I264" s="299"/>
      <c r="J264" s="218"/>
      <c r="K264" s="208">
        <v>319.8</v>
      </c>
      <c r="L264" s="208"/>
      <c r="M264" s="208" t="s">
        <v>237</v>
      </c>
      <c r="N264" s="295" t="s">
        <v>676</v>
      </c>
      <c r="O264" s="209"/>
      <c r="P264" s="25"/>
      <c r="Q264" s="347" t="s">
        <v>321</v>
      </c>
      <c r="R264" s="26"/>
      <c r="S264" s="27"/>
      <c r="T264" s="301"/>
      <c r="U264" s="27"/>
      <c r="V264" s="118"/>
    </row>
    <row r="265" spans="1:22" s="119" customFormat="1" ht="24.9" customHeight="1">
      <c r="A265" s="296">
        <v>5</v>
      </c>
      <c r="B265" s="300" t="s">
        <v>668</v>
      </c>
      <c r="C265" s="308" t="s">
        <v>677</v>
      </c>
      <c r="D265" s="207" t="s">
        <v>235</v>
      </c>
      <c r="E265" s="298">
        <v>12</v>
      </c>
      <c r="F265" s="207" t="s">
        <v>236</v>
      </c>
      <c r="G265" s="208"/>
      <c r="H265" s="208"/>
      <c r="I265" s="299"/>
      <c r="J265" s="218"/>
      <c r="K265" s="208">
        <v>576.29999999999995</v>
      </c>
      <c r="L265" s="208"/>
      <c r="M265" s="208" t="s">
        <v>237</v>
      </c>
      <c r="N265" s="295" t="s">
        <v>678</v>
      </c>
      <c r="O265" s="209"/>
      <c r="P265" s="25"/>
      <c r="Q265" s="347" t="s">
        <v>333</v>
      </c>
      <c r="R265" s="26"/>
      <c r="S265" s="27"/>
      <c r="T265" s="301"/>
      <c r="U265" s="27"/>
      <c r="V265" s="118"/>
    </row>
    <row r="266" spans="1:22" s="119" customFormat="1" ht="24.9" customHeight="1">
      <c r="A266" s="296">
        <v>6</v>
      </c>
      <c r="B266" s="300" t="s">
        <v>668</v>
      </c>
      <c r="C266" s="303" t="s">
        <v>679</v>
      </c>
      <c r="D266" s="207" t="s">
        <v>235</v>
      </c>
      <c r="E266" s="298">
        <v>1</v>
      </c>
      <c r="F266" s="207" t="s">
        <v>236</v>
      </c>
      <c r="G266" s="208"/>
      <c r="H266" s="208"/>
      <c r="I266" s="299"/>
      <c r="J266" s="218"/>
      <c r="K266" s="208">
        <v>113.9</v>
      </c>
      <c r="L266" s="208"/>
      <c r="M266" s="208" t="s">
        <v>237</v>
      </c>
      <c r="N266" s="295" t="s">
        <v>680</v>
      </c>
      <c r="O266" s="209"/>
      <c r="P266" s="25"/>
      <c r="Q266" s="347" t="s">
        <v>333</v>
      </c>
      <c r="R266" s="26"/>
      <c r="S266" s="27"/>
      <c r="T266" s="301"/>
      <c r="U266" s="27"/>
      <c r="V266" s="118"/>
    </row>
    <row r="267" spans="1:22" s="119" customFormat="1" ht="24.9" customHeight="1">
      <c r="A267" s="296">
        <v>7</v>
      </c>
      <c r="B267" s="300" t="s">
        <v>668</v>
      </c>
      <c r="C267" s="303" t="s">
        <v>681</v>
      </c>
      <c r="D267" s="207" t="s">
        <v>235</v>
      </c>
      <c r="E267" s="298">
        <v>1</v>
      </c>
      <c r="F267" s="207" t="s">
        <v>236</v>
      </c>
      <c r="G267" s="208"/>
      <c r="H267" s="208"/>
      <c r="I267" s="299"/>
      <c r="J267" s="218"/>
      <c r="K267" s="208">
        <v>113.9</v>
      </c>
      <c r="L267" s="208"/>
      <c r="M267" s="208" t="s">
        <v>237</v>
      </c>
      <c r="N267" s="295" t="s">
        <v>682</v>
      </c>
      <c r="O267" s="209"/>
      <c r="P267" s="25"/>
      <c r="Q267" s="347" t="s">
        <v>333</v>
      </c>
      <c r="R267" s="26"/>
      <c r="S267" s="27"/>
      <c r="T267" s="301"/>
      <c r="U267" s="27"/>
      <c r="V267" s="118"/>
    </row>
    <row r="268" spans="1:22" s="119" customFormat="1" ht="24.9" customHeight="1">
      <c r="A268" s="296">
        <v>8</v>
      </c>
      <c r="B268" s="300" t="s">
        <v>668</v>
      </c>
      <c r="C268" s="303" t="s">
        <v>683</v>
      </c>
      <c r="D268" s="207" t="s">
        <v>235</v>
      </c>
      <c r="E268" s="298">
        <v>4</v>
      </c>
      <c r="F268" s="207" t="s">
        <v>236</v>
      </c>
      <c r="G268" s="208"/>
      <c r="H268" s="208"/>
      <c r="I268" s="299"/>
      <c r="J268" s="218"/>
      <c r="K268" s="208">
        <v>151</v>
      </c>
      <c r="L268" s="208"/>
      <c r="M268" s="208" t="s">
        <v>237</v>
      </c>
      <c r="N268" s="295" t="s">
        <v>684</v>
      </c>
      <c r="O268" s="209"/>
      <c r="P268" s="25"/>
      <c r="Q268" s="347" t="s">
        <v>333</v>
      </c>
      <c r="R268" s="26"/>
      <c r="S268" s="27"/>
      <c r="T268" s="301"/>
      <c r="U268" s="27"/>
      <c r="V268" s="118"/>
    </row>
    <row r="269" spans="1:22" s="119" customFormat="1" ht="24.9" customHeight="1">
      <c r="A269" s="296">
        <v>9</v>
      </c>
      <c r="B269" s="300" t="s">
        <v>668</v>
      </c>
      <c r="C269" s="303" t="s">
        <v>685</v>
      </c>
      <c r="D269" s="207" t="s">
        <v>235</v>
      </c>
      <c r="E269" s="298">
        <v>12</v>
      </c>
      <c r="F269" s="207" t="s">
        <v>236</v>
      </c>
      <c r="G269" s="208"/>
      <c r="H269" s="208"/>
      <c r="I269" s="299"/>
      <c r="J269" s="218"/>
      <c r="K269" s="208">
        <v>616.79999999999995</v>
      </c>
      <c r="L269" s="208"/>
      <c r="M269" s="208" t="s">
        <v>237</v>
      </c>
      <c r="N269" s="295" t="s">
        <v>686</v>
      </c>
      <c r="O269" s="209"/>
      <c r="P269" s="25"/>
      <c r="Q269" s="347" t="s">
        <v>333</v>
      </c>
      <c r="R269" s="26"/>
      <c r="S269" s="27"/>
      <c r="T269" s="301"/>
      <c r="U269" s="27"/>
      <c r="V269" s="118"/>
    </row>
    <row r="270" spans="1:22" s="119" customFormat="1" ht="24.9" customHeight="1">
      <c r="A270" s="296">
        <v>10</v>
      </c>
      <c r="B270" s="300" t="s">
        <v>668</v>
      </c>
      <c r="C270" s="303" t="s">
        <v>687</v>
      </c>
      <c r="D270" s="207" t="s">
        <v>235</v>
      </c>
      <c r="E270" s="298">
        <v>1</v>
      </c>
      <c r="F270" s="207" t="s">
        <v>86</v>
      </c>
      <c r="G270" s="208"/>
      <c r="H270" s="208"/>
      <c r="I270" s="299"/>
      <c r="J270" s="218"/>
      <c r="K270" s="208">
        <v>59.1</v>
      </c>
      <c r="L270" s="208"/>
      <c r="M270" s="208" t="s">
        <v>237</v>
      </c>
      <c r="N270" s="295" t="s">
        <v>688</v>
      </c>
      <c r="O270" s="209"/>
      <c r="P270" s="25"/>
      <c r="Q270" s="347" t="s">
        <v>689</v>
      </c>
      <c r="R270" s="26"/>
      <c r="S270" s="27"/>
      <c r="T270" s="301"/>
      <c r="U270" s="27"/>
      <c r="V270" s="118"/>
    </row>
    <row r="271" spans="1:22" s="307" customFormat="1" ht="24.9" customHeight="1">
      <c r="A271" s="234" t="s">
        <v>690</v>
      </c>
      <c r="B271" s="235">
        <f>RIGHT(B270, 2)*1</f>
        <v>37</v>
      </c>
      <c r="C271" s="246" t="s">
        <v>691</v>
      </c>
      <c r="D271" s="237"/>
      <c r="E271" s="238">
        <f>SUM(E261:E270)</f>
        <v>67</v>
      </c>
      <c r="F271" s="237"/>
      <c r="G271" s="239">
        <v>290</v>
      </c>
      <c r="H271" s="239">
        <v>220</v>
      </c>
      <c r="I271" s="240">
        <v>200</v>
      </c>
      <c r="J271" s="241">
        <f>ROUND(I271*H271*G271/1000000,3)</f>
        <v>12.76</v>
      </c>
      <c r="K271" s="242">
        <f>SUM(K261:K270)</f>
        <v>3180.7999999999997</v>
      </c>
      <c r="L271" s="239">
        <f>K271+100</f>
        <v>3280.7999999999997</v>
      </c>
      <c r="M271" s="239"/>
      <c r="N271" s="243"/>
      <c r="O271" s="244"/>
      <c r="P271" s="245"/>
      <c r="Q271" s="348"/>
      <c r="R271" s="26"/>
      <c r="S271" s="304"/>
      <c r="T271" s="305"/>
      <c r="U271" s="304"/>
      <c r="V271" s="306"/>
    </row>
    <row r="272" spans="1:22" s="119" customFormat="1" ht="24.9" customHeight="1">
      <c r="A272" s="296">
        <v>1</v>
      </c>
      <c r="B272" s="300" t="s">
        <v>692</v>
      </c>
      <c r="C272" s="303" t="s">
        <v>693</v>
      </c>
      <c r="D272" s="207" t="s">
        <v>235</v>
      </c>
      <c r="E272" s="298">
        <v>12</v>
      </c>
      <c r="F272" s="207" t="s">
        <v>236</v>
      </c>
      <c r="G272" s="208"/>
      <c r="H272" s="208"/>
      <c r="I272" s="299"/>
      <c r="J272" s="218"/>
      <c r="K272" s="208">
        <v>1293</v>
      </c>
      <c r="L272" s="208"/>
      <c r="M272" s="208" t="s">
        <v>237</v>
      </c>
      <c r="N272" s="295" t="s">
        <v>694</v>
      </c>
      <c r="O272" s="209"/>
      <c r="P272" s="25"/>
      <c r="Q272" s="347" t="s">
        <v>347</v>
      </c>
      <c r="R272" s="26"/>
      <c r="S272" s="27"/>
      <c r="T272" s="301"/>
      <c r="U272" s="27"/>
      <c r="V272" s="118"/>
    </row>
    <row r="273" spans="1:22" s="119" customFormat="1" ht="24.9" customHeight="1">
      <c r="A273" s="296">
        <v>2</v>
      </c>
      <c r="B273" s="300" t="s">
        <v>692</v>
      </c>
      <c r="C273" s="303" t="s">
        <v>695</v>
      </c>
      <c r="D273" s="207" t="s">
        <v>235</v>
      </c>
      <c r="E273" s="298">
        <v>6</v>
      </c>
      <c r="F273" s="207" t="s">
        <v>236</v>
      </c>
      <c r="G273" s="208"/>
      <c r="H273" s="208"/>
      <c r="I273" s="299"/>
      <c r="J273" s="218"/>
      <c r="K273" s="208">
        <v>30</v>
      </c>
      <c r="L273" s="208"/>
      <c r="M273" s="208" t="s">
        <v>237</v>
      </c>
      <c r="N273" s="295" t="s">
        <v>694</v>
      </c>
      <c r="O273" s="209"/>
      <c r="P273" s="25"/>
      <c r="Q273" s="347" t="s">
        <v>347</v>
      </c>
      <c r="R273" s="26"/>
      <c r="S273" s="27"/>
      <c r="T273" s="301"/>
      <c r="U273" s="27"/>
      <c r="V273" s="118"/>
    </row>
    <row r="274" spans="1:22" s="307" customFormat="1" ht="24.9" customHeight="1">
      <c r="A274" s="234" t="s">
        <v>696</v>
      </c>
      <c r="B274" s="235">
        <f>RIGHT(B273, 2)*1</f>
        <v>38</v>
      </c>
      <c r="C274" s="246" t="s">
        <v>347</v>
      </c>
      <c r="D274" s="237"/>
      <c r="E274" s="238">
        <f>SUM(E272:E273)</f>
        <v>18</v>
      </c>
      <c r="F274" s="237"/>
      <c r="G274" s="239">
        <v>510</v>
      </c>
      <c r="H274" s="239">
        <v>226</v>
      </c>
      <c r="I274" s="240">
        <v>230</v>
      </c>
      <c r="J274" s="241">
        <f>ROUND(I274*H274*G274/1000000,3)</f>
        <v>26.51</v>
      </c>
      <c r="K274" s="242">
        <f>SUM(K272:K273)</f>
        <v>1323</v>
      </c>
      <c r="L274" s="239">
        <f>K274+140</f>
        <v>1463</v>
      </c>
      <c r="M274" s="239"/>
      <c r="N274" s="243"/>
      <c r="O274" s="244"/>
      <c r="P274" s="245"/>
      <c r="Q274" s="348"/>
      <c r="R274" s="26"/>
      <c r="S274" s="304"/>
      <c r="T274" s="305"/>
      <c r="U274" s="304"/>
      <c r="V274" s="306"/>
    </row>
    <row r="275" spans="1:22" s="119" customFormat="1" ht="24.9" customHeight="1">
      <c r="A275" s="296">
        <v>1</v>
      </c>
      <c r="B275" s="300" t="s">
        <v>697</v>
      </c>
      <c r="C275" s="303" t="s">
        <v>693</v>
      </c>
      <c r="D275" s="207" t="s">
        <v>235</v>
      </c>
      <c r="E275" s="298">
        <v>12</v>
      </c>
      <c r="F275" s="207" t="s">
        <v>236</v>
      </c>
      <c r="G275" s="208"/>
      <c r="H275" s="208"/>
      <c r="I275" s="299"/>
      <c r="J275" s="218"/>
      <c r="K275" s="208">
        <v>1293</v>
      </c>
      <c r="L275" s="208"/>
      <c r="M275" s="208" t="s">
        <v>237</v>
      </c>
      <c r="N275" s="295" t="s">
        <v>694</v>
      </c>
      <c r="O275" s="209"/>
      <c r="P275" s="25"/>
      <c r="Q275" s="347" t="s">
        <v>347</v>
      </c>
      <c r="R275" s="26"/>
      <c r="S275" s="27"/>
      <c r="T275" s="301"/>
      <c r="U275" s="27"/>
      <c r="V275" s="118"/>
    </row>
    <row r="276" spans="1:22" s="119" customFormat="1" ht="24.9" customHeight="1">
      <c r="A276" s="296">
        <v>2</v>
      </c>
      <c r="B276" s="300" t="s">
        <v>697</v>
      </c>
      <c r="C276" s="303" t="s">
        <v>698</v>
      </c>
      <c r="D276" s="207" t="s">
        <v>235</v>
      </c>
      <c r="E276" s="298">
        <v>12</v>
      </c>
      <c r="F276" s="207" t="s">
        <v>236</v>
      </c>
      <c r="G276" s="208"/>
      <c r="H276" s="208"/>
      <c r="I276" s="299"/>
      <c r="J276" s="218"/>
      <c r="K276" s="208">
        <f>46*2</f>
        <v>92</v>
      </c>
      <c r="L276" s="208"/>
      <c r="M276" s="208" t="s">
        <v>237</v>
      </c>
      <c r="N276" s="295" t="s">
        <v>694</v>
      </c>
      <c r="O276" s="209"/>
      <c r="P276" s="25"/>
      <c r="Q276" s="347" t="s">
        <v>347</v>
      </c>
      <c r="R276" s="26"/>
      <c r="S276" s="27"/>
      <c r="T276" s="301"/>
      <c r="U276" s="27"/>
      <c r="V276" s="118"/>
    </row>
    <row r="277" spans="1:22" s="119" customFormat="1" ht="24.9" customHeight="1">
      <c r="A277" s="296">
        <v>3</v>
      </c>
      <c r="B277" s="300" t="s">
        <v>697</v>
      </c>
      <c r="C277" s="303" t="s">
        <v>699</v>
      </c>
      <c r="D277" s="207" t="s">
        <v>235</v>
      </c>
      <c r="E277" s="298">
        <v>12</v>
      </c>
      <c r="F277" s="207" t="s">
        <v>236</v>
      </c>
      <c r="G277" s="208"/>
      <c r="H277" s="208"/>
      <c r="I277" s="299"/>
      <c r="J277" s="218"/>
      <c r="K277" s="208">
        <f>48*2</f>
        <v>96</v>
      </c>
      <c r="L277" s="208"/>
      <c r="M277" s="208" t="s">
        <v>237</v>
      </c>
      <c r="N277" s="295" t="s">
        <v>694</v>
      </c>
      <c r="O277" s="209"/>
      <c r="P277" s="25"/>
      <c r="Q277" s="347" t="s">
        <v>347</v>
      </c>
      <c r="R277" s="26"/>
      <c r="S277" s="27"/>
      <c r="T277" s="301"/>
      <c r="U277" s="27"/>
      <c r="V277" s="118"/>
    </row>
    <row r="278" spans="1:22" s="119" customFormat="1" ht="24.9" customHeight="1">
      <c r="A278" s="296">
        <v>4</v>
      </c>
      <c r="B278" s="300" t="s">
        <v>697</v>
      </c>
      <c r="C278" s="303" t="s">
        <v>700</v>
      </c>
      <c r="D278" s="207" t="s">
        <v>235</v>
      </c>
      <c r="E278" s="298">
        <v>12</v>
      </c>
      <c r="F278" s="207" t="s">
        <v>236</v>
      </c>
      <c r="G278" s="208"/>
      <c r="H278" s="208"/>
      <c r="I278" s="299"/>
      <c r="J278" s="218"/>
      <c r="K278" s="208">
        <f>60*2</f>
        <v>120</v>
      </c>
      <c r="L278" s="208"/>
      <c r="M278" s="208" t="s">
        <v>237</v>
      </c>
      <c r="N278" s="295" t="s">
        <v>694</v>
      </c>
      <c r="O278" s="209"/>
      <c r="P278" s="25"/>
      <c r="Q278" s="347" t="s">
        <v>347</v>
      </c>
      <c r="R278" s="26"/>
      <c r="S278" s="27"/>
      <c r="T278" s="301"/>
      <c r="U278" s="27"/>
      <c r="V278" s="118"/>
    </row>
    <row r="279" spans="1:22" s="119" customFormat="1" ht="24.9" customHeight="1">
      <c r="A279" s="296">
        <v>5</v>
      </c>
      <c r="B279" s="300" t="s">
        <v>697</v>
      </c>
      <c r="C279" s="303" t="s">
        <v>701</v>
      </c>
      <c r="D279" s="207" t="s">
        <v>235</v>
      </c>
      <c r="E279" s="298">
        <v>12</v>
      </c>
      <c r="F279" s="207" t="s">
        <v>236</v>
      </c>
      <c r="G279" s="208"/>
      <c r="H279" s="208"/>
      <c r="I279" s="299"/>
      <c r="J279" s="218"/>
      <c r="K279" s="208">
        <f>34*2</f>
        <v>68</v>
      </c>
      <c r="L279" s="208"/>
      <c r="M279" s="208" t="s">
        <v>237</v>
      </c>
      <c r="N279" s="295" t="s">
        <v>694</v>
      </c>
      <c r="O279" s="209"/>
      <c r="P279" s="25"/>
      <c r="Q279" s="347" t="s">
        <v>347</v>
      </c>
      <c r="R279" s="26"/>
      <c r="S279" s="27"/>
      <c r="T279" s="301"/>
      <c r="U279" s="27"/>
      <c r="V279" s="118"/>
    </row>
    <row r="280" spans="1:22" s="119" customFormat="1" ht="24.9" customHeight="1">
      <c r="A280" s="296">
        <v>6</v>
      </c>
      <c r="B280" s="300" t="s">
        <v>697</v>
      </c>
      <c r="C280" s="303" t="s">
        <v>695</v>
      </c>
      <c r="D280" s="207" t="s">
        <v>235</v>
      </c>
      <c r="E280" s="298">
        <v>6</v>
      </c>
      <c r="F280" s="207" t="s">
        <v>236</v>
      </c>
      <c r="G280" s="208"/>
      <c r="H280" s="208"/>
      <c r="I280" s="299"/>
      <c r="J280" s="218"/>
      <c r="K280" s="208">
        <v>30</v>
      </c>
      <c r="L280" s="208"/>
      <c r="M280" s="208" t="s">
        <v>237</v>
      </c>
      <c r="N280" s="295" t="s">
        <v>694</v>
      </c>
      <c r="O280" s="209"/>
      <c r="P280" s="25"/>
      <c r="Q280" s="347" t="s">
        <v>347</v>
      </c>
      <c r="R280" s="26"/>
      <c r="S280" s="27"/>
      <c r="T280" s="301"/>
      <c r="U280" s="27"/>
      <c r="V280" s="118"/>
    </row>
    <row r="281" spans="1:22" s="119" customFormat="1" ht="24.9" customHeight="1">
      <c r="A281" s="296">
        <v>7</v>
      </c>
      <c r="B281" s="300" t="s">
        <v>697</v>
      </c>
      <c r="C281" s="303" t="s">
        <v>702</v>
      </c>
      <c r="D281" s="207" t="s">
        <v>235</v>
      </c>
      <c r="E281" s="298">
        <v>12</v>
      </c>
      <c r="F281" s="207" t="s">
        <v>236</v>
      </c>
      <c r="G281" s="208"/>
      <c r="H281" s="208"/>
      <c r="I281" s="299"/>
      <c r="J281" s="218"/>
      <c r="K281" s="208">
        <v>59.3</v>
      </c>
      <c r="L281" s="208"/>
      <c r="M281" s="208" t="s">
        <v>237</v>
      </c>
      <c r="N281" s="295" t="s">
        <v>703</v>
      </c>
      <c r="O281" s="209"/>
      <c r="P281" s="25"/>
      <c r="Q281" s="347" t="s">
        <v>357</v>
      </c>
      <c r="R281" s="26"/>
      <c r="S281" s="27"/>
      <c r="T281" s="301"/>
      <c r="U281" s="27"/>
      <c r="V281" s="118"/>
    </row>
    <row r="282" spans="1:22" s="119" customFormat="1" ht="24.9" customHeight="1">
      <c r="A282" s="296">
        <v>8</v>
      </c>
      <c r="B282" s="300" t="s">
        <v>697</v>
      </c>
      <c r="C282" s="303" t="s">
        <v>704</v>
      </c>
      <c r="D282" s="207" t="s">
        <v>235</v>
      </c>
      <c r="E282" s="298">
        <v>12</v>
      </c>
      <c r="F282" s="207" t="s">
        <v>236</v>
      </c>
      <c r="G282" s="208"/>
      <c r="H282" s="208"/>
      <c r="I282" s="299"/>
      <c r="J282" s="218"/>
      <c r="K282" s="208">
        <v>44.5</v>
      </c>
      <c r="L282" s="208"/>
      <c r="M282" s="208" t="s">
        <v>237</v>
      </c>
      <c r="N282" s="295" t="s">
        <v>705</v>
      </c>
      <c r="O282" s="209"/>
      <c r="P282" s="25"/>
      <c r="Q282" s="347" t="s">
        <v>357</v>
      </c>
      <c r="R282" s="26"/>
      <c r="S282" s="27"/>
      <c r="T282" s="301"/>
      <c r="U282" s="27"/>
      <c r="V282" s="118"/>
    </row>
    <row r="283" spans="1:22" s="119" customFormat="1" ht="24.9" customHeight="1">
      <c r="A283" s="296">
        <v>9</v>
      </c>
      <c r="B283" s="300" t="s">
        <v>697</v>
      </c>
      <c r="C283" s="303" t="s">
        <v>706</v>
      </c>
      <c r="D283" s="207" t="s">
        <v>235</v>
      </c>
      <c r="E283" s="298">
        <v>12</v>
      </c>
      <c r="F283" s="207" t="s">
        <v>236</v>
      </c>
      <c r="G283" s="208"/>
      <c r="H283" s="208"/>
      <c r="I283" s="299"/>
      <c r="J283" s="218"/>
      <c r="K283" s="208">
        <v>29.7</v>
      </c>
      <c r="L283" s="208"/>
      <c r="M283" s="208" t="s">
        <v>237</v>
      </c>
      <c r="N283" s="295" t="s">
        <v>707</v>
      </c>
      <c r="O283" s="209"/>
      <c r="P283" s="25"/>
      <c r="Q283" s="347" t="s">
        <v>357</v>
      </c>
      <c r="R283" s="26"/>
      <c r="S283" s="27"/>
      <c r="T283" s="301"/>
      <c r="U283" s="27"/>
      <c r="V283" s="118"/>
    </row>
    <row r="284" spans="1:22" s="307" customFormat="1" ht="24.9" customHeight="1">
      <c r="A284" s="234" t="s">
        <v>708</v>
      </c>
      <c r="B284" s="235">
        <f>RIGHT(B283, 2)*1</f>
        <v>39</v>
      </c>
      <c r="C284" s="246" t="s">
        <v>347</v>
      </c>
      <c r="D284" s="237"/>
      <c r="E284" s="238">
        <f>SUM(E275:E283)</f>
        <v>102</v>
      </c>
      <c r="F284" s="237"/>
      <c r="G284" s="239">
        <v>611</v>
      </c>
      <c r="H284" s="239">
        <v>226</v>
      </c>
      <c r="I284" s="240">
        <v>230</v>
      </c>
      <c r="J284" s="241">
        <f>ROUND(I284*H284*G284/1000000,3)</f>
        <v>31.76</v>
      </c>
      <c r="K284" s="242">
        <f>SUM(K275:K283)</f>
        <v>1832.5</v>
      </c>
      <c r="L284" s="239">
        <f>K284+140</f>
        <v>1972.5</v>
      </c>
      <c r="M284" s="239"/>
      <c r="N284" s="243"/>
      <c r="O284" s="244"/>
      <c r="P284" s="245"/>
      <c r="Q284" s="348"/>
      <c r="R284" s="26"/>
      <c r="S284" s="304"/>
      <c r="T284" s="305"/>
      <c r="U284" s="304"/>
      <c r="V284" s="306"/>
    </row>
    <row r="285" spans="1:22" s="119" customFormat="1" ht="24.9" customHeight="1">
      <c r="A285" s="296">
        <v>1</v>
      </c>
      <c r="B285" s="300" t="s">
        <v>709</v>
      </c>
      <c r="C285" s="303" t="s">
        <v>710</v>
      </c>
      <c r="D285" s="207" t="s">
        <v>235</v>
      </c>
      <c r="E285" s="298">
        <v>24</v>
      </c>
      <c r="F285" s="207" t="s">
        <v>236</v>
      </c>
      <c r="G285" s="208"/>
      <c r="H285" s="208"/>
      <c r="I285" s="299"/>
      <c r="J285" s="218"/>
      <c r="K285" s="208">
        <f>3220.8/2</f>
        <v>1610.4</v>
      </c>
      <c r="L285" s="208"/>
      <c r="M285" s="208" t="s">
        <v>237</v>
      </c>
      <c r="N285" s="295" t="s">
        <v>711</v>
      </c>
      <c r="O285" s="209"/>
      <c r="P285" s="25"/>
      <c r="Q285" s="347" t="s">
        <v>366</v>
      </c>
      <c r="R285" s="345" t="s">
        <v>593</v>
      </c>
      <c r="S285" s="27"/>
      <c r="T285" s="301"/>
      <c r="U285" s="27"/>
      <c r="V285" s="118"/>
    </row>
    <row r="286" spans="1:22" s="119" customFormat="1" ht="24.9" customHeight="1">
      <c r="A286" s="296">
        <v>2</v>
      </c>
      <c r="B286" s="300" t="s">
        <v>709</v>
      </c>
      <c r="C286" s="303" t="s">
        <v>712</v>
      </c>
      <c r="D286" s="207" t="s">
        <v>235</v>
      </c>
      <c r="E286" s="298">
        <v>24</v>
      </c>
      <c r="F286" s="207" t="s">
        <v>236</v>
      </c>
      <c r="G286" s="208"/>
      <c r="H286" s="208"/>
      <c r="I286" s="299"/>
      <c r="J286" s="218"/>
      <c r="K286" s="208">
        <f>2.5*24</f>
        <v>60</v>
      </c>
      <c r="L286" s="208"/>
      <c r="M286" s="208" t="s">
        <v>237</v>
      </c>
      <c r="N286" s="295" t="s">
        <v>713</v>
      </c>
      <c r="O286" s="209"/>
      <c r="P286" s="25"/>
      <c r="Q286" s="347" t="s">
        <v>369</v>
      </c>
      <c r="R286" s="26"/>
      <c r="S286" s="27"/>
      <c r="T286" s="301"/>
      <c r="U286" s="27"/>
      <c r="V286" s="118"/>
    </row>
    <row r="287" spans="1:22" s="119" customFormat="1" ht="24.9" customHeight="1">
      <c r="A287" s="296">
        <v>3</v>
      </c>
      <c r="B287" s="300" t="s">
        <v>709</v>
      </c>
      <c r="C287" s="303" t="s">
        <v>714</v>
      </c>
      <c r="D287" s="207" t="s">
        <v>235</v>
      </c>
      <c r="E287" s="298">
        <v>48</v>
      </c>
      <c r="F287" s="207" t="s">
        <v>236</v>
      </c>
      <c r="G287" s="208"/>
      <c r="H287" s="208"/>
      <c r="I287" s="299"/>
      <c r="J287" s="218"/>
      <c r="K287" s="208">
        <f>270/2</f>
        <v>135</v>
      </c>
      <c r="L287" s="208"/>
      <c r="M287" s="208" t="s">
        <v>237</v>
      </c>
      <c r="N287" s="295" t="s">
        <v>715</v>
      </c>
      <c r="O287" s="209"/>
      <c r="P287" s="25"/>
      <c r="Q287" s="347" t="s">
        <v>372</v>
      </c>
      <c r="R287" s="26"/>
      <c r="S287" s="27"/>
      <c r="T287" s="301"/>
      <c r="U287" s="27"/>
      <c r="V287" s="118"/>
    </row>
    <row r="288" spans="1:22" s="307" customFormat="1" ht="24.9" customHeight="1">
      <c r="A288" s="234" t="s">
        <v>716</v>
      </c>
      <c r="B288" s="235">
        <f>RIGHT(B287, 2)*1</f>
        <v>40</v>
      </c>
      <c r="C288" s="246" t="s">
        <v>374</v>
      </c>
      <c r="D288" s="237"/>
      <c r="E288" s="238">
        <f>SUM(E285:E287)</f>
        <v>96</v>
      </c>
      <c r="F288" s="237"/>
      <c r="G288" s="239">
        <v>386</v>
      </c>
      <c r="H288" s="239">
        <v>226</v>
      </c>
      <c r="I288" s="240">
        <v>135</v>
      </c>
      <c r="J288" s="241">
        <f>ROUND(I288*H288*G288/1000000,3)</f>
        <v>11.776999999999999</v>
      </c>
      <c r="K288" s="242">
        <f>SUM(K285:K287)</f>
        <v>1805.4</v>
      </c>
      <c r="L288" s="239">
        <f>K288+120</f>
        <v>1925.4</v>
      </c>
      <c r="M288" s="239"/>
      <c r="N288" s="243"/>
      <c r="O288" s="244"/>
      <c r="P288" s="245"/>
      <c r="Q288" s="351"/>
      <c r="R288" s="26"/>
      <c r="S288" s="304"/>
      <c r="T288" s="305"/>
      <c r="U288" s="304"/>
      <c r="V288" s="306"/>
    </row>
    <row r="289" spans="1:22" s="119" customFormat="1" ht="24.9" customHeight="1">
      <c r="A289" s="296">
        <v>1</v>
      </c>
      <c r="B289" s="300" t="s">
        <v>717</v>
      </c>
      <c r="C289" s="303" t="s">
        <v>710</v>
      </c>
      <c r="D289" s="207" t="s">
        <v>235</v>
      </c>
      <c r="E289" s="298">
        <v>24</v>
      </c>
      <c r="F289" s="207" t="s">
        <v>236</v>
      </c>
      <c r="G289" s="208"/>
      <c r="H289" s="208"/>
      <c r="I289" s="299"/>
      <c r="J289" s="218"/>
      <c r="K289" s="208">
        <f>3220.8/2</f>
        <v>1610.4</v>
      </c>
      <c r="L289" s="208"/>
      <c r="M289" s="208" t="s">
        <v>237</v>
      </c>
      <c r="N289" s="295" t="s">
        <v>711</v>
      </c>
      <c r="O289" s="209"/>
      <c r="P289" s="25"/>
      <c r="Q289" s="347" t="s">
        <v>366</v>
      </c>
      <c r="R289" s="26"/>
      <c r="S289" s="27"/>
      <c r="T289" s="301"/>
      <c r="U289" s="27"/>
      <c r="V289" s="118"/>
    </row>
    <row r="290" spans="1:22" s="119" customFormat="1" ht="24.9" customHeight="1">
      <c r="A290" s="296">
        <v>2</v>
      </c>
      <c r="B290" s="300" t="s">
        <v>717</v>
      </c>
      <c r="C290" s="303" t="s">
        <v>712</v>
      </c>
      <c r="D290" s="207" t="s">
        <v>235</v>
      </c>
      <c r="E290" s="298">
        <v>24</v>
      </c>
      <c r="F290" s="207" t="s">
        <v>236</v>
      </c>
      <c r="G290" s="208"/>
      <c r="H290" s="208"/>
      <c r="I290" s="299"/>
      <c r="J290" s="218"/>
      <c r="K290" s="208">
        <f>2.5*24</f>
        <v>60</v>
      </c>
      <c r="L290" s="208"/>
      <c r="M290" s="208" t="s">
        <v>237</v>
      </c>
      <c r="N290" s="295" t="s">
        <v>713</v>
      </c>
      <c r="O290" s="209"/>
      <c r="P290" s="25"/>
      <c r="Q290" s="347" t="s">
        <v>369</v>
      </c>
      <c r="R290" s="26"/>
      <c r="S290" s="27"/>
      <c r="T290" s="301"/>
      <c r="U290" s="27"/>
      <c r="V290" s="118"/>
    </row>
    <row r="291" spans="1:22" s="119" customFormat="1" ht="24.9" customHeight="1">
      <c r="A291" s="296">
        <v>3</v>
      </c>
      <c r="B291" s="300" t="s">
        <v>717</v>
      </c>
      <c r="C291" s="303" t="s">
        <v>714</v>
      </c>
      <c r="D291" s="207" t="s">
        <v>235</v>
      </c>
      <c r="E291" s="298">
        <v>48</v>
      </c>
      <c r="F291" s="207" t="s">
        <v>236</v>
      </c>
      <c r="G291" s="208"/>
      <c r="H291" s="208"/>
      <c r="I291" s="299"/>
      <c r="J291" s="218"/>
      <c r="K291" s="208">
        <f>270/2</f>
        <v>135</v>
      </c>
      <c r="L291" s="208"/>
      <c r="M291" s="208" t="s">
        <v>237</v>
      </c>
      <c r="N291" s="295" t="s">
        <v>715</v>
      </c>
      <c r="O291" s="209"/>
      <c r="P291" s="25"/>
      <c r="Q291" s="347" t="s">
        <v>372</v>
      </c>
      <c r="R291" s="26"/>
      <c r="S291" s="27"/>
      <c r="T291" s="301"/>
      <c r="U291" s="27"/>
      <c r="V291" s="118"/>
    </row>
    <row r="292" spans="1:22" s="307" customFormat="1" ht="24.9" customHeight="1">
      <c r="A292" s="234" t="s">
        <v>718</v>
      </c>
      <c r="B292" s="235">
        <f>RIGHT(B291, 2)*1</f>
        <v>41</v>
      </c>
      <c r="C292" s="246" t="s">
        <v>374</v>
      </c>
      <c r="D292" s="237"/>
      <c r="E292" s="238">
        <f>SUM(E289:E291)</f>
        <v>96</v>
      </c>
      <c r="F292" s="237"/>
      <c r="G292" s="239">
        <v>386</v>
      </c>
      <c r="H292" s="239">
        <v>226</v>
      </c>
      <c r="I292" s="240">
        <v>135</v>
      </c>
      <c r="J292" s="241">
        <f>ROUND(I292*H292*G292/1000000,3)</f>
        <v>11.776999999999999</v>
      </c>
      <c r="K292" s="242">
        <f>SUM(K289:K291)</f>
        <v>1805.4</v>
      </c>
      <c r="L292" s="239">
        <f>K292+120</f>
        <v>1925.4</v>
      </c>
      <c r="M292" s="239"/>
      <c r="N292" s="243"/>
      <c r="O292" s="244"/>
      <c r="P292" s="245"/>
      <c r="Q292" s="348"/>
      <c r="R292" s="26"/>
      <c r="S292" s="304"/>
      <c r="T292" s="305"/>
      <c r="U292" s="304"/>
      <c r="V292" s="306"/>
    </row>
    <row r="293" spans="1:22" s="119" customFormat="1" ht="24.9" customHeight="1">
      <c r="A293" s="296">
        <v>1</v>
      </c>
      <c r="B293" s="300" t="s">
        <v>719</v>
      </c>
      <c r="C293" s="303" t="s">
        <v>720</v>
      </c>
      <c r="D293" s="207" t="s">
        <v>235</v>
      </c>
      <c r="E293" s="298">
        <v>4</v>
      </c>
      <c r="F293" s="207" t="s">
        <v>236</v>
      </c>
      <c r="G293" s="208"/>
      <c r="H293" s="208"/>
      <c r="I293" s="299"/>
      <c r="J293" s="218"/>
      <c r="K293" s="208">
        <v>3065</v>
      </c>
      <c r="L293" s="208"/>
      <c r="M293" s="208" t="s">
        <v>237</v>
      </c>
      <c r="N293" s="295" t="s">
        <v>721</v>
      </c>
      <c r="O293" s="209"/>
      <c r="P293" s="25"/>
      <c r="Q293" s="347" t="s">
        <v>381</v>
      </c>
      <c r="R293" s="345" t="s">
        <v>593</v>
      </c>
      <c r="S293" s="27"/>
      <c r="T293" s="301"/>
      <c r="U293" s="27"/>
      <c r="V293" s="118"/>
    </row>
    <row r="294" spans="1:22" s="307" customFormat="1" ht="24.9" customHeight="1">
      <c r="A294" s="234" t="s">
        <v>722</v>
      </c>
      <c r="B294" s="235">
        <f>RIGHT(B293, 2)*1</f>
        <v>42</v>
      </c>
      <c r="C294" s="246" t="s">
        <v>381</v>
      </c>
      <c r="D294" s="237"/>
      <c r="E294" s="238">
        <f>SUM(E293)</f>
        <v>4</v>
      </c>
      <c r="F294" s="237"/>
      <c r="G294" s="239">
        <v>210</v>
      </c>
      <c r="H294" s="239">
        <v>120</v>
      </c>
      <c r="I294" s="240">
        <v>110</v>
      </c>
      <c r="J294" s="241">
        <f>ROUND(I294*H294*G294/1000000,3)</f>
        <v>2.7719999999999998</v>
      </c>
      <c r="K294" s="242">
        <f>SUM(K293)</f>
        <v>3065</v>
      </c>
      <c r="L294" s="239">
        <f>K294+140</f>
        <v>3205</v>
      </c>
      <c r="M294" s="239"/>
      <c r="N294" s="243"/>
      <c r="O294" s="244"/>
      <c r="P294" s="245"/>
      <c r="Q294" s="348"/>
      <c r="R294" s="26"/>
      <c r="S294" s="304"/>
      <c r="T294" s="305"/>
      <c r="U294" s="304"/>
      <c r="V294" s="306"/>
    </row>
    <row r="295" spans="1:22" s="119" customFormat="1" ht="24.9" customHeight="1">
      <c r="A295" s="296">
        <v>1</v>
      </c>
      <c r="B295" s="300" t="s">
        <v>723</v>
      </c>
      <c r="C295" s="303" t="s">
        <v>720</v>
      </c>
      <c r="D295" s="207" t="s">
        <v>235</v>
      </c>
      <c r="E295" s="298">
        <v>4</v>
      </c>
      <c r="F295" s="207" t="s">
        <v>236</v>
      </c>
      <c r="G295" s="208"/>
      <c r="H295" s="208"/>
      <c r="I295" s="299"/>
      <c r="J295" s="218"/>
      <c r="K295" s="208">
        <v>3065</v>
      </c>
      <c r="L295" s="208"/>
      <c r="M295" s="208" t="s">
        <v>237</v>
      </c>
      <c r="N295" s="295" t="s">
        <v>721</v>
      </c>
      <c r="O295" s="209"/>
      <c r="P295" s="25"/>
      <c r="Q295" s="347" t="s">
        <v>381</v>
      </c>
      <c r="R295" s="345" t="s">
        <v>593</v>
      </c>
      <c r="S295" s="27"/>
      <c r="T295" s="301"/>
      <c r="U295" s="27"/>
      <c r="V295" s="118"/>
    </row>
    <row r="296" spans="1:22" s="307" customFormat="1" ht="24.9" customHeight="1">
      <c r="A296" s="234" t="s">
        <v>724</v>
      </c>
      <c r="B296" s="235">
        <f>RIGHT(B295, 2)*1</f>
        <v>43</v>
      </c>
      <c r="C296" s="246" t="s">
        <v>381</v>
      </c>
      <c r="D296" s="237"/>
      <c r="E296" s="238">
        <f>SUM(E295)</f>
        <v>4</v>
      </c>
      <c r="F296" s="237"/>
      <c r="G296" s="239">
        <v>210</v>
      </c>
      <c r="H296" s="239">
        <v>120</v>
      </c>
      <c r="I296" s="240">
        <v>110</v>
      </c>
      <c r="J296" s="241">
        <f>ROUND(I296*H296*G296/1000000,3)</f>
        <v>2.7719999999999998</v>
      </c>
      <c r="K296" s="242">
        <f>SUM(K295)</f>
        <v>3065</v>
      </c>
      <c r="L296" s="239">
        <f>K296+140</f>
        <v>3205</v>
      </c>
      <c r="M296" s="239"/>
      <c r="N296" s="243"/>
      <c r="O296" s="244"/>
      <c r="P296" s="245"/>
      <c r="Q296" s="348"/>
      <c r="R296" s="26"/>
      <c r="S296" s="304"/>
      <c r="T296" s="305"/>
      <c r="U296" s="304"/>
      <c r="V296" s="306"/>
    </row>
    <row r="297" spans="1:22" s="119" customFormat="1" ht="24.9" customHeight="1">
      <c r="A297" s="296">
        <v>1</v>
      </c>
      <c r="B297" s="300" t="s">
        <v>725</v>
      </c>
      <c r="C297" s="303" t="s">
        <v>720</v>
      </c>
      <c r="D297" s="207" t="s">
        <v>235</v>
      </c>
      <c r="E297" s="298">
        <v>4</v>
      </c>
      <c r="F297" s="207" t="s">
        <v>236</v>
      </c>
      <c r="G297" s="208"/>
      <c r="H297" s="208"/>
      <c r="I297" s="299"/>
      <c r="J297" s="218"/>
      <c r="K297" s="208">
        <v>3065</v>
      </c>
      <c r="L297" s="208"/>
      <c r="M297" s="208" t="s">
        <v>237</v>
      </c>
      <c r="N297" s="295" t="s">
        <v>721</v>
      </c>
      <c r="O297" s="209"/>
      <c r="P297" s="25"/>
      <c r="Q297" s="347" t="s">
        <v>381</v>
      </c>
      <c r="R297" s="345" t="s">
        <v>593</v>
      </c>
      <c r="S297" s="27"/>
      <c r="T297" s="301"/>
      <c r="U297" s="27"/>
      <c r="V297" s="118"/>
    </row>
    <row r="298" spans="1:22" s="307" customFormat="1" ht="24.9" customHeight="1">
      <c r="A298" s="234" t="s">
        <v>726</v>
      </c>
      <c r="B298" s="235">
        <f>RIGHT(B297, 2)*1</f>
        <v>44</v>
      </c>
      <c r="C298" s="246" t="s">
        <v>381</v>
      </c>
      <c r="D298" s="237"/>
      <c r="E298" s="238">
        <f>SUM(E297)</f>
        <v>4</v>
      </c>
      <c r="F298" s="237"/>
      <c r="G298" s="239">
        <v>210</v>
      </c>
      <c r="H298" s="239">
        <v>120</v>
      </c>
      <c r="I298" s="240">
        <v>110</v>
      </c>
      <c r="J298" s="241">
        <f>ROUND(I298*H298*G298/1000000,3)</f>
        <v>2.7719999999999998</v>
      </c>
      <c r="K298" s="242">
        <f>SUM(K297)</f>
        <v>3065</v>
      </c>
      <c r="L298" s="239">
        <f>K298+140</f>
        <v>3205</v>
      </c>
      <c r="M298" s="239"/>
      <c r="N298" s="243"/>
      <c r="O298" s="244"/>
      <c r="P298" s="245"/>
      <c r="Q298" s="348"/>
      <c r="R298" s="26"/>
      <c r="S298" s="304"/>
      <c r="T298" s="305"/>
      <c r="U298" s="304"/>
      <c r="V298" s="306"/>
    </row>
    <row r="299" spans="1:22" s="119" customFormat="1" ht="24.9" customHeight="1">
      <c r="A299" s="296">
        <v>1</v>
      </c>
      <c r="B299" s="300" t="s">
        <v>727</v>
      </c>
      <c r="C299" s="303" t="s">
        <v>728</v>
      </c>
      <c r="D299" s="207" t="s">
        <v>235</v>
      </c>
      <c r="E299" s="298">
        <v>24</v>
      </c>
      <c r="F299" s="207" t="s">
        <v>236</v>
      </c>
      <c r="G299" s="208"/>
      <c r="H299" s="208"/>
      <c r="I299" s="299"/>
      <c r="J299" s="218"/>
      <c r="K299" s="208">
        <v>1090.3</v>
      </c>
      <c r="L299" s="208"/>
      <c r="M299" s="208" t="s">
        <v>237</v>
      </c>
      <c r="N299" s="295" t="s">
        <v>729</v>
      </c>
      <c r="O299" s="209"/>
      <c r="P299" s="25"/>
      <c r="Q299" s="347" t="s">
        <v>390</v>
      </c>
      <c r="R299" s="345" t="s">
        <v>593</v>
      </c>
      <c r="S299" s="27"/>
      <c r="T299" s="301"/>
      <c r="U299" s="27"/>
      <c r="V299" s="118"/>
    </row>
    <row r="300" spans="1:22" s="119" customFormat="1" ht="24.9" customHeight="1">
      <c r="A300" s="296">
        <v>2</v>
      </c>
      <c r="B300" s="300" t="s">
        <v>727</v>
      </c>
      <c r="C300" s="303" t="s">
        <v>730</v>
      </c>
      <c r="D300" s="207" t="s">
        <v>235</v>
      </c>
      <c r="E300" s="298">
        <v>48</v>
      </c>
      <c r="F300" s="207" t="s">
        <v>236</v>
      </c>
      <c r="G300" s="208"/>
      <c r="H300" s="208"/>
      <c r="I300" s="299"/>
      <c r="J300" s="218"/>
      <c r="K300" s="208">
        <v>806.2</v>
      </c>
      <c r="L300" s="208"/>
      <c r="M300" s="208" t="s">
        <v>237</v>
      </c>
      <c r="N300" s="295" t="s">
        <v>731</v>
      </c>
      <c r="O300" s="209"/>
      <c r="P300" s="25"/>
      <c r="Q300" s="347" t="s">
        <v>393</v>
      </c>
      <c r="R300" s="26"/>
      <c r="S300" s="27"/>
      <c r="T300" s="301"/>
      <c r="U300" s="27"/>
      <c r="V300" s="118"/>
    </row>
    <row r="301" spans="1:22" s="119" customFormat="1" ht="24.9" customHeight="1">
      <c r="A301" s="296">
        <v>3</v>
      </c>
      <c r="B301" s="300" t="s">
        <v>727</v>
      </c>
      <c r="C301" s="303" t="s">
        <v>732</v>
      </c>
      <c r="D301" s="207" t="s">
        <v>235</v>
      </c>
      <c r="E301" s="298">
        <v>24</v>
      </c>
      <c r="F301" s="207" t="s">
        <v>236</v>
      </c>
      <c r="G301" s="208"/>
      <c r="H301" s="208"/>
      <c r="I301" s="299"/>
      <c r="J301" s="218"/>
      <c r="K301" s="208">
        <v>435.4</v>
      </c>
      <c r="L301" s="208"/>
      <c r="M301" s="208" t="s">
        <v>237</v>
      </c>
      <c r="N301" s="295" t="s">
        <v>733</v>
      </c>
      <c r="O301" s="209"/>
      <c r="P301" s="25"/>
      <c r="Q301" s="347" t="s">
        <v>297</v>
      </c>
      <c r="R301" s="26"/>
      <c r="S301" s="27"/>
      <c r="T301" s="301"/>
      <c r="U301" s="27"/>
      <c r="V301" s="118"/>
    </row>
    <row r="302" spans="1:22" s="119" customFormat="1" ht="24.9" customHeight="1">
      <c r="A302" s="296">
        <v>4</v>
      </c>
      <c r="B302" s="300" t="s">
        <v>727</v>
      </c>
      <c r="C302" s="303" t="s">
        <v>734</v>
      </c>
      <c r="D302" s="207" t="s">
        <v>235</v>
      </c>
      <c r="E302" s="298">
        <v>6</v>
      </c>
      <c r="F302" s="207" t="s">
        <v>236</v>
      </c>
      <c r="G302" s="208"/>
      <c r="H302" s="208"/>
      <c r="I302" s="299"/>
      <c r="J302" s="218"/>
      <c r="K302" s="208">
        <v>76.599999999999994</v>
      </c>
      <c r="L302" s="208"/>
      <c r="M302" s="208" t="s">
        <v>237</v>
      </c>
      <c r="N302" s="295" t="s">
        <v>735</v>
      </c>
      <c r="O302" s="209"/>
      <c r="P302" s="25"/>
      <c r="Q302" s="347" t="s">
        <v>297</v>
      </c>
      <c r="R302" s="26"/>
      <c r="S302" s="27">
        <v>2</v>
      </c>
      <c r="T302" s="301"/>
      <c r="U302" s="27"/>
      <c r="V302" s="118"/>
    </row>
    <row r="303" spans="1:22" s="119" customFormat="1" ht="24.9" customHeight="1">
      <c r="A303" s="296">
        <v>5</v>
      </c>
      <c r="B303" s="300" t="s">
        <v>727</v>
      </c>
      <c r="C303" s="303" t="s">
        <v>736</v>
      </c>
      <c r="D303" s="207" t="s">
        <v>235</v>
      </c>
      <c r="E303" s="298">
        <v>7</v>
      </c>
      <c r="F303" s="207" t="s">
        <v>236</v>
      </c>
      <c r="G303" s="208"/>
      <c r="H303" s="208"/>
      <c r="I303" s="299"/>
      <c r="J303" s="218"/>
      <c r="K303" s="208">
        <v>32.9</v>
      </c>
      <c r="L303" s="208"/>
      <c r="M303" s="208" t="s">
        <v>237</v>
      </c>
      <c r="N303" s="295" t="s">
        <v>737</v>
      </c>
      <c r="O303" s="209"/>
      <c r="P303" s="25"/>
      <c r="Q303" s="347" t="s">
        <v>297</v>
      </c>
      <c r="R303" s="26"/>
      <c r="S303" s="27">
        <v>1</v>
      </c>
      <c r="T303" s="301"/>
      <c r="U303" s="27"/>
      <c r="V303" s="118"/>
    </row>
    <row r="304" spans="1:22" s="307" customFormat="1" ht="24.9" customHeight="1">
      <c r="A304" s="234" t="s">
        <v>738</v>
      </c>
      <c r="B304" s="235">
        <f>RIGHT(B303, 2)*1</f>
        <v>45</v>
      </c>
      <c r="C304" s="246" t="s">
        <v>739</v>
      </c>
      <c r="D304" s="237"/>
      <c r="E304" s="238">
        <f>SUM(E299:E303)</f>
        <v>109</v>
      </c>
      <c r="F304" s="237"/>
      <c r="G304" s="239">
        <v>200</v>
      </c>
      <c r="H304" s="239">
        <v>220</v>
      </c>
      <c r="I304" s="240">
        <v>170</v>
      </c>
      <c r="J304" s="241">
        <f>ROUND(I304*H304*G304/1000000,3)</f>
        <v>7.48</v>
      </c>
      <c r="K304" s="242">
        <f>SUM(K299:K303)</f>
        <v>2441.4</v>
      </c>
      <c r="L304" s="239">
        <f>K304+140</f>
        <v>2581.4</v>
      </c>
      <c r="M304" s="239"/>
      <c r="N304" s="243"/>
      <c r="O304" s="244"/>
      <c r="P304" s="245"/>
      <c r="Q304" s="348"/>
      <c r="R304" s="26"/>
      <c r="S304" s="304"/>
      <c r="T304" s="305"/>
      <c r="U304" s="304"/>
      <c r="V304" s="306"/>
    </row>
    <row r="305" spans="1:22" s="119" customFormat="1" ht="24.9" customHeight="1">
      <c r="A305" s="296">
        <v>1</v>
      </c>
      <c r="B305" s="300" t="s">
        <v>740</v>
      </c>
      <c r="C305" s="303" t="s">
        <v>741</v>
      </c>
      <c r="D305" s="207" t="s">
        <v>235</v>
      </c>
      <c r="E305" s="298">
        <v>56</v>
      </c>
      <c r="F305" s="207" t="s">
        <v>236</v>
      </c>
      <c r="G305" s="208"/>
      <c r="H305" s="208"/>
      <c r="I305" s="299"/>
      <c r="J305" s="218"/>
      <c r="K305" s="208">
        <v>2060</v>
      </c>
      <c r="L305" s="208"/>
      <c r="M305" s="208" t="s">
        <v>237</v>
      </c>
      <c r="N305" s="295" t="s">
        <v>742</v>
      </c>
      <c r="O305" s="209"/>
      <c r="P305" s="25"/>
      <c r="Q305" s="347" t="s">
        <v>405</v>
      </c>
      <c r="R305" s="26"/>
      <c r="S305" s="27"/>
      <c r="T305" s="301"/>
      <c r="U305" s="27"/>
      <c r="V305" s="118"/>
    </row>
    <row r="306" spans="1:22" s="307" customFormat="1" ht="24.9" customHeight="1">
      <c r="A306" s="234" t="s">
        <v>743</v>
      </c>
      <c r="B306" s="235">
        <f>RIGHT(B305, 2)*1</f>
        <v>46</v>
      </c>
      <c r="C306" s="246" t="s">
        <v>407</v>
      </c>
      <c r="D306" s="237"/>
      <c r="E306" s="238">
        <f>SUM(E305)</f>
        <v>56</v>
      </c>
      <c r="F306" s="237"/>
      <c r="G306" s="239">
        <v>180</v>
      </c>
      <c r="H306" s="239">
        <v>120</v>
      </c>
      <c r="I306" s="240">
        <v>130</v>
      </c>
      <c r="J306" s="241">
        <f>ROUND(I306*H306*G306/1000000,3)</f>
        <v>2.8079999999999998</v>
      </c>
      <c r="K306" s="242">
        <f>SUM(K305)</f>
        <v>2060</v>
      </c>
      <c r="L306" s="239">
        <f>K306+60</f>
        <v>2120</v>
      </c>
      <c r="M306" s="239"/>
      <c r="N306" s="243"/>
      <c r="O306" s="244"/>
      <c r="P306" s="245"/>
      <c r="Q306" s="348"/>
      <c r="R306" s="26"/>
      <c r="S306" s="304"/>
      <c r="T306" s="305"/>
      <c r="U306" s="304"/>
      <c r="V306" s="306"/>
    </row>
    <row r="307" spans="1:22" s="119" customFormat="1" ht="24.9" customHeight="1">
      <c r="A307" s="296">
        <v>1</v>
      </c>
      <c r="B307" s="300" t="s">
        <v>744</v>
      </c>
      <c r="C307" s="303" t="s">
        <v>745</v>
      </c>
      <c r="D307" s="207" t="s">
        <v>235</v>
      </c>
      <c r="E307" s="298">
        <v>44</v>
      </c>
      <c r="F307" s="207" t="s">
        <v>236</v>
      </c>
      <c r="G307" s="208"/>
      <c r="H307" s="208"/>
      <c r="I307" s="299"/>
      <c r="J307" s="218"/>
      <c r="K307" s="208">
        <v>1416</v>
      </c>
      <c r="L307" s="208"/>
      <c r="M307" s="208" t="s">
        <v>237</v>
      </c>
      <c r="N307" s="295" t="s">
        <v>746</v>
      </c>
      <c r="O307" s="209"/>
      <c r="P307" s="25"/>
      <c r="Q307" s="347" t="s">
        <v>405</v>
      </c>
      <c r="R307" s="26"/>
      <c r="S307" s="27"/>
      <c r="T307" s="301"/>
      <c r="U307" s="27"/>
      <c r="V307" s="118"/>
    </row>
    <row r="308" spans="1:22" s="119" customFormat="1" ht="24.9" customHeight="1">
      <c r="A308" s="296">
        <v>2</v>
      </c>
      <c r="B308" s="300" t="s">
        <v>744</v>
      </c>
      <c r="C308" s="303" t="s">
        <v>747</v>
      </c>
      <c r="D308" s="207" t="s">
        <v>235</v>
      </c>
      <c r="E308" s="298">
        <v>8</v>
      </c>
      <c r="F308" s="207" t="s">
        <v>236</v>
      </c>
      <c r="G308" s="208"/>
      <c r="H308" s="208"/>
      <c r="I308" s="299"/>
      <c r="J308" s="218"/>
      <c r="K308" s="208">
        <v>248.2</v>
      </c>
      <c r="L308" s="208"/>
      <c r="M308" s="208" t="s">
        <v>237</v>
      </c>
      <c r="N308" s="295" t="s">
        <v>748</v>
      </c>
      <c r="O308" s="209"/>
      <c r="P308" s="25"/>
      <c r="Q308" s="347" t="s">
        <v>405</v>
      </c>
      <c r="R308" s="26"/>
      <c r="S308" s="27"/>
      <c r="T308" s="301"/>
      <c r="U308" s="27"/>
      <c r="V308" s="118"/>
    </row>
    <row r="309" spans="1:22" s="119" customFormat="1" ht="24.9" customHeight="1">
      <c r="A309" s="296">
        <v>3</v>
      </c>
      <c r="B309" s="300" t="s">
        <v>744</v>
      </c>
      <c r="C309" s="303" t="s">
        <v>749</v>
      </c>
      <c r="D309" s="207" t="s">
        <v>235</v>
      </c>
      <c r="E309" s="298">
        <v>28</v>
      </c>
      <c r="F309" s="207" t="s">
        <v>236</v>
      </c>
      <c r="G309" s="208"/>
      <c r="H309" s="208"/>
      <c r="I309" s="299"/>
      <c r="J309" s="218"/>
      <c r="K309" s="208">
        <v>932.6</v>
      </c>
      <c r="L309" s="208"/>
      <c r="M309" s="208" t="s">
        <v>237</v>
      </c>
      <c r="N309" s="295" t="s">
        <v>750</v>
      </c>
      <c r="O309" s="209"/>
      <c r="P309" s="25"/>
      <c r="Q309" s="347" t="s">
        <v>405</v>
      </c>
      <c r="R309" s="26"/>
      <c r="S309" s="27"/>
      <c r="T309" s="301"/>
      <c r="U309" s="27"/>
      <c r="V309" s="118"/>
    </row>
    <row r="310" spans="1:22" s="307" customFormat="1" ht="24.9" customHeight="1">
      <c r="A310" s="234" t="s">
        <v>751</v>
      </c>
      <c r="B310" s="235">
        <f>RIGHT(B309, 2)*1</f>
        <v>47</v>
      </c>
      <c r="C310" s="246" t="s">
        <v>407</v>
      </c>
      <c r="D310" s="237"/>
      <c r="E310" s="238">
        <f>SUM(E307:E309)</f>
        <v>80</v>
      </c>
      <c r="F310" s="237"/>
      <c r="G310" s="239">
        <v>200</v>
      </c>
      <c r="H310" s="239">
        <v>180</v>
      </c>
      <c r="I310" s="240">
        <v>140</v>
      </c>
      <c r="J310" s="241">
        <f>ROUND(I310*H310*G310/1000000,3)</f>
        <v>5.04</v>
      </c>
      <c r="K310" s="242">
        <f>SUM(K307:K309)</f>
        <v>2596.8000000000002</v>
      </c>
      <c r="L310" s="239">
        <f>K310+60</f>
        <v>2656.8</v>
      </c>
      <c r="M310" s="239"/>
      <c r="N310" s="243"/>
      <c r="O310" s="244"/>
      <c r="P310" s="245"/>
      <c r="Q310" s="348"/>
      <c r="R310" s="26"/>
      <c r="S310" s="304"/>
      <c r="T310" s="305"/>
      <c r="U310" s="304"/>
      <c r="V310" s="306"/>
    </row>
    <row r="311" spans="1:22" s="119" customFormat="1" ht="24.9" customHeight="1">
      <c r="A311" s="296">
        <v>1</v>
      </c>
      <c r="B311" s="300" t="s">
        <v>752</v>
      </c>
      <c r="C311" s="303" t="s">
        <v>753</v>
      </c>
      <c r="D311" s="207" t="s">
        <v>235</v>
      </c>
      <c r="E311" s="298">
        <v>2</v>
      </c>
      <c r="F311" s="207" t="s">
        <v>236</v>
      </c>
      <c r="G311" s="208"/>
      <c r="H311" s="208"/>
      <c r="I311" s="299"/>
      <c r="J311" s="218"/>
      <c r="K311" s="208">
        <v>90.8</v>
      </c>
      <c r="L311" s="208"/>
      <c r="M311" s="208" t="s">
        <v>237</v>
      </c>
      <c r="N311" s="295" t="s">
        <v>754</v>
      </c>
      <c r="O311" s="209"/>
      <c r="P311" s="25"/>
      <c r="Q311" s="347" t="s">
        <v>419</v>
      </c>
      <c r="R311" s="26"/>
      <c r="S311" s="27"/>
      <c r="T311" s="301"/>
      <c r="U311" s="27"/>
      <c r="V311" s="118"/>
    </row>
    <row r="312" spans="1:22" s="119" customFormat="1" ht="24.9" customHeight="1">
      <c r="A312" s="296">
        <v>2</v>
      </c>
      <c r="B312" s="300" t="s">
        <v>752</v>
      </c>
      <c r="C312" s="303" t="s">
        <v>755</v>
      </c>
      <c r="D312" s="207" t="s">
        <v>235</v>
      </c>
      <c r="E312" s="298">
        <v>2</v>
      </c>
      <c r="F312" s="207" t="s">
        <v>236</v>
      </c>
      <c r="G312" s="208"/>
      <c r="H312" s="208"/>
      <c r="I312" s="299"/>
      <c r="J312" s="218"/>
      <c r="K312" s="208">
        <v>94.1</v>
      </c>
      <c r="L312" s="208"/>
      <c r="M312" s="208" t="s">
        <v>237</v>
      </c>
      <c r="N312" s="295" t="s">
        <v>756</v>
      </c>
      <c r="O312" s="209"/>
      <c r="P312" s="25"/>
      <c r="Q312" s="347" t="s">
        <v>419</v>
      </c>
      <c r="R312" s="26"/>
      <c r="S312" s="27"/>
      <c r="T312" s="301"/>
      <c r="U312" s="27"/>
      <c r="V312" s="118"/>
    </row>
    <row r="313" spans="1:22" s="119" customFormat="1" ht="24.9" customHeight="1">
      <c r="A313" s="296">
        <v>3</v>
      </c>
      <c r="B313" s="300" t="s">
        <v>752</v>
      </c>
      <c r="C313" s="308" t="s">
        <v>757</v>
      </c>
      <c r="D313" s="207" t="s">
        <v>235</v>
      </c>
      <c r="E313" s="298">
        <v>8</v>
      </c>
      <c r="F313" s="207" t="s">
        <v>236</v>
      </c>
      <c r="G313" s="208"/>
      <c r="H313" s="208"/>
      <c r="I313" s="299"/>
      <c r="J313" s="218"/>
      <c r="K313" s="208">
        <v>729.7</v>
      </c>
      <c r="L313" s="208"/>
      <c r="M313" s="208" t="s">
        <v>237</v>
      </c>
      <c r="N313" s="295" t="s">
        <v>758</v>
      </c>
      <c r="O313" s="209"/>
      <c r="P313" s="25"/>
      <c r="Q313" s="347" t="s">
        <v>419</v>
      </c>
      <c r="R313" s="26"/>
      <c r="S313" s="27"/>
      <c r="T313" s="301"/>
      <c r="U313" s="27"/>
      <c r="V313" s="118"/>
    </row>
    <row r="314" spans="1:22" s="119" customFormat="1" ht="26.4" customHeight="1">
      <c r="A314" s="296">
        <v>4</v>
      </c>
      <c r="B314" s="300" t="s">
        <v>752</v>
      </c>
      <c r="C314" s="303" t="s">
        <v>759</v>
      </c>
      <c r="D314" s="207" t="s">
        <v>235</v>
      </c>
      <c r="E314" s="298">
        <v>2</v>
      </c>
      <c r="F314" s="207" t="s">
        <v>236</v>
      </c>
      <c r="G314" s="208"/>
      <c r="H314" s="208"/>
      <c r="I314" s="299"/>
      <c r="J314" s="218"/>
      <c r="K314" s="208">
        <v>202.6</v>
      </c>
      <c r="L314" s="208"/>
      <c r="M314" s="208" t="s">
        <v>237</v>
      </c>
      <c r="N314" s="295" t="s">
        <v>760</v>
      </c>
      <c r="O314" s="209"/>
      <c r="P314" s="25"/>
      <c r="Q314" s="347" t="s">
        <v>419</v>
      </c>
      <c r="R314" s="26"/>
      <c r="S314" s="27"/>
      <c r="T314" s="301"/>
      <c r="U314" s="27"/>
      <c r="V314" s="118"/>
    </row>
    <row r="315" spans="1:22" s="119" customFormat="1" ht="24.9" customHeight="1">
      <c r="A315" s="296">
        <v>5</v>
      </c>
      <c r="B315" s="300" t="s">
        <v>752</v>
      </c>
      <c r="C315" s="303" t="s">
        <v>761</v>
      </c>
      <c r="D315" s="207" t="s">
        <v>235</v>
      </c>
      <c r="E315" s="298">
        <v>2</v>
      </c>
      <c r="F315" s="207" t="s">
        <v>236</v>
      </c>
      <c r="G315" s="208"/>
      <c r="H315" s="208"/>
      <c r="I315" s="299"/>
      <c r="J315" s="218"/>
      <c r="K315" s="208">
        <v>199.4</v>
      </c>
      <c r="L315" s="208"/>
      <c r="M315" s="208" t="s">
        <v>237</v>
      </c>
      <c r="N315" s="295" t="s">
        <v>762</v>
      </c>
      <c r="O315" s="209"/>
      <c r="P315" s="25"/>
      <c r="Q315" s="347" t="s">
        <v>419</v>
      </c>
      <c r="R315" s="26"/>
      <c r="S315" s="27"/>
      <c r="T315" s="301"/>
      <c r="U315" s="27"/>
      <c r="V315" s="118"/>
    </row>
    <row r="316" spans="1:22" s="307" customFormat="1" ht="24.9" customHeight="1">
      <c r="A316" s="234" t="s">
        <v>763</v>
      </c>
      <c r="B316" s="235">
        <f>RIGHT(B315, 2)*1</f>
        <v>48</v>
      </c>
      <c r="C316" s="246" t="s">
        <v>429</v>
      </c>
      <c r="D316" s="237"/>
      <c r="E316" s="238">
        <f>SUM(E311:E315)</f>
        <v>16</v>
      </c>
      <c r="F316" s="237"/>
      <c r="G316" s="239">
        <v>510</v>
      </c>
      <c r="H316" s="240">
        <v>160</v>
      </c>
      <c r="I316" s="240">
        <v>239</v>
      </c>
      <c r="J316" s="241">
        <f>ROUND(I316*H316*G316/1000000,3)</f>
        <v>19.501999999999999</v>
      </c>
      <c r="K316" s="242">
        <f>SUM(K311:K315)</f>
        <v>1316.6000000000001</v>
      </c>
      <c r="L316" s="239">
        <f>K316+140</f>
        <v>1456.6000000000001</v>
      </c>
      <c r="M316" s="239"/>
      <c r="N316" s="243"/>
      <c r="O316" s="244"/>
      <c r="P316" s="245"/>
      <c r="Q316" s="348"/>
      <c r="R316" s="26"/>
      <c r="S316" s="304"/>
      <c r="T316" s="305"/>
      <c r="U316" s="304"/>
      <c r="V316" s="306"/>
    </row>
    <row r="317" spans="1:22" s="119" customFormat="1" ht="24.9" customHeight="1">
      <c r="A317" s="296">
        <v>1</v>
      </c>
      <c r="B317" s="300" t="s">
        <v>764</v>
      </c>
      <c r="C317" s="303" t="s">
        <v>765</v>
      </c>
      <c r="D317" s="207" t="s">
        <v>235</v>
      </c>
      <c r="E317" s="298">
        <v>2</v>
      </c>
      <c r="F317" s="207" t="s">
        <v>236</v>
      </c>
      <c r="G317" s="208"/>
      <c r="H317" s="208"/>
      <c r="I317" s="299"/>
      <c r="J317" s="218"/>
      <c r="K317" s="208">
        <v>119.8</v>
      </c>
      <c r="L317" s="208"/>
      <c r="M317" s="208" t="s">
        <v>237</v>
      </c>
      <c r="N317" s="295" t="s">
        <v>766</v>
      </c>
      <c r="O317" s="209"/>
      <c r="P317" s="25"/>
      <c r="Q317" s="347" t="s">
        <v>419</v>
      </c>
      <c r="R317" s="26"/>
      <c r="S317" s="27"/>
      <c r="T317" s="301"/>
      <c r="U317" s="27"/>
      <c r="V317" s="118"/>
    </row>
    <row r="318" spans="1:22" s="119" customFormat="1" ht="24.9" customHeight="1">
      <c r="A318" s="296">
        <v>2</v>
      </c>
      <c r="B318" s="300" t="s">
        <v>764</v>
      </c>
      <c r="C318" s="303" t="s">
        <v>767</v>
      </c>
      <c r="D318" s="207" t="s">
        <v>235</v>
      </c>
      <c r="E318" s="298">
        <v>20</v>
      </c>
      <c r="F318" s="207" t="s">
        <v>236</v>
      </c>
      <c r="G318" s="208"/>
      <c r="H318" s="208"/>
      <c r="I318" s="299"/>
      <c r="J318" s="218"/>
      <c r="K318" s="208">
        <v>1434.9</v>
      </c>
      <c r="L318" s="208"/>
      <c r="M318" s="208" t="s">
        <v>237</v>
      </c>
      <c r="N318" s="295" t="s">
        <v>768</v>
      </c>
      <c r="O318" s="209"/>
      <c r="P318" s="25"/>
      <c r="Q318" s="347" t="s">
        <v>419</v>
      </c>
      <c r="R318" s="26"/>
      <c r="S318" s="27"/>
      <c r="T318" s="301"/>
      <c r="U318" s="27"/>
      <c r="V318" s="118"/>
    </row>
    <row r="319" spans="1:22" s="119" customFormat="1" ht="24.9" customHeight="1">
      <c r="A319" s="296">
        <v>3</v>
      </c>
      <c r="B319" s="300" t="s">
        <v>764</v>
      </c>
      <c r="C319" s="303" t="s">
        <v>769</v>
      </c>
      <c r="D319" s="207" t="s">
        <v>235</v>
      </c>
      <c r="E319" s="298">
        <v>2</v>
      </c>
      <c r="F319" s="207" t="s">
        <v>236</v>
      </c>
      <c r="G319" s="208"/>
      <c r="H319" s="208"/>
      <c r="I319" s="299"/>
      <c r="J319" s="218"/>
      <c r="K319" s="208">
        <v>116.6</v>
      </c>
      <c r="L319" s="208"/>
      <c r="M319" s="208" t="s">
        <v>237</v>
      </c>
      <c r="N319" s="295" t="s">
        <v>770</v>
      </c>
      <c r="O319" s="209"/>
      <c r="P319" s="25"/>
      <c r="Q319" s="347" t="s">
        <v>419</v>
      </c>
      <c r="R319" s="26"/>
      <c r="S319" s="27"/>
      <c r="T319" s="301"/>
      <c r="U319" s="27"/>
      <c r="V319" s="118"/>
    </row>
    <row r="320" spans="1:22" s="119" customFormat="1" ht="24.9" customHeight="1">
      <c r="A320" s="296">
        <v>4</v>
      </c>
      <c r="B320" s="300" t="s">
        <v>764</v>
      </c>
      <c r="C320" s="303" t="s">
        <v>771</v>
      </c>
      <c r="D320" s="207" t="s">
        <v>235</v>
      </c>
      <c r="E320" s="298">
        <v>2</v>
      </c>
      <c r="F320" s="207" t="s">
        <v>236</v>
      </c>
      <c r="G320" s="208"/>
      <c r="H320" s="208"/>
      <c r="I320" s="299"/>
      <c r="J320" s="218"/>
      <c r="K320" s="208">
        <v>99.7</v>
      </c>
      <c r="L320" s="208"/>
      <c r="M320" s="208" t="s">
        <v>237</v>
      </c>
      <c r="N320" s="295" t="s">
        <v>772</v>
      </c>
      <c r="O320" s="209"/>
      <c r="P320" s="25"/>
      <c r="Q320" s="347" t="s">
        <v>419</v>
      </c>
      <c r="R320" s="26"/>
      <c r="S320" s="27"/>
      <c r="T320" s="301"/>
      <c r="U320" s="27"/>
      <c r="V320" s="118"/>
    </row>
    <row r="321" spans="1:22" s="119" customFormat="1" ht="24.9" customHeight="1">
      <c r="A321" s="296">
        <v>5</v>
      </c>
      <c r="B321" s="300" t="s">
        <v>764</v>
      </c>
      <c r="C321" s="303" t="s">
        <v>773</v>
      </c>
      <c r="D321" s="207" t="s">
        <v>235</v>
      </c>
      <c r="E321" s="298">
        <v>2</v>
      </c>
      <c r="F321" s="207" t="s">
        <v>236</v>
      </c>
      <c r="G321" s="208"/>
      <c r="H321" s="208"/>
      <c r="I321" s="299"/>
      <c r="J321" s="218"/>
      <c r="K321" s="208">
        <v>97.2</v>
      </c>
      <c r="L321" s="208"/>
      <c r="M321" s="208" t="s">
        <v>237</v>
      </c>
      <c r="N321" s="295" t="s">
        <v>774</v>
      </c>
      <c r="O321" s="209"/>
      <c r="P321" s="25"/>
      <c r="Q321" s="347" t="s">
        <v>419</v>
      </c>
      <c r="R321" s="26"/>
      <c r="S321" s="27"/>
      <c r="T321" s="301"/>
      <c r="U321" s="27"/>
      <c r="V321" s="118"/>
    </row>
    <row r="322" spans="1:22" s="119" customFormat="1" ht="24.9" customHeight="1">
      <c r="A322" s="296">
        <v>6</v>
      </c>
      <c r="B322" s="300" t="s">
        <v>764</v>
      </c>
      <c r="C322" s="303" t="s">
        <v>775</v>
      </c>
      <c r="D322" s="207" t="s">
        <v>235</v>
      </c>
      <c r="E322" s="298">
        <v>2</v>
      </c>
      <c r="F322" s="207" t="s">
        <v>236</v>
      </c>
      <c r="G322" s="208"/>
      <c r="H322" s="208"/>
      <c r="I322" s="299"/>
      <c r="J322" s="218"/>
      <c r="K322" s="208">
        <v>32</v>
      </c>
      <c r="L322" s="208"/>
      <c r="M322" s="208" t="s">
        <v>237</v>
      </c>
      <c r="N322" s="295" t="s">
        <v>776</v>
      </c>
      <c r="O322" s="209"/>
      <c r="P322" s="25"/>
      <c r="Q322" s="347" t="s">
        <v>443</v>
      </c>
      <c r="R322" s="26"/>
      <c r="S322" s="27"/>
      <c r="T322" s="301"/>
      <c r="U322" s="27"/>
      <c r="V322" s="118"/>
    </row>
    <row r="323" spans="1:22" s="119" customFormat="1" ht="24.9" customHeight="1">
      <c r="A323" s="296">
        <v>7</v>
      </c>
      <c r="B323" s="300" t="s">
        <v>764</v>
      </c>
      <c r="C323" s="375" t="s">
        <v>777</v>
      </c>
      <c r="D323" s="207" t="s">
        <v>235</v>
      </c>
      <c r="E323" s="298">
        <v>2</v>
      </c>
      <c r="F323" s="207" t="s">
        <v>236</v>
      </c>
      <c r="G323" s="208"/>
      <c r="H323" s="208"/>
      <c r="I323" s="299"/>
      <c r="J323" s="218"/>
      <c r="K323" s="208">
        <v>32</v>
      </c>
      <c r="L323" s="208"/>
      <c r="M323" s="208" t="s">
        <v>237</v>
      </c>
      <c r="N323" s="365" t="s">
        <v>778</v>
      </c>
      <c r="O323" s="209"/>
      <c r="P323" s="25"/>
      <c r="Q323" s="347" t="s">
        <v>446</v>
      </c>
      <c r="R323" s="26"/>
      <c r="S323" s="27"/>
      <c r="T323" s="301"/>
      <c r="U323" s="27"/>
      <c r="V323" s="118"/>
    </row>
    <row r="324" spans="1:22" s="307" customFormat="1" ht="24.9" customHeight="1">
      <c r="A324" s="234" t="s">
        <v>779</v>
      </c>
      <c r="B324" s="235">
        <f>RIGHT(B323, 2)*1</f>
        <v>49</v>
      </c>
      <c r="C324" s="246" t="s">
        <v>448</v>
      </c>
      <c r="D324" s="237"/>
      <c r="E324" s="238">
        <f>SUM(E317:E323)</f>
        <v>32</v>
      </c>
      <c r="F324" s="237"/>
      <c r="G324" s="239">
        <v>410</v>
      </c>
      <c r="H324" s="239">
        <v>160</v>
      </c>
      <c r="I324" s="240">
        <v>189</v>
      </c>
      <c r="J324" s="241">
        <f>ROUND(I324*H324*G324/1000000,3)</f>
        <v>12.398</v>
      </c>
      <c r="K324" s="242">
        <f>SUM(K317:K323)</f>
        <v>1932.2</v>
      </c>
      <c r="L324" s="239">
        <f>K324+140</f>
        <v>2072.1999999999998</v>
      </c>
      <c r="M324" s="239"/>
      <c r="N324" s="243"/>
      <c r="O324" s="244"/>
      <c r="P324" s="245"/>
      <c r="Q324" s="348"/>
      <c r="R324" s="26"/>
      <c r="S324" s="304"/>
      <c r="T324" s="305"/>
      <c r="U324" s="304"/>
      <c r="V324" s="306"/>
    </row>
    <row r="325" spans="1:22" s="119" customFormat="1" ht="24.9" customHeight="1">
      <c r="A325" s="296">
        <v>1</v>
      </c>
      <c r="B325" s="300" t="s">
        <v>780</v>
      </c>
      <c r="C325" s="303" t="s">
        <v>781</v>
      </c>
      <c r="D325" s="207" t="s">
        <v>235</v>
      </c>
      <c r="E325" s="298">
        <v>1</v>
      </c>
      <c r="F325" s="207" t="s">
        <v>236</v>
      </c>
      <c r="G325" s="208"/>
      <c r="H325" s="208"/>
      <c r="I325" s="299"/>
      <c r="J325" s="218"/>
      <c r="K325" s="208">
        <f>262/2</f>
        <v>131</v>
      </c>
      <c r="L325" s="208"/>
      <c r="M325" s="208" t="s">
        <v>237</v>
      </c>
      <c r="N325" s="295" t="s">
        <v>782</v>
      </c>
      <c r="O325" s="209"/>
      <c r="P325" s="25"/>
      <c r="Q325" s="347" t="s">
        <v>452</v>
      </c>
      <c r="R325" s="26"/>
      <c r="S325" s="27"/>
      <c r="T325" s="301"/>
      <c r="U325" s="27"/>
      <c r="V325" s="118"/>
    </row>
    <row r="326" spans="1:22" s="119" customFormat="1" ht="24.9" customHeight="1">
      <c r="A326" s="296">
        <v>2</v>
      </c>
      <c r="B326" s="300" t="s">
        <v>780</v>
      </c>
      <c r="C326" s="303" t="s">
        <v>783</v>
      </c>
      <c r="D326" s="207" t="s">
        <v>235</v>
      </c>
      <c r="E326" s="298">
        <v>1</v>
      </c>
      <c r="F326" s="207" t="s">
        <v>236</v>
      </c>
      <c r="G326" s="208"/>
      <c r="H326" s="208"/>
      <c r="I326" s="299"/>
      <c r="J326" s="218"/>
      <c r="K326" s="208">
        <v>18</v>
      </c>
      <c r="L326" s="208"/>
      <c r="M326" s="208" t="s">
        <v>237</v>
      </c>
      <c r="N326" s="295" t="s">
        <v>784</v>
      </c>
      <c r="O326" s="209"/>
      <c r="P326" s="25"/>
      <c r="Q326" s="347" t="s">
        <v>455</v>
      </c>
      <c r="R326" s="26"/>
      <c r="S326" s="27"/>
      <c r="T326" s="301"/>
      <c r="U326" s="27"/>
      <c r="V326" s="118"/>
    </row>
    <row r="327" spans="1:22" s="119" customFormat="1" ht="24.9" customHeight="1">
      <c r="A327" s="296">
        <v>3</v>
      </c>
      <c r="B327" s="300" t="s">
        <v>780</v>
      </c>
      <c r="C327" s="303" t="s">
        <v>781</v>
      </c>
      <c r="D327" s="207" t="s">
        <v>235</v>
      </c>
      <c r="E327" s="298">
        <v>1</v>
      </c>
      <c r="F327" s="207" t="s">
        <v>236</v>
      </c>
      <c r="G327" s="208"/>
      <c r="H327" s="208"/>
      <c r="I327" s="299"/>
      <c r="J327" s="218"/>
      <c r="K327" s="208">
        <v>131</v>
      </c>
      <c r="L327" s="208"/>
      <c r="M327" s="208" t="s">
        <v>237</v>
      </c>
      <c r="N327" s="295" t="s">
        <v>782</v>
      </c>
      <c r="O327" s="209"/>
      <c r="P327" s="25"/>
      <c r="Q327" s="347" t="s">
        <v>458</v>
      </c>
      <c r="R327" s="26"/>
      <c r="S327" s="27"/>
      <c r="T327" s="301"/>
      <c r="U327" s="27"/>
      <c r="V327" s="118"/>
    </row>
    <row r="328" spans="1:22" s="119" customFormat="1" ht="24.9" customHeight="1">
      <c r="A328" s="296">
        <v>4</v>
      </c>
      <c r="B328" s="300" t="s">
        <v>780</v>
      </c>
      <c r="C328" s="303" t="s">
        <v>783</v>
      </c>
      <c r="D328" s="207" t="s">
        <v>235</v>
      </c>
      <c r="E328" s="298">
        <v>1</v>
      </c>
      <c r="F328" s="207" t="s">
        <v>236</v>
      </c>
      <c r="G328" s="208"/>
      <c r="H328" s="208"/>
      <c r="I328" s="299"/>
      <c r="J328" s="218"/>
      <c r="K328" s="208">
        <v>18</v>
      </c>
      <c r="L328" s="208"/>
      <c r="M328" s="208" t="s">
        <v>237</v>
      </c>
      <c r="N328" s="295" t="s">
        <v>784</v>
      </c>
      <c r="O328" s="209"/>
      <c r="P328" s="25"/>
      <c r="Q328" s="347" t="s">
        <v>459</v>
      </c>
      <c r="R328" s="26"/>
      <c r="S328" s="27"/>
      <c r="T328" s="301"/>
      <c r="U328" s="27"/>
      <c r="V328" s="118"/>
    </row>
    <row r="329" spans="1:22" s="307" customFormat="1" ht="24.9" customHeight="1">
      <c r="A329" s="234" t="s">
        <v>785</v>
      </c>
      <c r="B329" s="235">
        <f>RIGHT(B328, 2)*1</f>
        <v>50</v>
      </c>
      <c r="C329" s="246" t="s">
        <v>461</v>
      </c>
      <c r="D329" s="237"/>
      <c r="E329" s="238">
        <f>SUM(E325:E328)</f>
        <v>4</v>
      </c>
      <c r="F329" s="237"/>
      <c r="G329" s="239">
        <v>536</v>
      </c>
      <c r="H329" s="239">
        <v>206</v>
      </c>
      <c r="I329" s="240">
        <v>135</v>
      </c>
      <c r="J329" s="241">
        <f>ROUND(I329*H329*G329/1000000,3)</f>
        <v>14.906000000000001</v>
      </c>
      <c r="K329" s="242">
        <f>SUM(K325:K328)</f>
        <v>298</v>
      </c>
      <c r="L329" s="239">
        <f>K329+120</f>
        <v>418</v>
      </c>
      <c r="M329" s="239"/>
      <c r="N329" s="243"/>
      <c r="O329" s="244"/>
      <c r="P329" s="245"/>
      <c r="Q329" s="348"/>
      <c r="R329" s="26"/>
      <c r="S329" s="304"/>
      <c r="T329" s="305"/>
      <c r="U329" s="304"/>
      <c r="V329" s="306"/>
    </row>
    <row r="330" spans="1:22" s="119" customFormat="1" ht="24.9" customHeight="1">
      <c r="A330" s="296">
        <v>1</v>
      </c>
      <c r="B330" s="300" t="s">
        <v>786</v>
      </c>
      <c r="C330" s="303" t="s">
        <v>781</v>
      </c>
      <c r="D330" s="207" t="s">
        <v>235</v>
      </c>
      <c r="E330" s="298">
        <v>1</v>
      </c>
      <c r="F330" s="207" t="s">
        <v>236</v>
      </c>
      <c r="G330" s="208"/>
      <c r="H330" s="208"/>
      <c r="I330" s="299"/>
      <c r="J330" s="218"/>
      <c r="K330" s="208">
        <f>262/2</f>
        <v>131</v>
      </c>
      <c r="L330" s="208"/>
      <c r="M330" s="208" t="s">
        <v>237</v>
      </c>
      <c r="N330" s="295" t="s">
        <v>782</v>
      </c>
      <c r="O330" s="209"/>
      <c r="P330" s="25"/>
      <c r="Q330" s="347" t="s">
        <v>452</v>
      </c>
      <c r="R330" s="26"/>
      <c r="S330" s="27"/>
      <c r="T330" s="301"/>
      <c r="U330" s="27"/>
      <c r="V330" s="118"/>
    </row>
    <row r="331" spans="1:22" s="119" customFormat="1" ht="24.9" customHeight="1">
      <c r="A331" s="296">
        <v>2</v>
      </c>
      <c r="B331" s="300" t="s">
        <v>786</v>
      </c>
      <c r="C331" s="303" t="s">
        <v>783</v>
      </c>
      <c r="D331" s="207" t="s">
        <v>235</v>
      </c>
      <c r="E331" s="298">
        <v>1</v>
      </c>
      <c r="F331" s="207" t="s">
        <v>236</v>
      </c>
      <c r="G331" s="208"/>
      <c r="H331" s="208"/>
      <c r="I331" s="299"/>
      <c r="J331" s="218"/>
      <c r="K331" s="208">
        <v>18</v>
      </c>
      <c r="L331" s="208"/>
      <c r="M331" s="208" t="s">
        <v>237</v>
      </c>
      <c r="N331" s="295" t="s">
        <v>784</v>
      </c>
      <c r="O331" s="209"/>
      <c r="P331" s="25"/>
      <c r="Q331" s="347" t="s">
        <v>455</v>
      </c>
      <c r="R331" s="26"/>
      <c r="S331" s="27"/>
      <c r="T331" s="301"/>
      <c r="U331" s="27"/>
      <c r="V331" s="118"/>
    </row>
    <row r="332" spans="1:22" s="119" customFormat="1" ht="24.9" customHeight="1">
      <c r="A332" s="296">
        <v>3</v>
      </c>
      <c r="B332" s="300" t="s">
        <v>786</v>
      </c>
      <c r="C332" s="303" t="s">
        <v>781</v>
      </c>
      <c r="D332" s="207" t="s">
        <v>235</v>
      </c>
      <c r="E332" s="298">
        <v>1</v>
      </c>
      <c r="F332" s="207" t="s">
        <v>236</v>
      </c>
      <c r="G332" s="208"/>
      <c r="H332" s="208"/>
      <c r="I332" s="299"/>
      <c r="J332" s="218"/>
      <c r="K332" s="208">
        <v>131</v>
      </c>
      <c r="L332" s="208"/>
      <c r="M332" s="208" t="s">
        <v>237</v>
      </c>
      <c r="N332" s="295" t="s">
        <v>782</v>
      </c>
      <c r="O332" s="209"/>
      <c r="P332" s="25"/>
      <c r="Q332" s="347" t="s">
        <v>458</v>
      </c>
      <c r="R332" s="26"/>
      <c r="S332" s="27"/>
      <c r="T332" s="301"/>
      <c r="U332" s="27"/>
      <c r="V332" s="118"/>
    </row>
    <row r="333" spans="1:22" s="119" customFormat="1" ht="24.9" customHeight="1">
      <c r="A333" s="296">
        <v>4</v>
      </c>
      <c r="B333" s="300" t="s">
        <v>786</v>
      </c>
      <c r="C333" s="303" t="s">
        <v>783</v>
      </c>
      <c r="D333" s="207" t="s">
        <v>235</v>
      </c>
      <c r="E333" s="298">
        <v>1</v>
      </c>
      <c r="F333" s="207" t="s">
        <v>236</v>
      </c>
      <c r="G333" s="208"/>
      <c r="H333" s="208"/>
      <c r="I333" s="299"/>
      <c r="J333" s="218"/>
      <c r="K333" s="208">
        <v>18</v>
      </c>
      <c r="L333" s="208"/>
      <c r="M333" s="208" t="s">
        <v>237</v>
      </c>
      <c r="N333" s="295" t="s">
        <v>784</v>
      </c>
      <c r="O333" s="209"/>
      <c r="P333" s="25"/>
      <c r="Q333" s="347" t="s">
        <v>459</v>
      </c>
      <c r="R333" s="26"/>
      <c r="S333" s="27"/>
      <c r="T333" s="301"/>
      <c r="U333" s="27"/>
      <c r="V333" s="118"/>
    </row>
    <row r="334" spans="1:22" s="307" customFormat="1" ht="24.9" customHeight="1">
      <c r="A334" s="234" t="s">
        <v>787</v>
      </c>
      <c r="B334" s="235">
        <f>RIGHT(B333, 2)*1</f>
        <v>51</v>
      </c>
      <c r="C334" s="246" t="s">
        <v>461</v>
      </c>
      <c r="D334" s="237"/>
      <c r="E334" s="238">
        <f>SUM(E330:E333)</f>
        <v>4</v>
      </c>
      <c r="F334" s="237"/>
      <c r="G334" s="239">
        <v>536</v>
      </c>
      <c r="H334" s="239">
        <v>206</v>
      </c>
      <c r="I334" s="240">
        <v>135</v>
      </c>
      <c r="J334" s="241">
        <f>ROUND(I334*H334*G334/1000000,3)</f>
        <v>14.906000000000001</v>
      </c>
      <c r="K334" s="242">
        <f>SUM(K330:K333)</f>
        <v>298</v>
      </c>
      <c r="L334" s="239">
        <f>K334+120</f>
        <v>418</v>
      </c>
      <c r="M334" s="239"/>
      <c r="N334" s="243"/>
      <c r="O334" s="244"/>
      <c r="P334" s="245"/>
      <c r="Q334" s="348"/>
      <c r="R334" s="26"/>
      <c r="S334" s="304"/>
      <c r="T334" s="305"/>
      <c r="U334" s="304"/>
      <c r="V334" s="306"/>
    </row>
    <row r="335" spans="1:22" s="119" customFormat="1" ht="24.9" customHeight="1">
      <c r="A335" s="296">
        <v>1</v>
      </c>
      <c r="B335" s="300" t="s">
        <v>788</v>
      </c>
      <c r="C335" s="303" t="s">
        <v>789</v>
      </c>
      <c r="D335" s="207" t="s">
        <v>235</v>
      </c>
      <c r="E335" s="298">
        <v>9</v>
      </c>
      <c r="F335" s="207" t="s">
        <v>236</v>
      </c>
      <c r="G335" s="208"/>
      <c r="H335" s="208"/>
      <c r="I335" s="299"/>
      <c r="J335" s="218"/>
      <c r="K335" s="208">
        <v>2556</v>
      </c>
      <c r="L335" s="208"/>
      <c r="M335" s="208" t="s">
        <v>237</v>
      </c>
      <c r="N335" s="295" t="s">
        <v>790</v>
      </c>
      <c r="O335" s="209"/>
      <c r="P335" s="25"/>
      <c r="Q335" s="347" t="s">
        <v>469</v>
      </c>
      <c r="R335" s="26"/>
      <c r="S335" s="27"/>
      <c r="T335" s="301"/>
      <c r="U335" s="27"/>
      <c r="V335" s="118"/>
    </row>
    <row r="336" spans="1:22" s="119" customFormat="1" ht="24.9" customHeight="1">
      <c r="A336" s="296">
        <v>2</v>
      </c>
      <c r="B336" s="300" t="s">
        <v>788</v>
      </c>
      <c r="C336" s="303" t="s">
        <v>791</v>
      </c>
      <c r="D336" s="207" t="s">
        <v>235</v>
      </c>
      <c r="E336" s="298">
        <v>6</v>
      </c>
      <c r="F336" s="207" t="s">
        <v>236</v>
      </c>
      <c r="G336" s="208"/>
      <c r="H336" s="208"/>
      <c r="I336" s="299"/>
      <c r="J336" s="218"/>
      <c r="K336" s="208">
        <v>1669.2</v>
      </c>
      <c r="L336" s="208"/>
      <c r="M336" s="208" t="s">
        <v>237</v>
      </c>
      <c r="N336" s="295" t="s">
        <v>792</v>
      </c>
      <c r="O336" s="209"/>
      <c r="P336" s="25"/>
      <c r="Q336" s="347" t="s">
        <v>275</v>
      </c>
      <c r="R336" s="26"/>
      <c r="S336" s="27"/>
      <c r="T336" s="301"/>
      <c r="U336" s="27"/>
      <c r="V336" s="118"/>
    </row>
    <row r="337" spans="1:22" s="307" customFormat="1" ht="24.9" customHeight="1">
      <c r="A337" s="234" t="s">
        <v>793</v>
      </c>
      <c r="B337" s="235">
        <f>RIGHT(B336, 2)*1</f>
        <v>52</v>
      </c>
      <c r="C337" s="246" t="s">
        <v>473</v>
      </c>
      <c r="D337" s="237"/>
      <c r="E337" s="238">
        <f>SUM(E335:E336)</f>
        <v>15</v>
      </c>
      <c r="F337" s="237"/>
      <c r="G337" s="239">
        <v>745</v>
      </c>
      <c r="H337" s="239">
        <v>220</v>
      </c>
      <c r="I337" s="240">
        <v>200</v>
      </c>
      <c r="J337" s="241">
        <f>ROUND(I337*H337*G337/1000000,3)</f>
        <v>32.78</v>
      </c>
      <c r="K337" s="242">
        <f>SUM(K335:K336)</f>
        <v>4225.2</v>
      </c>
      <c r="L337" s="239">
        <f>K337+80</f>
        <v>4305.2</v>
      </c>
      <c r="M337" s="239"/>
      <c r="N337" s="243"/>
      <c r="O337" s="244"/>
      <c r="P337" s="245"/>
      <c r="Q337" s="348"/>
      <c r="R337" s="26"/>
      <c r="S337" s="304"/>
      <c r="T337" s="305"/>
      <c r="U337" s="304"/>
      <c r="V337" s="306"/>
    </row>
    <row r="338" spans="1:22" s="119" customFormat="1" ht="24.9" customHeight="1">
      <c r="A338" s="296">
        <v>1</v>
      </c>
      <c r="B338" s="300" t="s">
        <v>794</v>
      </c>
      <c r="C338" s="303" t="s">
        <v>795</v>
      </c>
      <c r="D338" s="207" t="s">
        <v>235</v>
      </c>
      <c r="E338" s="298">
        <v>7</v>
      </c>
      <c r="F338" s="207" t="s">
        <v>236</v>
      </c>
      <c r="G338" s="208"/>
      <c r="H338" s="208"/>
      <c r="I338" s="299"/>
      <c r="J338" s="218"/>
      <c r="K338" s="208">
        <f>2853.9/12*7</f>
        <v>1664.7750000000001</v>
      </c>
      <c r="L338" s="208"/>
      <c r="M338" s="208" t="s">
        <v>237</v>
      </c>
      <c r="N338" s="295" t="s">
        <v>796</v>
      </c>
      <c r="O338" s="209"/>
      <c r="P338" s="25"/>
      <c r="Q338" s="347" t="s">
        <v>477</v>
      </c>
      <c r="R338" s="26"/>
      <c r="S338" s="27"/>
      <c r="T338" s="301"/>
      <c r="U338" s="27"/>
      <c r="V338" s="118"/>
    </row>
    <row r="339" spans="1:22" s="119" customFormat="1" ht="24.9" customHeight="1">
      <c r="A339" s="296">
        <v>2</v>
      </c>
      <c r="B339" s="300" t="s">
        <v>794</v>
      </c>
      <c r="C339" s="303" t="s">
        <v>797</v>
      </c>
      <c r="D339" s="207" t="s">
        <v>235</v>
      </c>
      <c r="E339" s="298">
        <v>5</v>
      </c>
      <c r="F339" s="207" t="s">
        <v>236</v>
      </c>
      <c r="G339" s="208"/>
      <c r="H339" s="208"/>
      <c r="I339" s="299"/>
      <c r="J339" s="218"/>
      <c r="K339" s="208">
        <f>2837.5/12*5</f>
        <v>1182.2916666666667</v>
      </c>
      <c r="L339" s="208"/>
      <c r="M339" s="208" t="s">
        <v>237</v>
      </c>
      <c r="N339" s="295" t="s">
        <v>798</v>
      </c>
      <c r="O339" s="209"/>
      <c r="P339" s="25"/>
      <c r="Q339" s="347" t="s">
        <v>477</v>
      </c>
      <c r="R339" s="26"/>
      <c r="S339" s="27"/>
      <c r="T339" s="301"/>
      <c r="U339" s="27"/>
      <c r="V339" s="118"/>
    </row>
    <row r="340" spans="1:22" s="119" customFormat="1" ht="24.9" customHeight="1">
      <c r="A340" s="296">
        <v>3</v>
      </c>
      <c r="B340" s="300" t="s">
        <v>794</v>
      </c>
      <c r="C340" s="303" t="s">
        <v>799</v>
      </c>
      <c r="D340" s="207" t="s">
        <v>235</v>
      </c>
      <c r="E340" s="298">
        <v>4</v>
      </c>
      <c r="F340" s="207" t="s">
        <v>236</v>
      </c>
      <c r="G340" s="208"/>
      <c r="H340" s="208"/>
      <c r="I340" s="299"/>
      <c r="J340" s="218"/>
      <c r="K340" s="208">
        <f>1472/6*4</f>
        <v>981.33333333333337</v>
      </c>
      <c r="L340" s="208"/>
      <c r="M340" s="208" t="s">
        <v>237</v>
      </c>
      <c r="N340" s="295" t="s">
        <v>800</v>
      </c>
      <c r="O340" s="209"/>
      <c r="P340" s="25"/>
      <c r="Q340" s="347" t="s">
        <v>275</v>
      </c>
      <c r="R340" s="26"/>
      <c r="S340" s="27"/>
      <c r="T340" s="301"/>
      <c r="U340" s="27"/>
      <c r="V340" s="118"/>
    </row>
    <row r="341" spans="1:22" s="119" customFormat="1" ht="24.9" customHeight="1">
      <c r="A341" s="296">
        <v>4</v>
      </c>
      <c r="B341" s="300" t="s">
        <v>794</v>
      </c>
      <c r="C341" s="303" t="s">
        <v>801</v>
      </c>
      <c r="D341" s="207" t="s">
        <v>235</v>
      </c>
      <c r="E341" s="298">
        <v>1</v>
      </c>
      <c r="F341" s="207" t="s">
        <v>236</v>
      </c>
      <c r="G341" s="208"/>
      <c r="H341" s="208"/>
      <c r="I341" s="299"/>
      <c r="J341" s="218"/>
      <c r="K341" s="208">
        <f>1472/6*1</f>
        <v>245.33333333333334</v>
      </c>
      <c r="L341" s="208"/>
      <c r="M341" s="208" t="s">
        <v>237</v>
      </c>
      <c r="N341" s="295" t="s">
        <v>802</v>
      </c>
      <c r="O341" s="209"/>
      <c r="P341" s="25"/>
      <c r="Q341" s="347" t="s">
        <v>275</v>
      </c>
      <c r="R341" s="26"/>
      <c r="S341" s="27"/>
      <c r="T341" s="301"/>
      <c r="U341" s="27"/>
      <c r="V341" s="118"/>
    </row>
    <row r="342" spans="1:22" s="119" customFormat="1" ht="24.9" customHeight="1">
      <c r="A342" s="296">
        <v>5</v>
      </c>
      <c r="B342" s="300" t="s">
        <v>794</v>
      </c>
      <c r="C342" s="303" t="s">
        <v>803</v>
      </c>
      <c r="D342" s="207" t="s">
        <v>235</v>
      </c>
      <c r="E342" s="298">
        <v>1</v>
      </c>
      <c r="F342" s="207" t="s">
        <v>236</v>
      </c>
      <c r="G342" s="208"/>
      <c r="H342" s="208"/>
      <c r="I342" s="299"/>
      <c r="J342" s="218"/>
      <c r="K342" s="208">
        <f>1472/6*1</f>
        <v>245.33333333333334</v>
      </c>
      <c r="L342" s="208"/>
      <c r="M342" s="208" t="s">
        <v>237</v>
      </c>
      <c r="N342" s="295" t="s">
        <v>804</v>
      </c>
      <c r="O342" s="209"/>
      <c r="P342" s="25"/>
      <c r="Q342" s="347" t="s">
        <v>275</v>
      </c>
      <c r="R342" s="26"/>
      <c r="S342" s="27"/>
      <c r="T342" s="301"/>
      <c r="U342" s="27"/>
      <c r="V342" s="118"/>
    </row>
    <row r="343" spans="1:22" s="307" customFormat="1" ht="24.9" customHeight="1">
      <c r="A343" s="234" t="s">
        <v>805</v>
      </c>
      <c r="B343" s="235">
        <f>RIGHT(B342, 2)*1</f>
        <v>53</v>
      </c>
      <c r="C343" s="246" t="s">
        <v>489</v>
      </c>
      <c r="D343" s="237"/>
      <c r="E343" s="238">
        <f>SUM(E338:E342)</f>
        <v>18</v>
      </c>
      <c r="F343" s="237"/>
      <c r="G343" s="239">
        <v>630</v>
      </c>
      <c r="H343" s="239">
        <v>220</v>
      </c>
      <c r="I343" s="240">
        <v>155</v>
      </c>
      <c r="J343" s="241">
        <f>ROUND(I343*H343*G343/1000000,3)</f>
        <v>21.483000000000001</v>
      </c>
      <c r="K343" s="242">
        <f>SUM(K338:K342)</f>
        <v>4319.0666666666666</v>
      </c>
      <c r="L343" s="239">
        <f>K343+80</f>
        <v>4399.0666666666666</v>
      </c>
      <c r="M343" s="239"/>
      <c r="N343" s="243"/>
      <c r="O343" s="244"/>
      <c r="P343" s="245"/>
      <c r="Q343" s="348"/>
      <c r="R343" s="26"/>
      <c r="S343" s="304"/>
      <c r="T343" s="305"/>
      <c r="U343" s="304"/>
      <c r="V343" s="306"/>
    </row>
    <row r="344" spans="1:22" s="119" customFormat="1" ht="24.9" customHeight="1">
      <c r="A344" s="296">
        <v>1</v>
      </c>
      <c r="B344" s="300" t="s">
        <v>806</v>
      </c>
      <c r="C344" s="303" t="s">
        <v>795</v>
      </c>
      <c r="D344" s="207" t="s">
        <v>235</v>
      </c>
      <c r="E344" s="298">
        <v>5</v>
      </c>
      <c r="F344" s="207" t="s">
        <v>236</v>
      </c>
      <c r="G344" s="208"/>
      <c r="H344" s="208"/>
      <c r="I344" s="299"/>
      <c r="J344" s="218"/>
      <c r="K344" s="208">
        <f>2853.9/12*5</f>
        <v>1189.125</v>
      </c>
      <c r="L344" s="208"/>
      <c r="M344" s="208" t="s">
        <v>237</v>
      </c>
      <c r="N344" s="295" t="s">
        <v>796</v>
      </c>
      <c r="O344" s="209"/>
      <c r="P344" s="25"/>
      <c r="Q344" s="347" t="s">
        <v>477</v>
      </c>
      <c r="R344" s="26"/>
      <c r="S344" s="27"/>
      <c r="T344" s="301"/>
      <c r="U344" s="27"/>
      <c r="V344" s="118"/>
    </row>
    <row r="345" spans="1:22" s="119" customFormat="1" ht="24.9" customHeight="1">
      <c r="A345" s="296">
        <v>2</v>
      </c>
      <c r="B345" s="300" t="s">
        <v>806</v>
      </c>
      <c r="C345" s="303" t="s">
        <v>797</v>
      </c>
      <c r="D345" s="207" t="s">
        <v>235</v>
      </c>
      <c r="E345" s="298">
        <v>7</v>
      </c>
      <c r="F345" s="207" t="s">
        <v>236</v>
      </c>
      <c r="G345" s="208"/>
      <c r="H345" s="208"/>
      <c r="I345" s="299"/>
      <c r="J345" s="218"/>
      <c r="K345" s="208">
        <f>2837.5/12*7</f>
        <v>1655.2083333333335</v>
      </c>
      <c r="L345" s="208"/>
      <c r="M345" s="208" t="s">
        <v>237</v>
      </c>
      <c r="N345" s="295" t="s">
        <v>798</v>
      </c>
      <c r="O345" s="209"/>
      <c r="P345" s="25"/>
      <c r="Q345" s="347" t="s">
        <v>477</v>
      </c>
      <c r="R345" s="26"/>
      <c r="S345" s="27"/>
      <c r="T345" s="301"/>
      <c r="U345" s="27"/>
      <c r="V345" s="118"/>
    </row>
    <row r="346" spans="1:22" s="119" customFormat="1" ht="24.9" customHeight="1">
      <c r="A346" s="296">
        <v>3</v>
      </c>
      <c r="B346" s="300" t="s">
        <v>806</v>
      </c>
      <c r="C346" s="303" t="s">
        <v>799</v>
      </c>
      <c r="D346" s="207" t="s">
        <v>235</v>
      </c>
      <c r="E346" s="298">
        <v>1</v>
      </c>
      <c r="F346" s="207" t="s">
        <v>236</v>
      </c>
      <c r="G346" s="208"/>
      <c r="H346" s="208"/>
      <c r="I346" s="299"/>
      <c r="J346" s="218"/>
      <c r="K346" s="208">
        <f>1472/6*1</f>
        <v>245.33333333333334</v>
      </c>
      <c r="L346" s="208"/>
      <c r="M346" s="208" t="s">
        <v>237</v>
      </c>
      <c r="N346" s="295" t="s">
        <v>800</v>
      </c>
      <c r="O346" s="209"/>
      <c r="P346" s="25"/>
      <c r="Q346" s="347" t="s">
        <v>275</v>
      </c>
      <c r="R346" s="26"/>
      <c r="S346" s="27"/>
      <c r="T346" s="301"/>
      <c r="U346" s="27"/>
      <c r="V346" s="118"/>
    </row>
    <row r="347" spans="1:22" s="119" customFormat="1" ht="24.9" customHeight="1">
      <c r="A347" s="296">
        <v>4</v>
      </c>
      <c r="B347" s="300" t="s">
        <v>806</v>
      </c>
      <c r="C347" s="303" t="s">
        <v>807</v>
      </c>
      <c r="D347" s="207" t="s">
        <v>235</v>
      </c>
      <c r="E347" s="298">
        <v>2</v>
      </c>
      <c r="F347" s="207" t="s">
        <v>236</v>
      </c>
      <c r="G347" s="208"/>
      <c r="H347" s="208"/>
      <c r="I347" s="299"/>
      <c r="J347" s="218"/>
      <c r="K347" s="208">
        <f>1472/6*2</f>
        <v>490.66666666666669</v>
      </c>
      <c r="L347" s="208"/>
      <c r="M347" s="208" t="s">
        <v>237</v>
      </c>
      <c r="N347" s="295" t="s">
        <v>808</v>
      </c>
      <c r="O347" s="209"/>
      <c r="P347" s="25"/>
      <c r="Q347" s="347" t="s">
        <v>275</v>
      </c>
      <c r="R347" s="26"/>
      <c r="S347" s="27"/>
      <c r="T347" s="301"/>
      <c r="U347" s="27"/>
      <c r="V347" s="118"/>
    </row>
    <row r="348" spans="1:22" s="119" customFormat="1" ht="24.9" customHeight="1">
      <c r="A348" s="296">
        <v>5</v>
      </c>
      <c r="B348" s="300" t="s">
        <v>806</v>
      </c>
      <c r="C348" s="303" t="s">
        <v>801</v>
      </c>
      <c r="D348" s="207" t="s">
        <v>235</v>
      </c>
      <c r="E348" s="298">
        <v>3</v>
      </c>
      <c r="F348" s="207" t="s">
        <v>236</v>
      </c>
      <c r="G348" s="208"/>
      <c r="H348" s="208"/>
      <c r="I348" s="299"/>
      <c r="J348" s="218"/>
      <c r="K348" s="208">
        <f>1472/6*3</f>
        <v>736</v>
      </c>
      <c r="L348" s="208"/>
      <c r="M348" s="208" t="s">
        <v>237</v>
      </c>
      <c r="N348" s="295" t="s">
        <v>802</v>
      </c>
      <c r="O348" s="209"/>
      <c r="P348" s="25"/>
      <c r="Q348" s="347" t="s">
        <v>275</v>
      </c>
      <c r="R348" s="26"/>
      <c r="S348" s="27"/>
      <c r="T348" s="301"/>
      <c r="U348" s="27"/>
      <c r="V348" s="118"/>
    </row>
    <row r="349" spans="1:22" s="307" customFormat="1" ht="24.9" customHeight="1">
      <c r="A349" s="234" t="s">
        <v>809</v>
      </c>
      <c r="B349" s="235">
        <f>RIGHT(B348, 2)*1</f>
        <v>54</v>
      </c>
      <c r="C349" s="246" t="s">
        <v>489</v>
      </c>
      <c r="D349" s="237"/>
      <c r="E349" s="238">
        <f>SUM(E344:E348)</f>
        <v>18</v>
      </c>
      <c r="F349" s="237"/>
      <c r="G349" s="239">
        <v>630</v>
      </c>
      <c r="H349" s="239">
        <v>220</v>
      </c>
      <c r="I349" s="240">
        <v>155</v>
      </c>
      <c r="J349" s="241">
        <f>ROUND(I349*H349*G349/1000000,3)</f>
        <v>21.483000000000001</v>
      </c>
      <c r="K349" s="242">
        <f>SUM(K344:K348)</f>
        <v>4316.3333333333339</v>
      </c>
      <c r="L349" s="239">
        <f>K349+80</f>
        <v>4396.3333333333339</v>
      </c>
      <c r="M349" s="239"/>
      <c r="N349" s="243"/>
      <c r="O349" s="244"/>
      <c r="P349" s="245"/>
      <c r="Q349" s="348"/>
      <c r="R349" s="26"/>
      <c r="S349" s="304"/>
      <c r="T349" s="305"/>
      <c r="U349" s="304"/>
      <c r="V349" s="306"/>
    </row>
    <row r="350" spans="1:22" s="119" customFormat="1" ht="25.2" customHeight="1">
      <c r="A350" s="296">
        <v>1</v>
      </c>
      <c r="B350" s="300" t="s">
        <v>810</v>
      </c>
      <c r="C350" s="303" t="s">
        <v>811</v>
      </c>
      <c r="D350" s="207" t="s">
        <v>235</v>
      </c>
      <c r="E350" s="298">
        <v>4</v>
      </c>
      <c r="F350" s="207" t="s">
        <v>236</v>
      </c>
      <c r="G350" s="208"/>
      <c r="H350" s="208"/>
      <c r="I350" s="299"/>
      <c r="J350" s="218"/>
      <c r="K350" s="208">
        <v>1726.2</v>
      </c>
      <c r="L350" s="208"/>
      <c r="M350" s="208" t="s">
        <v>237</v>
      </c>
      <c r="N350" s="295" t="s">
        <v>812</v>
      </c>
      <c r="O350" s="209"/>
      <c r="P350" s="25"/>
      <c r="Q350" s="347" t="s">
        <v>495</v>
      </c>
      <c r="R350" s="26"/>
      <c r="S350" s="27"/>
      <c r="T350" s="301"/>
      <c r="U350" s="27"/>
      <c r="V350" s="118"/>
    </row>
    <row r="351" spans="1:22" s="119" customFormat="1" ht="24.9" customHeight="1">
      <c r="A351" s="296">
        <v>2</v>
      </c>
      <c r="B351" s="300" t="s">
        <v>810</v>
      </c>
      <c r="C351" s="303" t="s">
        <v>813</v>
      </c>
      <c r="D351" s="207" t="s">
        <v>235</v>
      </c>
      <c r="E351" s="298">
        <v>1</v>
      </c>
      <c r="F351" s="207" t="s">
        <v>236</v>
      </c>
      <c r="G351" s="208"/>
      <c r="H351" s="208"/>
      <c r="I351" s="299"/>
      <c r="J351" s="218"/>
      <c r="K351" s="208">
        <v>397.1</v>
      </c>
      <c r="L351" s="208"/>
      <c r="M351" s="208" t="s">
        <v>237</v>
      </c>
      <c r="N351" s="295" t="s">
        <v>814</v>
      </c>
      <c r="O351" s="209"/>
      <c r="P351" s="25"/>
      <c r="Q351" s="347" t="s">
        <v>495</v>
      </c>
      <c r="R351" s="26"/>
      <c r="S351" s="27"/>
      <c r="T351" s="301"/>
      <c r="U351" s="27"/>
      <c r="V351" s="118"/>
    </row>
    <row r="352" spans="1:22" s="119" customFormat="1" ht="24.9" customHeight="1">
      <c r="A352" s="296">
        <v>3</v>
      </c>
      <c r="B352" s="300" t="s">
        <v>810</v>
      </c>
      <c r="C352" s="303" t="s">
        <v>815</v>
      </c>
      <c r="D352" s="207" t="s">
        <v>235</v>
      </c>
      <c r="E352" s="298">
        <v>1</v>
      </c>
      <c r="F352" s="207" t="s">
        <v>236</v>
      </c>
      <c r="G352" s="208"/>
      <c r="H352" s="208"/>
      <c r="I352" s="299"/>
      <c r="J352" s="218"/>
      <c r="K352" s="208">
        <v>492.3</v>
      </c>
      <c r="L352" s="208"/>
      <c r="M352" s="208" t="s">
        <v>237</v>
      </c>
      <c r="N352" s="295" t="s">
        <v>816</v>
      </c>
      <c r="O352" s="209"/>
      <c r="P352" s="25"/>
      <c r="Q352" s="347" t="s">
        <v>495</v>
      </c>
      <c r="R352" s="26"/>
      <c r="S352" s="27"/>
      <c r="T352" s="301"/>
      <c r="U352" s="27"/>
      <c r="V352" s="118"/>
    </row>
    <row r="353" spans="1:22" s="119" customFormat="1" ht="24.9" customHeight="1">
      <c r="A353" s="296">
        <v>4</v>
      </c>
      <c r="B353" s="300" t="s">
        <v>810</v>
      </c>
      <c r="C353" s="303" t="s">
        <v>817</v>
      </c>
      <c r="D353" s="207" t="s">
        <v>235</v>
      </c>
      <c r="E353" s="298">
        <v>1</v>
      </c>
      <c r="F353" s="207" t="s">
        <v>236</v>
      </c>
      <c r="G353" s="208"/>
      <c r="H353" s="208"/>
      <c r="I353" s="299"/>
      <c r="J353" s="218"/>
      <c r="K353" s="208">
        <v>396.1</v>
      </c>
      <c r="L353" s="208"/>
      <c r="M353" s="208" t="s">
        <v>237</v>
      </c>
      <c r="N353" s="295" t="s">
        <v>818</v>
      </c>
      <c r="O353" s="209"/>
      <c r="P353" s="25"/>
      <c r="Q353" s="347" t="s">
        <v>495</v>
      </c>
      <c r="R353" s="26"/>
      <c r="S353" s="27"/>
      <c r="T353" s="301"/>
      <c r="U353" s="27"/>
      <c r="V353" s="118"/>
    </row>
    <row r="354" spans="1:22" s="119" customFormat="1" ht="24.9" customHeight="1">
      <c r="A354" s="296">
        <v>5</v>
      </c>
      <c r="B354" s="300" t="s">
        <v>810</v>
      </c>
      <c r="C354" s="303" t="s">
        <v>819</v>
      </c>
      <c r="D354" s="207" t="s">
        <v>235</v>
      </c>
      <c r="E354" s="298">
        <v>1</v>
      </c>
      <c r="F354" s="207" t="s">
        <v>236</v>
      </c>
      <c r="G354" s="208"/>
      <c r="H354" s="208"/>
      <c r="I354" s="299"/>
      <c r="J354" s="218"/>
      <c r="K354" s="208">
        <v>397.1</v>
      </c>
      <c r="L354" s="208"/>
      <c r="M354" s="208" t="s">
        <v>237</v>
      </c>
      <c r="N354" s="295" t="s">
        <v>820</v>
      </c>
      <c r="O354" s="209"/>
      <c r="P354" s="25"/>
      <c r="Q354" s="347" t="s">
        <v>495</v>
      </c>
      <c r="R354" s="26"/>
      <c r="S354" s="27"/>
      <c r="T354" s="301"/>
      <c r="U354" s="27"/>
      <c r="V354" s="118"/>
    </row>
    <row r="355" spans="1:22" s="307" customFormat="1" ht="24.9" customHeight="1">
      <c r="A355" s="234" t="s">
        <v>821</v>
      </c>
      <c r="B355" s="235">
        <f>RIGHT(B354, 2)*1</f>
        <v>55</v>
      </c>
      <c r="C355" s="246" t="s">
        <v>505</v>
      </c>
      <c r="D355" s="237"/>
      <c r="E355" s="238">
        <f>SUM(E350:E354)</f>
        <v>8</v>
      </c>
      <c r="F355" s="237"/>
      <c r="G355" s="239">
        <v>870</v>
      </c>
      <c r="H355" s="239">
        <v>180</v>
      </c>
      <c r="I355" s="240">
        <v>135</v>
      </c>
      <c r="J355" s="241">
        <f>ROUND(I355*H355*G355/1000000,3)</f>
        <v>21.140999999999998</v>
      </c>
      <c r="K355" s="242">
        <f>SUM(K350:K354)</f>
        <v>3408.8</v>
      </c>
      <c r="L355" s="239">
        <f>K355+80</f>
        <v>3488.8</v>
      </c>
      <c r="M355" s="239"/>
      <c r="N355" s="243"/>
      <c r="O355" s="244"/>
      <c r="P355" s="245"/>
      <c r="Q355" s="348"/>
      <c r="R355" s="26"/>
      <c r="S355" s="304"/>
      <c r="T355" s="305"/>
      <c r="U355" s="304"/>
      <c r="V355" s="306"/>
    </row>
    <row r="356" spans="1:22" s="119" customFormat="1" ht="24.9" customHeight="1">
      <c r="A356" s="296">
        <v>1</v>
      </c>
      <c r="B356" s="300" t="s">
        <v>822</v>
      </c>
      <c r="C356" s="303" t="s">
        <v>823</v>
      </c>
      <c r="D356" s="207" t="s">
        <v>235</v>
      </c>
      <c r="E356" s="298">
        <v>1</v>
      </c>
      <c r="F356" s="207" t="s">
        <v>236</v>
      </c>
      <c r="G356" s="208"/>
      <c r="H356" s="208"/>
      <c r="I356" s="299"/>
      <c r="J356" s="218"/>
      <c r="K356" s="208">
        <v>492.3</v>
      </c>
      <c r="L356" s="208"/>
      <c r="M356" s="208" t="s">
        <v>237</v>
      </c>
      <c r="N356" s="295" t="s">
        <v>824</v>
      </c>
      <c r="O356" s="209"/>
      <c r="P356" s="25"/>
      <c r="Q356" s="347" t="s">
        <v>495</v>
      </c>
      <c r="R356" s="26"/>
      <c r="S356" s="27"/>
      <c r="T356" s="301"/>
      <c r="U356" s="27"/>
      <c r="V356" s="118"/>
    </row>
    <row r="357" spans="1:22" s="119" customFormat="1" ht="24.9" customHeight="1">
      <c r="A357" s="296">
        <v>2</v>
      </c>
      <c r="B357" s="300" t="s">
        <v>822</v>
      </c>
      <c r="C357" s="303" t="s">
        <v>825</v>
      </c>
      <c r="D357" s="207" t="s">
        <v>235</v>
      </c>
      <c r="E357" s="298">
        <v>1</v>
      </c>
      <c r="F357" s="207" t="s">
        <v>236</v>
      </c>
      <c r="G357" s="208"/>
      <c r="H357" s="208"/>
      <c r="I357" s="299"/>
      <c r="J357" s="218"/>
      <c r="K357" s="208">
        <v>491.3</v>
      </c>
      <c r="L357" s="208"/>
      <c r="M357" s="208" t="s">
        <v>237</v>
      </c>
      <c r="N357" s="295" t="s">
        <v>826</v>
      </c>
      <c r="O357" s="209"/>
      <c r="P357" s="25"/>
      <c r="Q357" s="347" t="s">
        <v>495</v>
      </c>
      <c r="R357" s="26"/>
      <c r="S357" s="27"/>
      <c r="T357" s="301"/>
      <c r="U357" s="27"/>
      <c r="V357" s="118"/>
    </row>
    <row r="358" spans="1:22" s="119" customFormat="1" ht="24.9" customHeight="1">
      <c r="A358" s="296">
        <v>3</v>
      </c>
      <c r="B358" s="300" t="s">
        <v>822</v>
      </c>
      <c r="C358" s="303" t="s">
        <v>827</v>
      </c>
      <c r="D358" s="207" t="s">
        <v>235</v>
      </c>
      <c r="E358" s="298">
        <v>1</v>
      </c>
      <c r="F358" s="207" t="s">
        <v>236</v>
      </c>
      <c r="G358" s="208"/>
      <c r="H358" s="208"/>
      <c r="I358" s="299"/>
      <c r="J358" s="218"/>
      <c r="K358" s="208">
        <v>396.1</v>
      </c>
      <c r="L358" s="208"/>
      <c r="M358" s="208" t="s">
        <v>237</v>
      </c>
      <c r="N358" s="295" t="s">
        <v>828</v>
      </c>
      <c r="O358" s="209"/>
      <c r="P358" s="25"/>
      <c r="Q358" s="347" t="s">
        <v>495</v>
      </c>
      <c r="R358" s="26"/>
      <c r="S358" s="27"/>
      <c r="T358" s="301"/>
      <c r="U358" s="27"/>
      <c r="V358" s="118"/>
    </row>
    <row r="359" spans="1:22" s="119" customFormat="1" ht="24.9" customHeight="1">
      <c r="A359" s="296">
        <v>4</v>
      </c>
      <c r="B359" s="300" t="s">
        <v>822</v>
      </c>
      <c r="C359" s="303" t="s">
        <v>829</v>
      </c>
      <c r="D359" s="207" t="s">
        <v>235</v>
      </c>
      <c r="E359" s="298">
        <v>1</v>
      </c>
      <c r="F359" s="207" t="s">
        <v>236</v>
      </c>
      <c r="G359" s="208"/>
      <c r="H359" s="208"/>
      <c r="I359" s="299"/>
      <c r="J359" s="218"/>
      <c r="K359" s="208">
        <v>491.3</v>
      </c>
      <c r="L359" s="208"/>
      <c r="M359" s="208" t="s">
        <v>237</v>
      </c>
      <c r="N359" s="295" t="s">
        <v>830</v>
      </c>
      <c r="O359" s="209"/>
      <c r="P359" s="25"/>
      <c r="Q359" s="347" t="s">
        <v>495</v>
      </c>
      <c r="R359" s="26"/>
      <c r="S359" s="27"/>
      <c r="T359" s="301"/>
      <c r="U359" s="27"/>
      <c r="V359" s="118"/>
    </row>
    <row r="360" spans="1:22" s="119" customFormat="1" ht="24.9" customHeight="1">
      <c r="A360" s="296">
        <v>5</v>
      </c>
      <c r="B360" s="300" t="s">
        <v>822</v>
      </c>
      <c r="C360" s="303" t="s">
        <v>831</v>
      </c>
      <c r="D360" s="207" t="s">
        <v>235</v>
      </c>
      <c r="E360" s="298">
        <v>4</v>
      </c>
      <c r="F360" s="207" t="s">
        <v>236</v>
      </c>
      <c r="G360" s="208"/>
      <c r="H360" s="208"/>
      <c r="I360" s="299"/>
      <c r="J360" s="218"/>
      <c r="K360" s="208">
        <v>1726.2</v>
      </c>
      <c r="L360" s="208"/>
      <c r="M360" s="208" t="s">
        <v>237</v>
      </c>
      <c r="N360" s="295" t="s">
        <v>832</v>
      </c>
      <c r="O360" s="209"/>
      <c r="P360" s="25"/>
      <c r="Q360" s="347" t="s">
        <v>495</v>
      </c>
      <c r="R360" s="26"/>
      <c r="S360" s="27"/>
      <c r="T360" s="301"/>
      <c r="U360" s="27"/>
      <c r="V360" s="118"/>
    </row>
    <row r="361" spans="1:22" s="307" customFormat="1" ht="24.9" customHeight="1">
      <c r="A361" s="234" t="s">
        <v>833</v>
      </c>
      <c r="B361" s="235">
        <f>RIGHT(B360, 2)*1</f>
        <v>56</v>
      </c>
      <c r="C361" s="246" t="s">
        <v>505</v>
      </c>
      <c r="D361" s="237"/>
      <c r="E361" s="238">
        <f>SUM(E356:E360)</f>
        <v>8</v>
      </c>
      <c r="F361" s="237"/>
      <c r="G361" s="239">
        <v>870</v>
      </c>
      <c r="H361" s="239">
        <v>180</v>
      </c>
      <c r="I361" s="240">
        <v>135</v>
      </c>
      <c r="J361" s="241">
        <f>ROUND(I361*H361*G361/1000000,3)</f>
        <v>21.140999999999998</v>
      </c>
      <c r="K361" s="242">
        <f>SUM(K356:K360)</f>
        <v>3597.2</v>
      </c>
      <c r="L361" s="239">
        <f>K361+80</f>
        <v>3677.2</v>
      </c>
      <c r="M361" s="239"/>
      <c r="N361" s="243"/>
      <c r="O361" s="244"/>
      <c r="P361" s="245"/>
      <c r="Q361" s="348"/>
      <c r="R361" s="26"/>
      <c r="S361" s="304"/>
      <c r="T361" s="305"/>
      <c r="U361" s="304"/>
      <c r="V361" s="306"/>
    </row>
    <row r="362" spans="1:22" s="119" customFormat="1" ht="24.9" customHeight="1">
      <c r="A362" s="296">
        <v>1</v>
      </c>
      <c r="B362" s="300" t="s">
        <v>834</v>
      </c>
      <c r="C362" s="303" t="s">
        <v>835</v>
      </c>
      <c r="D362" s="207" t="s">
        <v>235</v>
      </c>
      <c r="E362" s="298">
        <v>3</v>
      </c>
      <c r="F362" s="207" t="s">
        <v>236</v>
      </c>
      <c r="G362" s="208"/>
      <c r="H362" s="208"/>
      <c r="I362" s="299"/>
      <c r="J362" s="218"/>
      <c r="K362" s="208">
        <f>1882.2/6*3</f>
        <v>941.09999999999991</v>
      </c>
      <c r="L362" s="208"/>
      <c r="M362" s="208" t="s">
        <v>237</v>
      </c>
      <c r="N362" s="295" t="s">
        <v>836</v>
      </c>
      <c r="O362" s="209"/>
      <c r="P362" s="25"/>
      <c r="Q362" s="347" t="s">
        <v>275</v>
      </c>
      <c r="R362" s="26"/>
      <c r="S362" s="27"/>
      <c r="T362" s="301"/>
      <c r="U362" s="27"/>
      <c r="V362" s="118"/>
    </row>
    <row r="363" spans="1:22" s="119" customFormat="1" ht="24.9" customHeight="1">
      <c r="A363" s="296">
        <v>2</v>
      </c>
      <c r="B363" s="300" t="s">
        <v>834</v>
      </c>
      <c r="C363" s="303" t="s">
        <v>799</v>
      </c>
      <c r="D363" s="207" t="s">
        <v>235</v>
      </c>
      <c r="E363" s="298">
        <v>1</v>
      </c>
      <c r="F363" s="207" t="s">
        <v>236</v>
      </c>
      <c r="G363" s="208"/>
      <c r="H363" s="208"/>
      <c r="I363" s="299"/>
      <c r="J363" s="218"/>
      <c r="K363" s="208">
        <f>1472/6*1</f>
        <v>245.33333333333334</v>
      </c>
      <c r="L363" s="208"/>
      <c r="M363" s="208" t="s">
        <v>237</v>
      </c>
      <c r="N363" s="295" t="s">
        <v>800</v>
      </c>
      <c r="O363" s="209"/>
      <c r="P363" s="25"/>
      <c r="Q363" s="347" t="s">
        <v>275</v>
      </c>
      <c r="R363" s="26"/>
      <c r="S363" s="27"/>
      <c r="T363" s="301"/>
      <c r="U363" s="27"/>
      <c r="V363" s="118"/>
    </row>
    <row r="364" spans="1:22" s="119" customFormat="1" ht="24.9" customHeight="1">
      <c r="A364" s="296">
        <v>3</v>
      </c>
      <c r="B364" s="300" t="s">
        <v>834</v>
      </c>
      <c r="C364" s="303" t="s">
        <v>807</v>
      </c>
      <c r="D364" s="207" t="s">
        <v>235</v>
      </c>
      <c r="E364" s="298">
        <v>4</v>
      </c>
      <c r="F364" s="207" t="s">
        <v>236</v>
      </c>
      <c r="G364" s="208"/>
      <c r="H364" s="208"/>
      <c r="I364" s="299"/>
      <c r="J364" s="218"/>
      <c r="K364" s="208">
        <f>1472/6*4</f>
        <v>981.33333333333337</v>
      </c>
      <c r="L364" s="208"/>
      <c r="M364" s="208" t="s">
        <v>237</v>
      </c>
      <c r="N364" s="295" t="s">
        <v>808</v>
      </c>
      <c r="O364" s="209"/>
      <c r="P364" s="25"/>
      <c r="Q364" s="347" t="s">
        <v>275</v>
      </c>
      <c r="R364" s="26"/>
      <c r="S364" s="27"/>
      <c r="T364" s="301"/>
      <c r="U364" s="27"/>
      <c r="V364" s="118"/>
    </row>
    <row r="365" spans="1:22" s="119" customFormat="1" ht="24.9" customHeight="1">
      <c r="A365" s="296">
        <v>4</v>
      </c>
      <c r="B365" s="300" t="s">
        <v>834</v>
      </c>
      <c r="C365" s="303" t="s">
        <v>801</v>
      </c>
      <c r="D365" s="207" t="s">
        <v>235</v>
      </c>
      <c r="E365" s="298">
        <v>2</v>
      </c>
      <c r="F365" s="207" t="s">
        <v>236</v>
      </c>
      <c r="G365" s="208"/>
      <c r="H365" s="208"/>
      <c r="I365" s="299"/>
      <c r="J365" s="218"/>
      <c r="K365" s="208">
        <f>1472/6*2</f>
        <v>490.66666666666669</v>
      </c>
      <c r="L365" s="208"/>
      <c r="M365" s="208" t="s">
        <v>237</v>
      </c>
      <c r="N365" s="295" t="s">
        <v>802</v>
      </c>
      <c r="O365" s="209"/>
      <c r="P365" s="25"/>
      <c r="Q365" s="347" t="s">
        <v>275</v>
      </c>
      <c r="R365" s="26"/>
      <c r="S365" s="27"/>
      <c r="T365" s="301"/>
      <c r="U365" s="27"/>
      <c r="V365" s="118"/>
    </row>
    <row r="366" spans="1:22" s="119" customFormat="1" ht="24.9" customHeight="1">
      <c r="A366" s="296">
        <v>5</v>
      </c>
      <c r="B366" s="300" t="s">
        <v>834</v>
      </c>
      <c r="C366" s="303" t="s">
        <v>803</v>
      </c>
      <c r="D366" s="207" t="s">
        <v>235</v>
      </c>
      <c r="E366" s="298">
        <v>5</v>
      </c>
      <c r="F366" s="207" t="s">
        <v>236</v>
      </c>
      <c r="G366" s="208"/>
      <c r="H366" s="208"/>
      <c r="I366" s="299"/>
      <c r="J366" s="218"/>
      <c r="K366" s="208">
        <f>1472/6*5</f>
        <v>1226.6666666666667</v>
      </c>
      <c r="L366" s="208"/>
      <c r="M366" s="208" t="s">
        <v>237</v>
      </c>
      <c r="N366" s="295" t="s">
        <v>804</v>
      </c>
      <c r="O366" s="209"/>
      <c r="P366" s="25"/>
      <c r="Q366" s="347" t="s">
        <v>275</v>
      </c>
      <c r="R366" s="26"/>
      <c r="S366" s="27"/>
      <c r="T366" s="301"/>
      <c r="U366" s="27"/>
      <c r="V366" s="118"/>
    </row>
    <row r="367" spans="1:22" s="119" customFormat="1" ht="24.9" customHeight="1">
      <c r="A367" s="296">
        <v>6</v>
      </c>
      <c r="B367" s="300" t="s">
        <v>834</v>
      </c>
      <c r="C367" s="303" t="s">
        <v>837</v>
      </c>
      <c r="D367" s="207" t="s">
        <v>235</v>
      </c>
      <c r="E367" s="298">
        <v>3</v>
      </c>
      <c r="F367" s="207" t="s">
        <v>236</v>
      </c>
      <c r="G367" s="208"/>
      <c r="H367" s="208"/>
      <c r="I367" s="299"/>
      <c r="J367" s="218"/>
      <c r="K367" s="208">
        <f>1882.2/6*3</f>
        <v>941.09999999999991</v>
      </c>
      <c r="L367" s="208"/>
      <c r="M367" s="208" t="s">
        <v>237</v>
      </c>
      <c r="N367" s="295" t="s">
        <v>838</v>
      </c>
      <c r="O367" s="209"/>
      <c r="P367" s="25"/>
      <c r="Q367" s="347" t="s">
        <v>275</v>
      </c>
      <c r="R367" s="26"/>
      <c r="S367" s="27"/>
      <c r="T367" s="301"/>
      <c r="U367" s="27"/>
      <c r="V367" s="118"/>
    </row>
    <row r="368" spans="1:22" s="307" customFormat="1" ht="24.9" customHeight="1">
      <c r="A368" s="234" t="s">
        <v>839</v>
      </c>
      <c r="B368" s="235">
        <f>RIGHT(B367, 2)*1</f>
        <v>57</v>
      </c>
      <c r="C368" s="246" t="s">
        <v>539</v>
      </c>
      <c r="D368" s="237"/>
      <c r="E368" s="238">
        <f>SUM(E362:E367)</f>
        <v>18</v>
      </c>
      <c r="F368" s="237"/>
      <c r="G368" s="239">
        <v>745</v>
      </c>
      <c r="H368" s="239">
        <v>220</v>
      </c>
      <c r="I368" s="240">
        <v>205</v>
      </c>
      <c r="J368" s="241">
        <f>ROUND(I368*H368*G368/1000000,3)</f>
        <v>33.6</v>
      </c>
      <c r="K368" s="242">
        <f>SUM(K362:K367)</f>
        <v>4826.1999999999989</v>
      </c>
      <c r="L368" s="239">
        <f>K368+100</f>
        <v>4926.1999999999989</v>
      </c>
      <c r="M368" s="239"/>
      <c r="N368" s="243"/>
      <c r="O368" s="244"/>
      <c r="P368" s="245"/>
      <c r="Q368" s="348"/>
      <c r="R368" s="26"/>
      <c r="S368" s="304"/>
      <c r="T368" s="305"/>
      <c r="U368" s="304"/>
      <c r="V368" s="306"/>
    </row>
    <row r="369" spans="1:22" s="119" customFormat="1" ht="24.9" customHeight="1">
      <c r="A369" s="296">
        <v>1</v>
      </c>
      <c r="B369" s="300" t="s">
        <v>840</v>
      </c>
      <c r="C369" s="303" t="s">
        <v>835</v>
      </c>
      <c r="D369" s="207" t="s">
        <v>235</v>
      </c>
      <c r="E369" s="298">
        <v>3</v>
      </c>
      <c r="F369" s="207" t="s">
        <v>236</v>
      </c>
      <c r="G369" s="208"/>
      <c r="H369" s="208"/>
      <c r="I369" s="299"/>
      <c r="J369" s="218"/>
      <c r="K369" s="208">
        <f>1882.2/6*3</f>
        <v>941.09999999999991</v>
      </c>
      <c r="L369" s="208"/>
      <c r="M369" s="208" t="s">
        <v>237</v>
      </c>
      <c r="N369" s="295" t="s">
        <v>836</v>
      </c>
      <c r="O369" s="209"/>
      <c r="P369" s="25"/>
      <c r="Q369" s="347" t="s">
        <v>275</v>
      </c>
      <c r="R369" s="26"/>
      <c r="S369" s="27"/>
      <c r="T369" s="301"/>
      <c r="U369" s="27"/>
      <c r="V369" s="118"/>
    </row>
    <row r="370" spans="1:22" s="119" customFormat="1" ht="24.9" customHeight="1">
      <c r="A370" s="296">
        <v>2</v>
      </c>
      <c r="B370" s="300" t="s">
        <v>840</v>
      </c>
      <c r="C370" s="303" t="s">
        <v>837</v>
      </c>
      <c r="D370" s="207" t="s">
        <v>235</v>
      </c>
      <c r="E370" s="298">
        <v>3</v>
      </c>
      <c r="F370" s="207" t="s">
        <v>236</v>
      </c>
      <c r="G370" s="208"/>
      <c r="H370" s="208"/>
      <c r="I370" s="299"/>
      <c r="J370" s="218"/>
      <c r="K370" s="208">
        <f>1882.2/6*3</f>
        <v>941.09999999999991</v>
      </c>
      <c r="L370" s="208"/>
      <c r="M370" s="208" t="s">
        <v>237</v>
      </c>
      <c r="N370" s="295" t="s">
        <v>838</v>
      </c>
      <c r="O370" s="209"/>
      <c r="P370" s="25"/>
      <c r="Q370" s="347" t="s">
        <v>275</v>
      </c>
      <c r="R370" s="26"/>
      <c r="S370" s="27"/>
      <c r="T370" s="301"/>
      <c r="U370" s="27"/>
      <c r="V370" s="118"/>
    </row>
    <row r="371" spans="1:22" s="119" customFormat="1" ht="24.9" customHeight="1">
      <c r="A371" s="296">
        <v>3</v>
      </c>
      <c r="B371" s="300" t="s">
        <v>840</v>
      </c>
      <c r="C371" s="303" t="s">
        <v>789</v>
      </c>
      <c r="D371" s="207" t="s">
        <v>235</v>
      </c>
      <c r="E371" s="298">
        <v>2</v>
      </c>
      <c r="F371" s="207" t="s">
        <v>236</v>
      </c>
      <c r="G371" s="208"/>
      <c r="H371" s="208"/>
      <c r="I371" s="299"/>
      <c r="J371" s="218"/>
      <c r="K371" s="309">
        <v>600</v>
      </c>
      <c r="L371" s="208"/>
      <c r="M371" s="208" t="s">
        <v>237</v>
      </c>
      <c r="N371" s="295" t="s">
        <v>790</v>
      </c>
      <c r="O371" s="209"/>
      <c r="P371" s="25"/>
      <c r="Q371" s="347" t="s">
        <v>469</v>
      </c>
      <c r="R371" s="26"/>
      <c r="S371" s="27"/>
      <c r="T371" s="301"/>
      <c r="U371" s="27"/>
      <c r="V371" s="118"/>
    </row>
    <row r="372" spans="1:22" s="119" customFormat="1" ht="24.9" customHeight="1">
      <c r="A372" s="296">
        <v>4</v>
      </c>
      <c r="B372" s="300" t="s">
        <v>840</v>
      </c>
      <c r="C372" s="303" t="s">
        <v>841</v>
      </c>
      <c r="D372" s="207" t="s">
        <v>235</v>
      </c>
      <c r="E372" s="298">
        <v>1</v>
      </c>
      <c r="F372" s="207" t="s">
        <v>236</v>
      </c>
      <c r="G372" s="208"/>
      <c r="H372" s="208"/>
      <c r="I372" s="299"/>
      <c r="J372" s="218"/>
      <c r="K372" s="208">
        <v>309.8</v>
      </c>
      <c r="L372" s="208"/>
      <c r="M372" s="208" t="s">
        <v>237</v>
      </c>
      <c r="N372" s="295" t="s">
        <v>842</v>
      </c>
      <c r="O372" s="209"/>
      <c r="P372" s="25"/>
      <c r="Q372" s="347" t="s">
        <v>469</v>
      </c>
      <c r="R372" s="26"/>
      <c r="S372" s="27"/>
      <c r="T372" s="301"/>
      <c r="U372" s="27"/>
      <c r="V372" s="118"/>
    </row>
    <row r="373" spans="1:22" s="119" customFormat="1" ht="24.9" customHeight="1">
      <c r="A373" s="296">
        <v>5</v>
      </c>
      <c r="B373" s="300" t="s">
        <v>840</v>
      </c>
      <c r="C373" s="303" t="s">
        <v>843</v>
      </c>
      <c r="D373" s="207" t="s">
        <v>235</v>
      </c>
      <c r="E373" s="298">
        <v>1</v>
      </c>
      <c r="F373" s="207" t="s">
        <v>236</v>
      </c>
      <c r="G373" s="208"/>
      <c r="H373" s="208"/>
      <c r="I373" s="299"/>
      <c r="J373" s="218"/>
      <c r="K373" s="208">
        <v>284</v>
      </c>
      <c r="L373" s="208"/>
      <c r="M373" s="208" t="s">
        <v>237</v>
      </c>
      <c r="N373" s="295" t="s">
        <v>844</v>
      </c>
      <c r="O373" s="209"/>
      <c r="P373" s="25"/>
      <c r="Q373" s="347" t="s">
        <v>469</v>
      </c>
      <c r="R373" s="26"/>
      <c r="S373" s="27"/>
      <c r="T373" s="301"/>
      <c r="U373" s="27"/>
      <c r="V373" s="118"/>
    </row>
    <row r="374" spans="1:22" s="119" customFormat="1" ht="24.9" customHeight="1">
      <c r="A374" s="296">
        <v>6</v>
      </c>
      <c r="B374" s="300" t="s">
        <v>840</v>
      </c>
      <c r="C374" s="303" t="s">
        <v>845</v>
      </c>
      <c r="D374" s="207" t="s">
        <v>235</v>
      </c>
      <c r="E374" s="298">
        <v>1</v>
      </c>
      <c r="F374" s="207" t="s">
        <v>236</v>
      </c>
      <c r="G374" s="208"/>
      <c r="H374" s="208"/>
      <c r="I374" s="299"/>
      <c r="J374" s="218"/>
      <c r="K374" s="208">
        <v>308.60000000000002</v>
      </c>
      <c r="L374" s="208"/>
      <c r="M374" s="208" t="s">
        <v>237</v>
      </c>
      <c r="N374" s="295" t="s">
        <v>846</v>
      </c>
      <c r="O374" s="209"/>
      <c r="P374" s="25"/>
      <c r="Q374" s="347" t="s">
        <v>469</v>
      </c>
      <c r="R374" s="26"/>
      <c r="S374" s="27"/>
      <c r="T374" s="301"/>
      <c r="U374" s="27"/>
      <c r="V374" s="118"/>
    </row>
    <row r="375" spans="1:22" s="119" customFormat="1" ht="24.9" customHeight="1">
      <c r="A375" s="296">
        <v>7</v>
      </c>
      <c r="B375" s="300" t="s">
        <v>840</v>
      </c>
      <c r="C375" s="303" t="s">
        <v>847</v>
      </c>
      <c r="D375" s="207" t="s">
        <v>235</v>
      </c>
      <c r="E375" s="298">
        <v>1</v>
      </c>
      <c r="F375" s="207" t="s">
        <v>236</v>
      </c>
      <c r="G375" s="208"/>
      <c r="H375" s="208"/>
      <c r="I375" s="299"/>
      <c r="J375" s="218"/>
      <c r="K375" s="208">
        <v>310.7</v>
      </c>
      <c r="L375" s="208"/>
      <c r="M375" s="208" t="s">
        <v>237</v>
      </c>
      <c r="N375" s="295" t="s">
        <v>848</v>
      </c>
      <c r="O375" s="209"/>
      <c r="P375" s="25"/>
      <c r="Q375" s="347" t="s">
        <v>469</v>
      </c>
      <c r="R375" s="26"/>
      <c r="S375" s="27"/>
      <c r="T375" s="301"/>
      <c r="U375" s="27"/>
      <c r="V375" s="118"/>
    </row>
    <row r="376" spans="1:22" s="119" customFormat="1" ht="24.9" customHeight="1">
      <c r="A376" s="296">
        <v>8</v>
      </c>
      <c r="B376" s="300" t="s">
        <v>840</v>
      </c>
      <c r="C376" s="303" t="s">
        <v>849</v>
      </c>
      <c r="D376" s="207" t="s">
        <v>235</v>
      </c>
      <c r="E376" s="298">
        <v>1</v>
      </c>
      <c r="F376" s="207" t="s">
        <v>236</v>
      </c>
      <c r="G376" s="208"/>
      <c r="H376" s="208"/>
      <c r="I376" s="299"/>
      <c r="J376" s="218"/>
      <c r="K376" s="208">
        <v>312.10000000000002</v>
      </c>
      <c r="L376" s="208"/>
      <c r="M376" s="208" t="s">
        <v>237</v>
      </c>
      <c r="N376" s="295" t="s">
        <v>850</v>
      </c>
      <c r="O376" s="209"/>
      <c r="P376" s="25"/>
      <c r="Q376" s="347" t="s">
        <v>469</v>
      </c>
      <c r="R376" s="26"/>
      <c r="S376" s="27"/>
      <c r="T376" s="301"/>
      <c r="U376" s="27"/>
      <c r="V376" s="118"/>
    </row>
    <row r="377" spans="1:22" s="119" customFormat="1" ht="24.9" customHeight="1">
      <c r="A377" s="296">
        <v>9</v>
      </c>
      <c r="B377" s="300" t="s">
        <v>840</v>
      </c>
      <c r="C377" s="303" t="s">
        <v>851</v>
      </c>
      <c r="D377" s="207" t="s">
        <v>235</v>
      </c>
      <c r="E377" s="298">
        <v>1</v>
      </c>
      <c r="F377" s="207" t="s">
        <v>236</v>
      </c>
      <c r="G377" s="208"/>
      <c r="H377" s="208"/>
      <c r="I377" s="299"/>
      <c r="J377" s="218"/>
      <c r="K377" s="208">
        <v>313.39999999999998</v>
      </c>
      <c r="L377" s="208"/>
      <c r="M377" s="208" t="s">
        <v>237</v>
      </c>
      <c r="N377" s="295" t="s">
        <v>852</v>
      </c>
      <c r="O377" s="209"/>
      <c r="P377" s="25"/>
      <c r="Q377" s="347" t="s">
        <v>469</v>
      </c>
      <c r="R377" s="26"/>
      <c r="S377" s="27"/>
      <c r="T377" s="301"/>
      <c r="U377" s="27"/>
      <c r="V377" s="118"/>
    </row>
    <row r="378" spans="1:22" s="119" customFormat="1" ht="24.9" customHeight="1">
      <c r="A378" s="296">
        <v>10</v>
      </c>
      <c r="B378" s="300" t="s">
        <v>840</v>
      </c>
      <c r="C378" s="303" t="s">
        <v>853</v>
      </c>
      <c r="D378" s="207" t="s">
        <v>235</v>
      </c>
      <c r="E378" s="298">
        <v>1</v>
      </c>
      <c r="F378" s="207" t="s">
        <v>236</v>
      </c>
      <c r="G378" s="208"/>
      <c r="H378" s="208"/>
      <c r="I378" s="299"/>
      <c r="J378" s="218"/>
      <c r="K378" s="208">
        <v>314.7</v>
      </c>
      <c r="L378" s="208"/>
      <c r="M378" s="208" t="s">
        <v>237</v>
      </c>
      <c r="N378" s="295" t="s">
        <v>854</v>
      </c>
      <c r="O378" s="209"/>
      <c r="P378" s="25"/>
      <c r="Q378" s="347" t="s">
        <v>469</v>
      </c>
      <c r="R378" s="26"/>
      <c r="S378" s="27"/>
      <c r="T378" s="301"/>
      <c r="U378" s="27"/>
      <c r="V378" s="118"/>
    </row>
    <row r="379" spans="1:22" s="307" customFormat="1" ht="24.9" customHeight="1">
      <c r="A379" s="234" t="s">
        <v>855</v>
      </c>
      <c r="B379" s="235">
        <f>RIGHT(B378, 2)*1</f>
        <v>58</v>
      </c>
      <c r="C379" s="246" t="s">
        <v>536</v>
      </c>
      <c r="D379" s="237"/>
      <c r="E379" s="238">
        <f>SUM(E369:E378)</f>
        <v>15</v>
      </c>
      <c r="F379" s="237"/>
      <c r="G379" s="239">
        <v>750</v>
      </c>
      <c r="H379" s="239">
        <v>220</v>
      </c>
      <c r="I379" s="240">
        <v>205</v>
      </c>
      <c r="J379" s="241">
        <f>ROUND(I379*H379*G379/1000000,3)</f>
        <v>33.825000000000003</v>
      </c>
      <c r="K379" s="242">
        <f>SUM(K369:K378)</f>
        <v>4635.4999999999991</v>
      </c>
      <c r="L379" s="239">
        <f>K379+100</f>
        <v>4735.4999999999991</v>
      </c>
      <c r="M379" s="239"/>
      <c r="N379" s="243"/>
      <c r="O379" s="244"/>
      <c r="P379" s="245"/>
      <c r="Q379" s="348"/>
      <c r="R379" s="26"/>
      <c r="S379" s="304"/>
      <c r="T379" s="305"/>
      <c r="U379" s="304"/>
      <c r="V379" s="306"/>
    </row>
    <row r="380" spans="1:22" s="119" customFormat="1" ht="24.9" customHeight="1">
      <c r="A380" s="296">
        <v>1</v>
      </c>
      <c r="B380" s="300" t="s">
        <v>856</v>
      </c>
      <c r="C380" s="303" t="s">
        <v>857</v>
      </c>
      <c r="D380" s="207" t="s">
        <v>235</v>
      </c>
      <c r="E380" s="298">
        <v>18</v>
      </c>
      <c r="F380" s="207" t="s">
        <v>236</v>
      </c>
      <c r="G380" s="208"/>
      <c r="H380" s="208"/>
      <c r="I380" s="299"/>
      <c r="J380" s="218"/>
      <c r="K380" s="208">
        <f>99.1*18</f>
        <v>1783.8</v>
      </c>
      <c r="L380" s="208"/>
      <c r="M380" s="208" t="s">
        <v>237</v>
      </c>
      <c r="N380" s="295" t="s">
        <v>858</v>
      </c>
      <c r="O380" s="209"/>
      <c r="P380" s="25"/>
      <c r="Q380" s="347" t="s">
        <v>275</v>
      </c>
      <c r="R380" s="26"/>
      <c r="S380" s="27"/>
      <c r="T380" s="301"/>
      <c r="U380" s="27"/>
      <c r="V380" s="118"/>
    </row>
    <row r="381" spans="1:22" s="119" customFormat="1" ht="24.9" customHeight="1">
      <c r="A381" s="296">
        <v>2</v>
      </c>
      <c r="B381" s="300" t="s">
        <v>856</v>
      </c>
      <c r="C381" s="303" t="s">
        <v>857</v>
      </c>
      <c r="D381" s="207" t="s">
        <v>235</v>
      </c>
      <c r="E381" s="298">
        <v>6</v>
      </c>
      <c r="F381" s="207" t="s">
        <v>236</v>
      </c>
      <c r="G381" s="208"/>
      <c r="H381" s="208"/>
      <c r="I381" s="299"/>
      <c r="J381" s="218"/>
      <c r="K381" s="208">
        <f>99.1*6</f>
        <v>594.59999999999991</v>
      </c>
      <c r="L381" s="208"/>
      <c r="M381" s="208" t="s">
        <v>237</v>
      </c>
      <c r="N381" s="295" t="s">
        <v>858</v>
      </c>
      <c r="O381" s="209"/>
      <c r="P381" s="25"/>
      <c r="Q381" s="347" t="s">
        <v>275</v>
      </c>
      <c r="R381" s="26"/>
      <c r="S381" s="27"/>
      <c r="T381" s="301"/>
      <c r="U381" s="27"/>
      <c r="V381" s="118"/>
    </row>
    <row r="382" spans="1:22" s="119" customFormat="1" ht="24.9" customHeight="1">
      <c r="A382" s="296">
        <v>3</v>
      </c>
      <c r="B382" s="300" t="s">
        <v>856</v>
      </c>
      <c r="C382" s="303" t="s">
        <v>859</v>
      </c>
      <c r="D382" s="207" t="s">
        <v>235</v>
      </c>
      <c r="E382" s="298">
        <v>12</v>
      </c>
      <c r="F382" s="207" t="s">
        <v>236</v>
      </c>
      <c r="G382" s="208"/>
      <c r="H382" s="208"/>
      <c r="I382" s="299"/>
      <c r="J382" s="218"/>
      <c r="K382" s="208">
        <v>478.8</v>
      </c>
      <c r="L382" s="208"/>
      <c r="M382" s="208" t="s">
        <v>237</v>
      </c>
      <c r="N382" s="295" t="s">
        <v>860</v>
      </c>
      <c r="O382" s="209"/>
      <c r="P382" s="25"/>
      <c r="Q382" s="347" t="s">
        <v>390</v>
      </c>
      <c r="R382" s="26"/>
      <c r="S382" s="27"/>
      <c r="T382" s="301"/>
      <c r="U382" s="27"/>
      <c r="V382" s="118"/>
    </row>
    <row r="383" spans="1:22" s="119" customFormat="1" ht="24.9" customHeight="1">
      <c r="A383" s="296">
        <v>4</v>
      </c>
      <c r="B383" s="300" t="s">
        <v>856</v>
      </c>
      <c r="C383" s="303" t="s">
        <v>861</v>
      </c>
      <c r="D383" s="207" t="s">
        <v>235</v>
      </c>
      <c r="E383" s="298">
        <v>12</v>
      </c>
      <c r="F383" s="207" t="s">
        <v>236</v>
      </c>
      <c r="G383" s="208"/>
      <c r="H383" s="208"/>
      <c r="I383" s="299"/>
      <c r="J383" s="218"/>
      <c r="K383" s="208">
        <v>865.3</v>
      </c>
      <c r="L383" s="208"/>
      <c r="M383" s="208" t="s">
        <v>237</v>
      </c>
      <c r="N383" s="295" t="s">
        <v>862</v>
      </c>
      <c r="O383" s="209"/>
      <c r="P383" s="25"/>
      <c r="Q383" s="347" t="s">
        <v>390</v>
      </c>
      <c r="R383" s="26"/>
      <c r="S383" s="27"/>
      <c r="T383" s="301"/>
      <c r="U383" s="27"/>
      <c r="V383" s="118"/>
    </row>
    <row r="384" spans="1:22" s="119" customFormat="1" ht="24.9" customHeight="1">
      <c r="A384" s="296">
        <v>5</v>
      </c>
      <c r="B384" s="300" t="s">
        <v>856</v>
      </c>
      <c r="C384" s="303" t="s">
        <v>863</v>
      </c>
      <c r="D384" s="207" t="s">
        <v>235</v>
      </c>
      <c r="E384" s="298">
        <v>12</v>
      </c>
      <c r="F384" s="207" t="s">
        <v>236</v>
      </c>
      <c r="G384" s="208"/>
      <c r="H384" s="208"/>
      <c r="I384" s="299"/>
      <c r="J384" s="218"/>
      <c r="K384" s="208">
        <v>865.3</v>
      </c>
      <c r="L384" s="208"/>
      <c r="M384" s="208" t="s">
        <v>237</v>
      </c>
      <c r="N384" s="295" t="s">
        <v>864</v>
      </c>
      <c r="O384" s="209"/>
      <c r="P384" s="25"/>
      <c r="Q384" s="347" t="s">
        <v>390</v>
      </c>
      <c r="R384" s="26"/>
      <c r="S384" s="27"/>
      <c r="T384" s="301"/>
      <c r="U384" s="27"/>
      <c r="V384" s="118"/>
    </row>
    <row r="385" spans="1:22" s="119" customFormat="1" ht="24.9" customHeight="1">
      <c r="A385" s="296">
        <v>6</v>
      </c>
      <c r="B385" s="300" t="s">
        <v>856</v>
      </c>
      <c r="C385" s="303" t="s">
        <v>865</v>
      </c>
      <c r="D385" s="207" t="s">
        <v>235</v>
      </c>
      <c r="E385" s="298">
        <v>4</v>
      </c>
      <c r="F385" s="207" t="s">
        <v>236</v>
      </c>
      <c r="G385" s="208"/>
      <c r="H385" s="208"/>
      <c r="I385" s="299"/>
      <c r="J385" s="218"/>
      <c r="K385" s="208">
        <v>193.8</v>
      </c>
      <c r="L385" s="208"/>
      <c r="M385" s="208" t="s">
        <v>237</v>
      </c>
      <c r="N385" s="295" t="s">
        <v>866</v>
      </c>
      <c r="O385" s="209"/>
      <c r="P385" s="25"/>
      <c r="Q385" s="347" t="s">
        <v>321</v>
      </c>
      <c r="R385" s="26"/>
      <c r="S385" s="27"/>
      <c r="T385" s="301"/>
      <c r="U385" s="27"/>
      <c r="V385" s="118"/>
    </row>
    <row r="386" spans="1:22" s="307" customFormat="1" ht="24.9" customHeight="1">
      <c r="A386" s="234" t="s">
        <v>867</v>
      </c>
      <c r="B386" s="235">
        <f>RIGHT(B385, 2)*1</f>
        <v>59</v>
      </c>
      <c r="C386" s="246" t="s">
        <v>868</v>
      </c>
      <c r="D386" s="237"/>
      <c r="E386" s="238">
        <f>SUM(E380:E385)</f>
        <v>64</v>
      </c>
      <c r="F386" s="237"/>
      <c r="G386" s="239">
        <v>380</v>
      </c>
      <c r="H386" s="239">
        <v>220</v>
      </c>
      <c r="I386" s="240">
        <v>140</v>
      </c>
      <c r="J386" s="241">
        <f>ROUND(I386*H386*G386/1000000,3)</f>
        <v>11.704000000000001</v>
      </c>
      <c r="K386" s="242">
        <f>SUM(K380:K385)</f>
        <v>4781.6000000000004</v>
      </c>
      <c r="L386" s="239">
        <f>K386+100</f>
        <v>4881.6000000000004</v>
      </c>
      <c r="M386" s="239"/>
      <c r="N386" s="243"/>
      <c r="O386" s="244"/>
      <c r="P386" s="245"/>
      <c r="Q386" s="348"/>
      <c r="R386" s="26"/>
      <c r="S386" s="304"/>
      <c r="T386" s="305"/>
      <c r="U386" s="304"/>
      <c r="V386" s="306"/>
    </row>
    <row r="387" spans="1:22" s="119" customFormat="1" ht="24.9" customHeight="1">
      <c r="A387" s="296">
        <v>1</v>
      </c>
      <c r="B387" s="300" t="s">
        <v>869</v>
      </c>
      <c r="C387" s="202" t="s">
        <v>559</v>
      </c>
      <c r="D387" s="207" t="s">
        <v>235</v>
      </c>
      <c r="E387" s="298">
        <v>490</v>
      </c>
      <c r="F387" s="207" t="s">
        <v>560</v>
      </c>
      <c r="G387" s="208"/>
      <c r="H387" s="208"/>
      <c r="I387" s="299"/>
      <c r="J387" s="218"/>
      <c r="K387" s="310">
        <v>50</v>
      </c>
      <c r="L387" s="208"/>
      <c r="M387" s="208"/>
      <c r="N387" s="311" t="s">
        <v>561</v>
      </c>
      <c r="O387" s="209"/>
      <c r="P387" s="25"/>
      <c r="Q387" s="347" t="s">
        <v>562</v>
      </c>
      <c r="R387" s="345" t="s">
        <v>593</v>
      </c>
      <c r="S387" s="27"/>
      <c r="T387" s="301"/>
      <c r="U387" s="27"/>
      <c r="V387" s="118"/>
    </row>
    <row r="388" spans="1:22" s="119" customFormat="1" ht="24.9" customHeight="1">
      <c r="A388" s="296">
        <v>2</v>
      </c>
      <c r="B388" s="300" t="s">
        <v>869</v>
      </c>
      <c r="C388" s="202" t="s">
        <v>563</v>
      </c>
      <c r="D388" s="207" t="s">
        <v>235</v>
      </c>
      <c r="E388" s="298">
        <v>9</v>
      </c>
      <c r="F388" s="207" t="s">
        <v>560</v>
      </c>
      <c r="G388" s="208"/>
      <c r="H388" s="208"/>
      <c r="I388" s="299"/>
      <c r="J388" s="218"/>
      <c r="K388" s="310">
        <v>1</v>
      </c>
      <c r="L388" s="208"/>
      <c r="M388" s="208"/>
      <c r="N388" s="311" t="s">
        <v>561</v>
      </c>
      <c r="O388" s="209"/>
      <c r="P388" s="25"/>
      <c r="Q388" s="347" t="s">
        <v>562</v>
      </c>
      <c r="R388" s="26"/>
      <c r="S388" s="27"/>
      <c r="T388" s="301"/>
      <c r="U388" s="27"/>
      <c r="V388" s="118"/>
    </row>
    <row r="389" spans="1:22" s="119" customFormat="1" ht="24.9" customHeight="1">
      <c r="A389" s="296">
        <v>3</v>
      </c>
      <c r="B389" s="300" t="s">
        <v>869</v>
      </c>
      <c r="C389" s="202" t="s">
        <v>564</v>
      </c>
      <c r="D389" s="207" t="s">
        <v>235</v>
      </c>
      <c r="E389" s="298">
        <v>49</v>
      </c>
      <c r="F389" s="207" t="s">
        <v>560</v>
      </c>
      <c r="G389" s="208"/>
      <c r="H389" s="208"/>
      <c r="I389" s="299"/>
      <c r="J389" s="218"/>
      <c r="K389" s="310">
        <v>5</v>
      </c>
      <c r="L389" s="208"/>
      <c r="M389" s="208"/>
      <c r="N389" s="311" t="s">
        <v>561</v>
      </c>
      <c r="O389" s="209"/>
      <c r="P389" s="25"/>
      <c r="Q389" s="347" t="s">
        <v>562</v>
      </c>
      <c r="R389" s="26"/>
      <c r="S389" s="27"/>
      <c r="T389" s="301"/>
      <c r="U389" s="27"/>
      <c r="V389" s="118"/>
    </row>
    <row r="390" spans="1:22" s="119" customFormat="1" ht="24.9" customHeight="1">
      <c r="A390" s="296">
        <v>4</v>
      </c>
      <c r="B390" s="300" t="s">
        <v>869</v>
      </c>
      <c r="C390" s="202" t="s">
        <v>565</v>
      </c>
      <c r="D390" s="207" t="s">
        <v>235</v>
      </c>
      <c r="E390" s="298">
        <v>221</v>
      </c>
      <c r="F390" s="207" t="s">
        <v>560</v>
      </c>
      <c r="G390" s="208"/>
      <c r="H390" s="208"/>
      <c r="I390" s="299"/>
      <c r="J390" s="218"/>
      <c r="K390" s="310">
        <v>30</v>
      </c>
      <c r="L390" s="208"/>
      <c r="M390" s="208"/>
      <c r="N390" s="311" t="s">
        <v>561</v>
      </c>
      <c r="O390" s="209"/>
      <c r="P390" s="25"/>
      <c r="Q390" s="347" t="s">
        <v>562</v>
      </c>
      <c r="R390" s="26"/>
      <c r="S390" s="27"/>
      <c r="T390" s="301"/>
      <c r="U390" s="27"/>
      <c r="V390" s="118"/>
    </row>
    <row r="391" spans="1:22" s="119" customFormat="1" ht="24.9" customHeight="1">
      <c r="A391" s="296">
        <v>5</v>
      </c>
      <c r="B391" s="300" t="s">
        <v>869</v>
      </c>
      <c r="C391" s="202" t="s">
        <v>566</v>
      </c>
      <c r="D391" s="207" t="s">
        <v>235</v>
      </c>
      <c r="E391" s="298">
        <v>5582</v>
      </c>
      <c r="F391" s="207" t="s">
        <v>560</v>
      </c>
      <c r="G391" s="208"/>
      <c r="H391" s="208"/>
      <c r="I391" s="299"/>
      <c r="J391" s="218"/>
      <c r="K391" s="310">
        <v>750</v>
      </c>
      <c r="L391" s="208"/>
      <c r="M391" s="208"/>
      <c r="N391" s="311" t="s">
        <v>561</v>
      </c>
      <c r="O391" s="209"/>
      <c r="P391" s="25"/>
      <c r="Q391" s="347" t="s">
        <v>562</v>
      </c>
      <c r="R391" s="26"/>
      <c r="S391" s="27"/>
      <c r="T391" s="301"/>
      <c r="U391" s="27"/>
      <c r="V391" s="118"/>
    </row>
    <row r="392" spans="1:22" s="119" customFormat="1" ht="24.9" customHeight="1">
      <c r="A392" s="296">
        <v>6</v>
      </c>
      <c r="B392" s="300" t="s">
        <v>869</v>
      </c>
      <c r="C392" s="202" t="s">
        <v>567</v>
      </c>
      <c r="D392" s="207" t="s">
        <v>235</v>
      </c>
      <c r="E392" s="298">
        <v>196</v>
      </c>
      <c r="F392" s="207" t="s">
        <v>560</v>
      </c>
      <c r="G392" s="208"/>
      <c r="H392" s="208"/>
      <c r="I392" s="299"/>
      <c r="J392" s="218"/>
      <c r="K392" s="310">
        <v>30</v>
      </c>
      <c r="L392" s="208"/>
      <c r="M392" s="208"/>
      <c r="N392" s="311" t="s">
        <v>561</v>
      </c>
      <c r="O392" s="209"/>
      <c r="P392" s="25"/>
      <c r="Q392" s="347" t="s">
        <v>562</v>
      </c>
      <c r="R392" s="26"/>
      <c r="S392" s="27"/>
      <c r="T392" s="301"/>
      <c r="U392" s="27"/>
      <c r="V392" s="118"/>
    </row>
    <row r="393" spans="1:22" s="119" customFormat="1" ht="24.9" customHeight="1">
      <c r="A393" s="296">
        <v>7</v>
      </c>
      <c r="B393" s="300" t="s">
        <v>869</v>
      </c>
      <c r="C393" s="202" t="s">
        <v>568</v>
      </c>
      <c r="D393" s="207" t="s">
        <v>235</v>
      </c>
      <c r="E393" s="298">
        <v>123</v>
      </c>
      <c r="F393" s="207" t="s">
        <v>560</v>
      </c>
      <c r="G393" s="208"/>
      <c r="H393" s="208"/>
      <c r="I393" s="299"/>
      <c r="J393" s="218"/>
      <c r="K393" s="310">
        <v>25</v>
      </c>
      <c r="L393" s="208"/>
      <c r="M393" s="208"/>
      <c r="N393" s="311" t="s">
        <v>561</v>
      </c>
      <c r="O393" s="209"/>
      <c r="P393" s="25"/>
      <c r="Q393" s="347" t="s">
        <v>562</v>
      </c>
      <c r="R393" s="26"/>
      <c r="S393" s="27"/>
      <c r="T393" s="301"/>
      <c r="U393" s="27"/>
      <c r="V393" s="118"/>
    </row>
    <row r="394" spans="1:22" s="119" customFormat="1" ht="24.9" customHeight="1">
      <c r="A394" s="296">
        <v>8</v>
      </c>
      <c r="B394" s="300" t="s">
        <v>869</v>
      </c>
      <c r="C394" s="202" t="s">
        <v>569</v>
      </c>
      <c r="D394" s="207" t="s">
        <v>235</v>
      </c>
      <c r="E394" s="298">
        <v>25</v>
      </c>
      <c r="F394" s="207" t="s">
        <v>560</v>
      </c>
      <c r="G394" s="208"/>
      <c r="H394" s="208"/>
      <c r="I394" s="299"/>
      <c r="J394" s="218"/>
      <c r="K394" s="310">
        <v>10</v>
      </c>
      <c r="L394" s="208"/>
      <c r="M394" s="208"/>
      <c r="N394" s="311" t="s">
        <v>561</v>
      </c>
      <c r="O394" s="209"/>
      <c r="P394" s="25"/>
      <c r="Q394" s="347" t="s">
        <v>562</v>
      </c>
      <c r="R394" s="26"/>
      <c r="S394" s="27"/>
      <c r="T394" s="301"/>
      <c r="U394" s="27"/>
      <c r="V394" s="118"/>
    </row>
    <row r="395" spans="1:22" s="119" customFormat="1" ht="24.9" customHeight="1">
      <c r="A395" s="296">
        <v>9</v>
      </c>
      <c r="B395" s="300" t="s">
        <v>869</v>
      </c>
      <c r="C395" s="202" t="s">
        <v>570</v>
      </c>
      <c r="D395" s="207" t="s">
        <v>235</v>
      </c>
      <c r="E395" s="298">
        <v>49</v>
      </c>
      <c r="F395" s="207" t="s">
        <v>560</v>
      </c>
      <c r="G395" s="208"/>
      <c r="H395" s="208"/>
      <c r="I395" s="299"/>
      <c r="J395" s="218"/>
      <c r="K395" s="310">
        <v>20</v>
      </c>
      <c r="L395" s="208"/>
      <c r="M395" s="208"/>
      <c r="N395" s="311" t="s">
        <v>561</v>
      </c>
      <c r="O395" s="209"/>
      <c r="P395" s="25"/>
      <c r="Q395" s="347" t="s">
        <v>562</v>
      </c>
      <c r="R395" s="26"/>
      <c r="S395" s="27"/>
      <c r="T395" s="301"/>
      <c r="U395" s="27"/>
      <c r="V395" s="118"/>
    </row>
    <row r="396" spans="1:22" s="119" customFormat="1" ht="24.9" customHeight="1">
      <c r="A396" s="296">
        <v>10</v>
      </c>
      <c r="B396" s="300" t="s">
        <v>869</v>
      </c>
      <c r="C396" s="202" t="s">
        <v>571</v>
      </c>
      <c r="D396" s="207" t="s">
        <v>235</v>
      </c>
      <c r="E396" s="298">
        <v>17</v>
      </c>
      <c r="F396" s="207" t="s">
        <v>560</v>
      </c>
      <c r="G396" s="208"/>
      <c r="H396" s="208"/>
      <c r="I396" s="299"/>
      <c r="J396" s="218"/>
      <c r="K396" s="310">
        <v>10</v>
      </c>
      <c r="L396" s="208"/>
      <c r="M396" s="208"/>
      <c r="N396" s="311" t="s">
        <v>561</v>
      </c>
      <c r="O396" s="209"/>
      <c r="P396" s="25"/>
      <c r="Q396" s="347" t="s">
        <v>562</v>
      </c>
      <c r="R396" s="26"/>
      <c r="S396" s="27"/>
      <c r="T396" s="301"/>
      <c r="U396" s="27"/>
      <c r="V396" s="118"/>
    </row>
    <row r="397" spans="1:22" s="119" customFormat="1" ht="24.9" customHeight="1">
      <c r="A397" s="296">
        <v>11</v>
      </c>
      <c r="B397" s="300" t="s">
        <v>869</v>
      </c>
      <c r="C397" s="202" t="s">
        <v>572</v>
      </c>
      <c r="D397" s="207" t="s">
        <v>235</v>
      </c>
      <c r="E397" s="298">
        <v>865</v>
      </c>
      <c r="F397" s="207" t="s">
        <v>560</v>
      </c>
      <c r="G397" s="208"/>
      <c r="H397" s="208"/>
      <c r="I397" s="299"/>
      <c r="J397" s="218"/>
      <c r="K397" s="310">
        <v>500</v>
      </c>
      <c r="L397" s="208"/>
      <c r="M397" s="208"/>
      <c r="N397" s="311" t="s">
        <v>561</v>
      </c>
      <c r="O397" s="209"/>
      <c r="P397" s="25"/>
      <c r="Q397" s="347" t="s">
        <v>562</v>
      </c>
      <c r="R397" s="26"/>
      <c r="S397" s="27"/>
      <c r="T397" s="301"/>
      <c r="U397" s="27"/>
      <c r="V397" s="118"/>
    </row>
    <row r="398" spans="1:22" s="119" customFormat="1" ht="24.9" customHeight="1">
      <c r="A398" s="296">
        <v>12</v>
      </c>
      <c r="B398" s="300" t="s">
        <v>869</v>
      </c>
      <c r="C398" s="202" t="s">
        <v>573</v>
      </c>
      <c r="D398" s="207" t="s">
        <v>235</v>
      </c>
      <c r="E398" s="298">
        <v>9</v>
      </c>
      <c r="F398" s="207" t="s">
        <v>560</v>
      </c>
      <c r="G398" s="208"/>
      <c r="H398" s="208"/>
      <c r="I398" s="299"/>
      <c r="J398" s="218"/>
      <c r="K398" s="310">
        <v>6</v>
      </c>
      <c r="L398" s="208"/>
      <c r="M398" s="208"/>
      <c r="N398" s="311" t="s">
        <v>561</v>
      </c>
      <c r="O398" s="209"/>
      <c r="P398" s="25"/>
      <c r="Q398" s="347" t="s">
        <v>562</v>
      </c>
      <c r="R398" s="26"/>
      <c r="S398" s="27"/>
      <c r="T398" s="301"/>
      <c r="U398" s="27"/>
      <c r="V398" s="118"/>
    </row>
    <row r="399" spans="1:22" s="119" customFormat="1" ht="24.9" customHeight="1">
      <c r="A399" s="296">
        <v>13</v>
      </c>
      <c r="B399" s="300" t="s">
        <v>869</v>
      </c>
      <c r="C399" s="202" t="s">
        <v>574</v>
      </c>
      <c r="D399" s="207" t="s">
        <v>235</v>
      </c>
      <c r="E399" s="298">
        <v>98</v>
      </c>
      <c r="F399" s="207" t="s">
        <v>560</v>
      </c>
      <c r="G399" s="208"/>
      <c r="H399" s="208"/>
      <c r="I399" s="299"/>
      <c r="J399" s="218"/>
      <c r="K399" s="310">
        <v>150</v>
      </c>
      <c r="L399" s="208"/>
      <c r="M399" s="208"/>
      <c r="N399" s="311" t="s">
        <v>561</v>
      </c>
      <c r="O399" s="209"/>
      <c r="P399" s="25"/>
      <c r="Q399" s="347" t="s">
        <v>562</v>
      </c>
      <c r="R399" s="26"/>
      <c r="S399" s="27"/>
      <c r="T399" s="301"/>
      <c r="U399" s="27"/>
      <c r="V399" s="118"/>
    </row>
    <row r="400" spans="1:22" s="119" customFormat="1" ht="24.9" customHeight="1">
      <c r="A400" s="296">
        <v>14</v>
      </c>
      <c r="B400" s="300" t="s">
        <v>869</v>
      </c>
      <c r="C400" s="202" t="s">
        <v>575</v>
      </c>
      <c r="D400" s="207" t="s">
        <v>235</v>
      </c>
      <c r="E400" s="298">
        <v>98</v>
      </c>
      <c r="F400" s="207" t="s">
        <v>560</v>
      </c>
      <c r="G400" s="208"/>
      <c r="H400" s="208"/>
      <c r="I400" s="299"/>
      <c r="J400" s="218"/>
      <c r="K400" s="310">
        <v>200</v>
      </c>
      <c r="L400" s="208"/>
      <c r="M400" s="208"/>
      <c r="N400" s="311" t="s">
        <v>561</v>
      </c>
      <c r="O400" s="209"/>
      <c r="P400" s="25"/>
      <c r="Q400" s="347" t="s">
        <v>562</v>
      </c>
      <c r="R400" s="26"/>
      <c r="S400" s="27"/>
      <c r="T400" s="301"/>
      <c r="U400" s="27"/>
      <c r="V400" s="118"/>
    </row>
    <row r="401" spans="1:22" s="119" customFormat="1" ht="24.9" customHeight="1">
      <c r="A401" s="296">
        <v>15</v>
      </c>
      <c r="B401" s="300" t="s">
        <v>869</v>
      </c>
      <c r="C401" s="202" t="s">
        <v>575</v>
      </c>
      <c r="D401" s="207" t="s">
        <v>235</v>
      </c>
      <c r="E401" s="298">
        <v>196</v>
      </c>
      <c r="F401" s="207" t="s">
        <v>560</v>
      </c>
      <c r="G401" s="208"/>
      <c r="H401" s="208"/>
      <c r="I401" s="299"/>
      <c r="J401" s="218"/>
      <c r="K401" s="310">
        <v>400</v>
      </c>
      <c r="L401" s="208"/>
      <c r="M401" s="208"/>
      <c r="N401" s="311" t="s">
        <v>561</v>
      </c>
      <c r="O401" s="209"/>
      <c r="P401" s="25"/>
      <c r="Q401" s="347" t="s">
        <v>562</v>
      </c>
      <c r="R401" s="26"/>
      <c r="S401" s="27"/>
      <c r="T401" s="301"/>
      <c r="U401" s="27"/>
      <c r="V401" s="118"/>
    </row>
    <row r="402" spans="1:22" s="119" customFormat="1" ht="24.9" customHeight="1">
      <c r="A402" s="296">
        <v>16</v>
      </c>
      <c r="B402" s="300" t="s">
        <v>869</v>
      </c>
      <c r="C402" s="202" t="s">
        <v>576</v>
      </c>
      <c r="D402" s="207" t="s">
        <v>235</v>
      </c>
      <c r="E402" s="298">
        <v>98</v>
      </c>
      <c r="F402" s="207" t="s">
        <v>560</v>
      </c>
      <c r="G402" s="208"/>
      <c r="H402" s="208"/>
      <c r="I402" s="299"/>
      <c r="J402" s="218"/>
      <c r="K402" s="310">
        <v>200</v>
      </c>
      <c r="L402" s="208"/>
      <c r="M402" s="208"/>
      <c r="N402" s="311" t="s">
        <v>561</v>
      </c>
      <c r="O402" s="209"/>
      <c r="P402" s="25"/>
      <c r="Q402" s="347" t="s">
        <v>562</v>
      </c>
      <c r="R402" s="26"/>
      <c r="S402" s="27"/>
      <c r="T402" s="301"/>
      <c r="U402" s="27"/>
      <c r="V402" s="118"/>
    </row>
    <row r="403" spans="1:22" s="119" customFormat="1" ht="24.9" customHeight="1">
      <c r="A403" s="296">
        <v>17</v>
      </c>
      <c r="B403" s="300" t="s">
        <v>869</v>
      </c>
      <c r="C403" s="202" t="s">
        <v>577</v>
      </c>
      <c r="D403" s="207" t="s">
        <v>235</v>
      </c>
      <c r="E403" s="298">
        <v>49</v>
      </c>
      <c r="F403" s="207" t="s">
        <v>560</v>
      </c>
      <c r="G403" s="208"/>
      <c r="H403" s="208"/>
      <c r="I403" s="299"/>
      <c r="J403" s="218"/>
      <c r="K403" s="310">
        <v>110</v>
      </c>
      <c r="L403" s="208"/>
      <c r="M403" s="208"/>
      <c r="N403" s="311" t="s">
        <v>561</v>
      </c>
      <c r="O403" s="209"/>
      <c r="P403" s="25"/>
      <c r="Q403" s="347" t="s">
        <v>562</v>
      </c>
      <c r="R403" s="26"/>
      <c r="S403" s="27"/>
      <c r="T403" s="301"/>
      <c r="U403" s="27"/>
      <c r="V403" s="118"/>
    </row>
    <row r="404" spans="1:22" s="119" customFormat="1" ht="24.9" customHeight="1">
      <c r="A404" s="296">
        <v>18</v>
      </c>
      <c r="B404" s="300" t="s">
        <v>869</v>
      </c>
      <c r="C404" s="202" t="s">
        <v>578</v>
      </c>
      <c r="D404" s="207" t="s">
        <v>235</v>
      </c>
      <c r="E404" s="298">
        <v>2402</v>
      </c>
      <c r="F404" s="207" t="s">
        <v>560</v>
      </c>
      <c r="G404" s="208"/>
      <c r="H404" s="208"/>
      <c r="I404" s="299"/>
      <c r="J404" s="218"/>
      <c r="K404" s="310">
        <v>480</v>
      </c>
      <c r="L404" s="208"/>
      <c r="M404" s="208"/>
      <c r="N404" s="311" t="s">
        <v>561</v>
      </c>
      <c r="O404" s="209"/>
      <c r="P404" s="25"/>
      <c r="Q404" s="347" t="s">
        <v>562</v>
      </c>
      <c r="R404" s="26"/>
      <c r="S404" s="27"/>
      <c r="T404" s="301"/>
      <c r="U404" s="27"/>
      <c r="V404" s="118"/>
    </row>
    <row r="405" spans="1:22" s="119" customFormat="1" ht="24.9" customHeight="1">
      <c r="A405" s="296">
        <v>19</v>
      </c>
      <c r="B405" s="300" t="s">
        <v>869</v>
      </c>
      <c r="C405" s="202" t="s">
        <v>579</v>
      </c>
      <c r="D405" s="207" t="s">
        <v>235</v>
      </c>
      <c r="E405" s="298">
        <v>894</v>
      </c>
      <c r="F405" s="207" t="s">
        <v>560</v>
      </c>
      <c r="G405" s="208"/>
      <c r="H405" s="208"/>
      <c r="I405" s="299"/>
      <c r="J405" s="218"/>
      <c r="K405" s="310">
        <v>180</v>
      </c>
      <c r="L405" s="208"/>
      <c r="M405" s="208"/>
      <c r="N405" s="311" t="s">
        <v>561</v>
      </c>
      <c r="O405" s="209"/>
      <c r="P405" s="25"/>
      <c r="Q405" s="347" t="s">
        <v>562</v>
      </c>
      <c r="R405" s="26"/>
      <c r="S405" s="27"/>
      <c r="T405" s="301"/>
      <c r="U405" s="27"/>
      <c r="V405" s="118"/>
    </row>
    <row r="406" spans="1:22" s="119" customFormat="1" ht="24.9" customHeight="1">
      <c r="A406" s="296">
        <v>20</v>
      </c>
      <c r="B406" s="300" t="s">
        <v>869</v>
      </c>
      <c r="C406" s="202" t="s">
        <v>580</v>
      </c>
      <c r="D406" s="207" t="s">
        <v>235</v>
      </c>
      <c r="E406" s="298">
        <v>98</v>
      </c>
      <c r="F406" s="207" t="s">
        <v>560</v>
      </c>
      <c r="G406" s="208"/>
      <c r="H406" s="208"/>
      <c r="I406" s="299"/>
      <c r="J406" s="218"/>
      <c r="K406" s="310">
        <v>30</v>
      </c>
      <c r="L406" s="208"/>
      <c r="M406" s="208"/>
      <c r="N406" s="311" t="s">
        <v>561</v>
      </c>
      <c r="O406" s="209"/>
      <c r="P406" s="25"/>
      <c r="Q406" s="347" t="s">
        <v>562</v>
      </c>
      <c r="R406" s="26"/>
      <c r="S406" s="27"/>
      <c r="T406" s="301"/>
      <c r="U406" s="27"/>
      <c r="V406" s="118"/>
    </row>
    <row r="407" spans="1:22" s="119" customFormat="1" ht="24.9" customHeight="1">
      <c r="A407" s="296">
        <v>21</v>
      </c>
      <c r="B407" s="300" t="s">
        <v>869</v>
      </c>
      <c r="C407" s="202" t="s">
        <v>581</v>
      </c>
      <c r="D407" s="207" t="s">
        <v>235</v>
      </c>
      <c r="E407" s="298">
        <v>123</v>
      </c>
      <c r="F407" s="207" t="s">
        <v>560</v>
      </c>
      <c r="G407" s="208"/>
      <c r="H407" s="208"/>
      <c r="I407" s="299"/>
      <c r="J407" s="218"/>
      <c r="K407" s="310">
        <v>45</v>
      </c>
      <c r="L407" s="208"/>
      <c r="M407" s="208"/>
      <c r="N407" s="311" t="s">
        <v>561</v>
      </c>
      <c r="O407" s="209"/>
      <c r="P407" s="25"/>
      <c r="Q407" s="347" t="s">
        <v>562</v>
      </c>
      <c r="R407" s="26"/>
      <c r="S407" s="27"/>
      <c r="T407" s="301"/>
      <c r="U407" s="27"/>
      <c r="V407" s="118"/>
    </row>
    <row r="408" spans="1:22" s="119" customFormat="1" ht="24.9" customHeight="1">
      <c r="A408" s="296">
        <v>22</v>
      </c>
      <c r="B408" s="300" t="s">
        <v>869</v>
      </c>
      <c r="C408" s="202" t="s">
        <v>582</v>
      </c>
      <c r="D408" s="207" t="s">
        <v>235</v>
      </c>
      <c r="E408" s="298">
        <v>49</v>
      </c>
      <c r="F408" s="207" t="s">
        <v>560</v>
      </c>
      <c r="G408" s="208"/>
      <c r="H408" s="208"/>
      <c r="I408" s="299"/>
      <c r="J408" s="218"/>
      <c r="K408" s="310">
        <v>250</v>
      </c>
      <c r="L408" s="208"/>
      <c r="M408" s="208"/>
      <c r="N408" s="311" t="s">
        <v>561</v>
      </c>
      <c r="O408" s="209"/>
      <c r="P408" s="25"/>
      <c r="Q408" s="347" t="s">
        <v>562</v>
      </c>
      <c r="R408" s="26"/>
      <c r="S408" s="27"/>
      <c r="T408" s="301"/>
      <c r="U408" s="27"/>
      <c r="V408" s="118"/>
    </row>
    <row r="409" spans="1:22" s="119" customFormat="1" ht="24.9" customHeight="1">
      <c r="A409" s="296">
        <v>23</v>
      </c>
      <c r="B409" s="300" t="s">
        <v>869</v>
      </c>
      <c r="C409" s="202" t="s">
        <v>583</v>
      </c>
      <c r="D409" s="207" t="s">
        <v>235</v>
      </c>
      <c r="E409" s="298">
        <v>544</v>
      </c>
      <c r="F409" s="207" t="s">
        <v>560</v>
      </c>
      <c r="G409" s="208"/>
      <c r="H409" s="208"/>
      <c r="I409" s="299"/>
      <c r="J409" s="218"/>
      <c r="K409" s="310">
        <v>200</v>
      </c>
      <c r="L409" s="208"/>
      <c r="M409" s="208"/>
      <c r="N409" s="311"/>
      <c r="O409" s="209"/>
      <c r="P409" s="25"/>
      <c r="Q409" s="347" t="s">
        <v>562</v>
      </c>
      <c r="R409" s="26"/>
      <c r="S409" s="27"/>
      <c r="T409" s="301"/>
      <c r="U409" s="27"/>
      <c r="V409" s="118"/>
    </row>
    <row r="410" spans="1:22" s="119" customFormat="1" ht="24.9" customHeight="1">
      <c r="A410" s="296">
        <v>24</v>
      </c>
      <c r="B410" s="300" t="s">
        <v>869</v>
      </c>
      <c r="C410" s="202" t="s">
        <v>584</v>
      </c>
      <c r="D410" s="207" t="s">
        <v>235</v>
      </c>
      <c r="E410" s="298">
        <v>544</v>
      </c>
      <c r="F410" s="207" t="s">
        <v>560</v>
      </c>
      <c r="G410" s="208"/>
      <c r="H410" s="208"/>
      <c r="I410" s="299"/>
      <c r="J410" s="218"/>
      <c r="K410" s="310">
        <v>80</v>
      </c>
      <c r="L410" s="208"/>
      <c r="M410" s="208"/>
      <c r="N410" s="311" t="s">
        <v>561</v>
      </c>
      <c r="O410" s="209"/>
      <c r="P410" s="25"/>
      <c r="Q410" s="347" t="s">
        <v>562</v>
      </c>
      <c r="R410" s="26"/>
      <c r="S410" s="27"/>
      <c r="T410" s="301"/>
      <c r="U410" s="27"/>
      <c r="V410" s="118"/>
    </row>
    <row r="411" spans="1:22" s="307" customFormat="1" ht="24.9" customHeight="1">
      <c r="A411" s="234" t="s">
        <v>870</v>
      </c>
      <c r="B411" s="235">
        <f>RIGHT(B410, 2)*1</f>
        <v>60</v>
      </c>
      <c r="C411" s="250" t="s">
        <v>871</v>
      </c>
      <c r="D411" s="250"/>
      <c r="E411" s="251">
        <f>SUM(E387:E410)</f>
        <v>12828</v>
      </c>
      <c r="F411" s="250"/>
      <c r="G411" s="239">
        <v>206</v>
      </c>
      <c r="H411" s="239">
        <v>128</v>
      </c>
      <c r="I411" s="240">
        <v>97</v>
      </c>
      <c r="J411" s="241">
        <f>ROUND(I411*H411*G411/1000000,3)</f>
        <v>2.5579999999999998</v>
      </c>
      <c r="K411" s="248">
        <f>SUM(K387:K410)</f>
        <v>3762</v>
      </c>
      <c r="L411" s="239">
        <f>K411+120</f>
        <v>3882</v>
      </c>
      <c r="M411" s="239"/>
      <c r="N411" s="249" t="s">
        <v>561</v>
      </c>
      <c r="O411" s="244"/>
      <c r="P411" s="245"/>
      <c r="Q411" s="352"/>
      <c r="R411" s="26"/>
      <c r="S411" s="304"/>
      <c r="T411" s="305"/>
      <c r="U411" s="304"/>
      <c r="V411" s="306"/>
    </row>
    <row r="412" spans="1:22" s="119" customFormat="1" ht="24.9" customHeight="1">
      <c r="A412" s="296">
        <v>1</v>
      </c>
      <c r="B412" s="323" t="s">
        <v>872</v>
      </c>
      <c r="C412" s="202" t="s">
        <v>873</v>
      </c>
      <c r="D412" s="207"/>
      <c r="E412" s="298">
        <v>932</v>
      </c>
      <c r="F412" s="207" t="s">
        <v>874</v>
      </c>
      <c r="G412" s="208"/>
      <c r="H412" s="208"/>
      <c r="I412" s="216"/>
      <c r="J412" s="218"/>
      <c r="K412" s="219">
        <v>186</v>
      </c>
      <c r="L412" s="208"/>
      <c r="M412" s="208" t="s">
        <v>875</v>
      </c>
      <c r="N412" s="217" t="s">
        <v>876</v>
      </c>
      <c r="O412" s="209"/>
      <c r="P412" s="25"/>
      <c r="Q412" s="353" t="s">
        <v>877</v>
      </c>
      <c r="R412" s="346" t="s">
        <v>878</v>
      </c>
      <c r="S412" s="27"/>
      <c r="T412" s="301"/>
      <c r="U412" s="27"/>
      <c r="V412" s="118"/>
    </row>
    <row r="413" spans="1:22" s="119" customFormat="1" ht="24.9" customHeight="1">
      <c r="A413" s="296">
        <v>2</v>
      </c>
      <c r="B413" s="323" t="s">
        <v>872</v>
      </c>
      <c r="C413" s="202" t="s">
        <v>879</v>
      </c>
      <c r="D413" s="207"/>
      <c r="E413" s="298">
        <v>1864</v>
      </c>
      <c r="F413" s="207" t="s">
        <v>874</v>
      </c>
      <c r="G413" s="208"/>
      <c r="H413" s="208"/>
      <c r="I413" s="216"/>
      <c r="J413" s="218"/>
      <c r="K413" s="219">
        <v>2</v>
      </c>
      <c r="L413" s="208"/>
      <c r="M413" s="208" t="s">
        <v>875</v>
      </c>
      <c r="N413" s="217" t="s">
        <v>880</v>
      </c>
      <c r="O413" s="209"/>
      <c r="P413" s="25"/>
      <c r="Q413" s="353" t="s">
        <v>877</v>
      </c>
      <c r="R413" s="346" t="s">
        <v>878</v>
      </c>
      <c r="S413" s="27"/>
      <c r="T413" s="301"/>
      <c r="U413" s="27"/>
      <c r="V413" s="118"/>
    </row>
    <row r="414" spans="1:22" s="119" customFormat="1" ht="24.9" customHeight="1">
      <c r="A414" s="296">
        <v>3</v>
      </c>
      <c r="B414" s="323" t="s">
        <v>872</v>
      </c>
      <c r="C414" s="202" t="s">
        <v>881</v>
      </c>
      <c r="D414" s="207"/>
      <c r="E414" s="298">
        <v>20</v>
      </c>
      <c r="F414" s="207" t="s">
        <v>560</v>
      </c>
      <c r="G414" s="208"/>
      <c r="H414" s="208"/>
      <c r="I414" s="216"/>
      <c r="J414" s="218"/>
      <c r="K414" s="219">
        <v>4</v>
      </c>
      <c r="L414" s="208"/>
      <c r="M414" s="208" t="s">
        <v>875</v>
      </c>
      <c r="N414" s="217" t="s">
        <v>882</v>
      </c>
      <c r="O414" s="209"/>
      <c r="P414" s="25"/>
      <c r="Q414" s="353" t="s">
        <v>877</v>
      </c>
      <c r="R414" s="346" t="s">
        <v>878</v>
      </c>
      <c r="S414" s="27"/>
      <c r="T414" s="301"/>
      <c r="U414" s="27"/>
      <c r="V414" s="118"/>
    </row>
    <row r="415" spans="1:22" s="119" customFormat="1" ht="24.9" customHeight="1">
      <c r="A415" s="296">
        <v>4</v>
      </c>
      <c r="B415" s="323" t="s">
        <v>872</v>
      </c>
      <c r="C415" s="202" t="s">
        <v>883</v>
      </c>
      <c r="D415" s="207"/>
      <c r="E415" s="298">
        <v>5</v>
      </c>
      <c r="F415" s="207" t="s">
        <v>874</v>
      </c>
      <c r="G415" s="208"/>
      <c r="H415" s="208"/>
      <c r="I415" s="216"/>
      <c r="J415" s="218"/>
      <c r="K415" s="219">
        <v>2</v>
      </c>
      <c r="L415" s="208"/>
      <c r="M415" s="208" t="s">
        <v>875</v>
      </c>
      <c r="N415" s="217" t="s">
        <v>884</v>
      </c>
      <c r="O415" s="209"/>
      <c r="P415" s="25"/>
      <c r="Q415" s="353" t="s">
        <v>877</v>
      </c>
      <c r="R415" s="346" t="s">
        <v>878</v>
      </c>
      <c r="S415" s="27"/>
      <c r="T415" s="301"/>
      <c r="U415" s="27"/>
      <c r="V415" s="118"/>
    </row>
    <row r="416" spans="1:22" s="119" customFormat="1" ht="24.9" customHeight="1">
      <c r="A416" s="296">
        <v>5</v>
      </c>
      <c r="B416" s="323" t="s">
        <v>872</v>
      </c>
      <c r="C416" s="202" t="s">
        <v>559</v>
      </c>
      <c r="D416" s="207"/>
      <c r="E416" s="298" t="s">
        <v>885</v>
      </c>
      <c r="F416" s="207" t="s">
        <v>560</v>
      </c>
      <c r="G416" s="208"/>
      <c r="H416" s="208"/>
      <c r="I416" s="216"/>
      <c r="J416" s="218"/>
      <c r="K416" s="219">
        <v>3</v>
      </c>
      <c r="L416" s="208"/>
      <c r="M416" s="219" t="s">
        <v>561</v>
      </c>
      <c r="N416" s="219" t="s">
        <v>561</v>
      </c>
      <c r="O416" s="209"/>
      <c r="P416" s="25"/>
      <c r="Q416" s="353" t="s">
        <v>877</v>
      </c>
      <c r="R416" s="346" t="s">
        <v>886</v>
      </c>
      <c r="S416" s="27"/>
      <c r="T416" s="301"/>
      <c r="U416" s="27"/>
      <c r="V416" s="118"/>
    </row>
    <row r="417" spans="1:22" s="119" customFormat="1" ht="24.9" customHeight="1">
      <c r="A417" s="296">
        <v>6</v>
      </c>
      <c r="B417" s="323" t="s">
        <v>872</v>
      </c>
      <c r="C417" s="202" t="s">
        <v>563</v>
      </c>
      <c r="D417" s="207"/>
      <c r="E417" s="298" t="s">
        <v>887</v>
      </c>
      <c r="F417" s="207" t="s">
        <v>560</v>
      </c>
      <c r="G417" s="208"/>
      <c r="H417" s="208"/>
      <c r="I417" s="216"/>
      <c r="J417" s="218"/>
      <c r="K417" s="219">
        <v>0.5</v>
      </c>
      <c r="L417" s="208"/>
      <c r="M417" s="219" t="s">
        <v>561</v>
      </c>
      <c r="N417" s="219" t="s">
        <v>561</v>
      </c>
      <c r="O417" s="209"/>
      <c r="P417" s="25"/>
      <c r="Q417" s="353" t="s">
        <v>877</v>
      </c>
      <c r="R417" s="346" t="s">
        <v>886</v>
      </c>
      <c r="S417" s="27"/>
      <c r="T417" s="301"/>
      <c r="U417" s="27"/>
      <c r="V417" s="118"/>
    </row>
    <row r="418" spans="1:22" s="119" customFormat="1" ht="24.9" customHeight="1">
      <c r="A418" s="296">
        <v>7</v>
      </c>
      <c r="B418" s="323" t="s">
        <v>872</v>
      </c>
      <c r="C418" s="202" t="s">
        <v>564</v>
      </c>
      <c r="D418" s="207"/>
      <c r="E418" s="298" t="s">
        <v>888</v>
      </c>
      <c r="F418" s="207" t="s">
        <v>560</v>
      </c>
      <c r="G418" s="208"/>
      <c r="H418" s="208"/>
      <c r="I418" s="216"/>
      <c r="J418" s="218"/>
      <c r="K418" s="219">
        <v>0.5</v>
      </c>
      <c r="L418" s="208"/>
      <c r="M418" s="219" t="s">
        <v>561</v>
      </c>
      <c r="N418" s="219" t="s">
        <v>561</v>
      </c>
      <c r="O418" s="209"/>
      <c r="P418" s="25"/>
      <c r="Q418" s="353" t="s">
        <v>877</v>
      </c>
      <c r="R418" s="346" t="s">
        <v>889</v>
      </c>
      <c r="S418" s="27"/>
      <c r="T418" s="301"/>
      <c r="U418" s="27"/>
      <c r="V418" s="118"/>
    </row>
    <row r="419" spans="1:22" s="119" customFormat="1" ht="24.9" customHeight="1">
      <c r="A419" s="296">
        <v>8</v>
      </c>
      <c r="B419" s="323" t="s">
        <v>872</v>
      </c>
      <c r="C419" s="202" t="s">
        <v>565</v>
      </c>
      <c r="D419" s="207"/>
      <c r="E419" s="298" t="s">
        <v>890</v>
      </c>
      <c r="F419" s="207" t="s">
        <v>560</v>
      </c>
      <c r="G419" s="208"/>
      <c r="H419" s="208"/>
      <c r="I419" s="216"/>
      <c r="J419" s="218"/>
      <c r="K419" s="219">
        <v>3</v>
      </c>
      <c r="L419" s="208"/>
      <c r="M419" s="219" t="s">
        <v>561</v>
      </c>
      <c r="N419" s="219" t="s">
        <v>561</v>
      </c>
      <c r="O419" s="209"/>
      <c r="P419" s="25"/>
      <c r="Q419" s="353" t="s">
        <v>877</v>
      </c>
      <c r="R419" s="346" t="s">
        <v>889</v>
      </c>
      <c r="S419" s="27"/>
      <c r="T419" s="301"/>
      <c r="U419" s="27"/>
      <c r="V419" s="118"/>
    </row>
    <row r="420" spans="1:22" s="119" customFormat="1" ht="24.9" customHeight="1">
      <c r="A420" s="296">
        <v>9</v>
      </c>
      <c r="B420" s="323" t="s">
        <v>872</v>
      </c>
      <c r="C420" s="202" t="s">
        <v>566</v>
      </c>
      <c r="D420" s="207"/>
      <c r="E420" s="298" t="s">
        <v>891</v>
      </c>
      <c r="F420" s="207" t="s">
        <v>560</v>
      </c>
      <c r="G420" s="208"/>
      <c r="H420" s="208"/>
      <c r="I420" s="216"/>
      <c r="J420" s="218"/>
      <c r="K420" s="219">
        <v>30</v>
      </c>
      <c r="L420" s="208"/>
      <c r="M420" s="219" t="s">
        <v>561</v>
      </c>
      <c r="N420" s="219" t="s">
        <v>561</v>
      </c>
      <c r="O420" s="209"/>
      <c r="P420" s="25"/>
      <c r="Q420" s="353" t="s">
        <v>877</v>
      </c>
      <c r="R420" s="346" t="s">
        <v>889</v>
      </c>
      <c r="S420" s="27"/>
      <c r="T420" s="301"/>
      <c r="U420" s="27"/>
      <c r="V420" s="118"/>
    </row>
    <row r="421" spans="1:22" s="119" customFormat="1" ht="24.9" customHeight="1">
      <c r="A421" s="296">
        <v>10</v>
      </c>
      <c r="B421" s="323" t="s">
        <v>872</v>
      </c>
      <c r="C421" s="202" t="s">
        <v>567</v>
      </c>
      <c r="D421" s="207"/>
      <c r="E421" s="298" t="s">
        <v>892</v>
      </c>
      <c r="F421" s="207" t="s">
        <v>560</v>
      </c>
      <c r="G421" s="208"/>
      <c r="H421" s="208"/>
      <c r="I421" s="216"/>
      <c r="J421" s="218"/>
      <c r="K421" s="219">
        <v>4</v>
      </c>
      <c r="L421" s="208"/>
      <c r="M421" s="219" t="s">
        <v>561</v>
      </c>
      <c r="N421" s="219" t="s">
        <v>561</v>
      </c>
      <c r="O421" s="209"/>
      <c r="P421" s="25"/>
      <c r="Q421" s="353" t="s">
        <v>877</v>
      </c>
      <c r="R421" s="346" t="s">
        <v>889</v>
      </c>
      <c r="S421" s="27"/>
      <c r="T421" s="301"/>
      <c r="U421" s="27"/>
      <c r="V421" s="118"/>
    </row>
    <row r="422" spans="1:22" s="119" customFormat="1" ht="24.9" customHeight="1">
      <c r="A422" s="296">
        <v>11</v>
      </c>
      <c r="B422" s="323" t="s">
        <v>872</v>
      </c>
      <c r="C422" s="202" t="s">
        <v>568</v>
      </c>
      <c r="D422" s="207"/>
      <c r="E422" s="298" t="s">
        <v>893</v>
      </c>
      <c r="F422" s="207" t="s">
        <v>560</v>
      </c>
      <c r="G422" s="208"/>
      <c r="H422" s="208"/>
      <c r="I422" s="216"/>
      <c r="J422" s="218"/>
      <c r="K422" s="219">
        <v>2</v>
      </c>
      <c r="L422" s="208"/>
      <c r="M422" s="219" t="s">
        <v>561</v>
      </c>
      <c r="N422" s="219" t="s">
        <v>561</v>
      </c>
      <c r="O422" s="209"/>
      <c r="P422" s="25"/>
      <c r="Q422" s="353" t="s">
        <v>877</v>
      </c>
      <c r="R422" s="346" t="s">
        <v>889</v>
      </c>
      <c r="S422" s="27"/>
      <c r="T422" s="301"/>
      <c r="U422" s="27"/>
      <c r="V422" s="118"/>
    </row>
    <row r="423" spans="1:22" s="119" customFormat="1" ht="24.9" customHeight="1">
      <c r="A423" s="296">
        <v>12</v>
      </c>
      <c r="B423" s="323" t="s">
        <v>872</v>
      </c>
      <c r="C423" s="202" t="s">
        <v>569</v>
      </c>
      <c r="D423" s="207"/>
      <c r="E423" s="298" t="s">
        <v>887</v>
      </c>
      <c r="F423" s="207" t="s">
        <v>560</v>
      </c>
      <c r="G423" s="208"/>
      <c r="H423" s="208"/>
      <c r="I423" s="216"/>
      <c r="J423" s="218"/>
      <c r="K423" s="219">
        <v>0.5</v>
      </c>
      <c r="L423" s="208"/>
      <c r="M423" s="219" t="s">
        <v>561</v>
      </c>
      <c r="N423" s="219" t="s">
        <v>561</v>
      </c>
      <c r="O423" s="209"/>
      <c r="P423" s="25"/>
      <c r="Q423" s="353" t="s">
        <v>877</v>
      </c>
      <c r="R423" s="346" t="s">
        <v>889</v>
      </c>
      <c r="S423" s="27"/>
      <c r="T423" s="301"/>
      <c r="U423" s="27"/>
      <c r="V423" s="118"/>
    </row>
    <row r="424" spans="1:22" s="119" customFormat="1" ht="24.9" customHeight="1">
      <c r="A424" s="296">
        <v>13</v>
      </c>
      <c r="B424" s="323" t="s">
        <v>872</v>
      </c>
      <c r="C424" s="202" t="s">
        <v>570</v>
      </c>
      <c r="D424" s="207"/>
      <c r="E424" s="298">
        <v>3</v>
      </c>
      <c r="F424" s="207" t="s">
        <v>560</v>
      </c>
      <c r="G424" s="208"/>
      <c r="H424" s="208"/>
      <c r="I424" s="216"/>
      <c r="J424" s="218"/>
      <c r="K424" s="219">
        <v>1</v>
      </c>
      <c r="L424" s="208"/>
      <c r="M424" s="219" t="s">
        <v>561</v>
      </c>
      <c r="N424" s="219" t="s">
        <v>561</v>
      </c>
      <c r="O424" s="209"/>
      <c r="P424" s="25"/>
      <c r="Q424" s="353" t="s">
        <v>877</v>
      </c>
      <c r="R424" s="346" t="s">
        <v>889</v>
      </c>
      <c r="S424" s="27"/>
      <c r="T424" s="301"/>
      <c r="U424" s="27"/>
      <c r="V424" s="118"/>
    </row>
    <row r="425" spans="1:22" s="119" customFormat="1" ht="24.9" customHeight="1">
      <c r="A425" s="296">
        <v>14</v>
      </c>
      <c r="B425" s="323" t="s">
        <v>872</v>
      </c>
      <c r="C425" s="202" t="s">
        <v>571</v>
      </c>
      <c r="D425" s="207"/>
      <c r="E425" s="298">
        <v>2</v>
      </c>
      <c r="F425" s="207" t="s">
        <v>560</v>
      </c>
      <c r="G425" s="208"/>
      <c r="H425" s="208"/>
      <c r="I425" s="216"/>
      <c r="J425" s="218"/>
      <c r="K425" s="219">
        <v>1</v>
      </c>
      <c r="L425" s="208"/>
      <c r="M425" s="219" t="s">
        <v>561</v>
      </c>
      <c r="N425" s="219" t="s">
        <v>561</v>
      </c>
      <c r="O425" s="209"/>
      <c r="P425" s="25"/>
      <c r="Q425" s="353" t="s">
        <v>877</v>
      </c>
      <c r="R425" s="346" t="s">
        <v>889</v>
      </c>
      <c r="S425" s="27"/>
      <c r="T425" s="301"/>
      <c r="U425" s="27"/>
      <c r="V425" s="118"/>
    </row>
    <row r="426" spans="1:22" s="119" customFormat="1" ht="24.9" customHeight="1">
      <c r="A426" s="296">
        <v>15</v>
      </c>
      <c r="B426" s="323" t="s">
        <v>872</v>
      </c>
      <c r="C426" s="202" t="s">
        <v>572</v>
      </c>
      <c r="D426" s="207"/>
      <c r="E426" s="298">
        <v>43</v>
      </c>
      <c r="F426" s="207" t="s">
        <v>560</v>
      </c>
      <c r="G426" s="208"/>
      <c r="H426" s="208"/>
      <c r="I426" s="216"/>
      <c r="J426" s="218"/>
      <c r="K426" s="219">
        <v>12</v>
      </c>
      <c r="L426" s="208"/>
      <c r="M426" s="219" t="s">
        <v>561</v>
      </c>
      <c r="N426" s="219" t="s">
        <v>561</v>
      </c>
      <c r="O426" s="209"/>
      <c r="P426" s="25"/>
      <c r="Q426" s="353" t="s">
        <v>877</v>
      </c>
      <c r="R426" s="346" t="s">
        <v>889</v>
      </c>
      <c r="S426" s="27"/>
      <c r="T426" s="301"/>
      <c r="U426" s="27"/>
      <c r="V426" s="118"/>
    </row>
    <row r="427" spans="1:22" s="119" customFormat="1" ht="24.9" customHeight="1">
      <c r="A427" s="296">
        <v>16</v>
      </c>
      <c r="B427" s="323" t="s">
        <v>872</v>
      </c>
      <c r="C427" s="202" t="s">
        <v>573</v>
      </c>
      <c r="D427" s="207"/>
      <c r="E427" s="298">
        <v>2</v>
      </c>
      <c r="F427" s="207" t="s">
        <v>560</v>
      </c>
      <c r="G427" s="208"/>
      <c r="H427" s="208"/>
      <c r="I427" s="216"/>
      <c r="J427" s="218"/>
      <c r="K427" s="219">
        <v>1</v>
      </c>
      <c r="L427" s="208"/>
      <c r="M427" s="219" t="s">
        <v>561</v>
      </c>
      <c r="N427" s="219" t="s">
        <v>561</v>
      </c>
      <c r="O427" s="209"/>
      <c r="P427" s="25"/>
      <c r="Q427" s="353" t="s">
        <v>877</v>
      </c>
      <c r="R427" s="346" t="s">
        <v>889</v>
      </c>
      <c r="S427" s="27"/>
      <c r="T427" s="301"/>
      <c r="U427" s="27"/>
      <c r="V427" s="118"/>
    </row>
    <row r="428" spans="1:22" s="119" customFormat="1" ht="24.9" customHeight="1">
      <c r="A428" s="296">
        <v>17</v>
      </c>
      <c r="B428" s="323" t="s">
        <v>872</v>
      </c>
      <c r="C428" s="202" t="s">
        <v>574</v>
      </c>
      <c r="D428" s="207"/>
      <c r="E428" s="298" t="s">
        <v>894</v>
      </c>
      <c r="F428" s="207" t="s">
        <v>560</v>
      </c>
      <c r="G428" s="208"/>
      <c r="H428" s="208"/>
      <c r="I428" s="216"/>
      <c r="J428" s="218"/>
      <c r="K428" s="219">
        <v>2</v>
      </c>
      <c r="L428" s="208"/>
      <c r="M428" s="219" t="s">
        <v>561</v>
      </c>
      <c r="N428" s="219" t="s">
        <v>561</v>
      </c>
      <c r="O428" s="209"/>
      <c r="P428" s="25"/>
      <c r="Q428" s="353" t="s">
        <v>877</v>
      </c>
      <c r="R428" s="346" t="s">
        <v>889</v>
      </c>
      <c r="S428" s="27"/>
      <c r="T428" s="301"/>
      <c r="U428" s="27"/>
      <c r="V428" s="118"/>
    </row>
    <row r="429" spans="1:22" s="119" customFormat="1" ht="24.9" customHeight="1">
      <c r="A429" s="296">
        <v>18</v>
      </c>
      <c r="B429" s="323" t="s">
        <v>872</v>
      </c>
      <c r="C429" s="202" t="s">
        <v>575</v>
      </c>
      <c r="D429" s="207"/>
      <c r="E429" s="298" t="s">
        <v>894</v>
      </c>
      <c r="F429" s="207" t="s">
        <v>560</v>
      </c>
      <c r="G429" s="208"/>
      <c r="H429" s="208"/>
      <c r="I429" s="216"/>
      <c r="J429" s="218"/>
      <c r="K429" s="219">
        <v>2</v>
      </c>
      <c r="L429" s="208"/>
      <c r="M429" s="219" t="s">
        <v>561</v>
      </c>
      <c r="N429" s="219" t="s">
        <v>561</v>
      </c>
      <c r="O429" s="209"/>
      <c r="P429" s="25"/>
      <c r="Q429" s="353" t="s">
        <v>877</v>
      </c>
      <c r="R429" s="346" t="s">
        <v>889</v>
      </c>
      <c r="S429" s="27"/>
      <c r="T429" s="301"/>
      <c r="U429" s="27"/>
      <c r="V429" s="118"/>
    </row>
    <row r="430" spans="1:22" s="119" customFormat="1" ht="24.9" customHeight="1">
      <c r="A430" s="296">
        <v>19</v>
      </c>
      <c r="B430" s="323" t="s">
        <v>872</v>
      </c>
      <c r="C430" s="202" t="s">
        <v>575</v>
      </c>
      <c r="D430" s="207"/>
      <c r="E430" s="298">
        <v>10</v>
      </c>
      <c r="F430" s="207" t="s">
        <v>560</v>
      </c>
      <c r="G430" s="208"/>
      <c r="H430" s="208"/>
      <c r="I430" s="216"/>
      <c r="J430" s="218"/>
      <c r="K430" s="219">
        <v>4</v>
      </c>
      <c r="L430" s="208"/>
      <c r="M430" s="219" t="s">
        <v>561</v>
      </c>
      <c r="N430" s="219" t="s">
        <v>561</v>
      </c>
      <c r="O430" s="209"/>
      <c r="P430" s="25"/>
      <c r="Q430" s="353" t="s">
        <v>877</v>
      </c>
      <c r="R430" s="346" t="s">
        <v>889</v>
      </c>
      <c r="S430" s="27"/>
      <c r="T430" s="301"/>
      <c r="U430" s="27"/>
      <c r="V430" s="118"/>
    </row>
    <row r="431" spans="1:22" s="119" customFormat="1" ht="24.9" customHeight="1">
      <c r="A431" s="296">
        <v>20</v>
      </c>
      <c r="B431" s="323" t="s">
        <v>872</v>
      </c>
      <c r="C431" s="202" t="s">
        <v>576</v>
      </c>
      <c r="D431" s="207"/>
      <c r="E431" s="298" t="s">
        <v>894</v>
      </c>
      <c r="F431" s="207" t="s">
        <v>560</v>
      </c>
      <c r="G431" s="208"/>
      <c r="H431" s="208"/>
      <c r="I431" s="216"/>
      <c r="J431" s="218"/>
      <c r="K431" s="219">
        <v>5</v>
      </c>
      <c r="L431" s="208"/>
      <c r="M431" s="219" t="s">
        <v>561</v>
      </c>
      <c r="N431" s="219" t="s">
        <v>561</v>
      </c>
      <c r="O431" s="209"/>
      <c r="P431" s="25"/>
      <c r="Q431" s="353" t="s">
        <v>877</v>
      </c>
      <c r="R431" s="346" t="s">
        <v>889</v>
      </c>
      <c r="S431" s="27"/>
      <c r="T431" s="301"/>
      <c r="U431" s="27"/>
      <c r="V431" s="118"/>
    </row>
    <row r="432" spans="1:22" s="119" customFormat="1" ht="24.9" customHeight="1">
      <c r="A432" s="296">
        <v>21</v>
      </c>
      <c r="B432" s="323" t="s">
        <v>872</v>
      </c>
      <c r="C432" s="202" t="s">
        <v>577</v>
      </c>
      <c r="D432" s="207"/>
      <c r="E432" s="298" t="s">
        <v>888</v>
      </c>
      <c r="F432" s="207" t="s">
        <v>560</v>
      </c>
      <c r="G432" s="208"/>
      <c r="H432" s="208"/>
      <c r="I432" s="216"/>
      <c r="J432" s="218"/>
      <c r="K432" s="219">
        <v>8</v>
      </c>
      <c r="L432" s="208"/>
      <c r="M432" s="219" t="s">
        <v>561</v>
      </c>
      <c r="N432" s="219" t="s">
        <v>561</v>
      </c>
      <c r="O432" s="209"/>
      <c r="P432" s="25"/>
      <c r="Q432" s="353" t="s">
        <v>877</v>
      </c>
      <c r="R432" s="346" t="s">
        <v>889</v>
      </c>
      <c r="S432" s="27"/>
      <c r="T432" s="301"/>
      <c r="U432" s="27"/>
      <c r="V432" s="118"/>
    </row>
    <row r="433" spans="1:22" s="119" customFormat="1" ht="24.9" customHeight="1">
      <c r="A433" s="296">
        <v>22</v>
      </c>
      <c r="B433" s="323" t="s">
        <v>872</v>
      </c>
      <c r="C433" s="202" t="s">
        <v>578</v>
      </c>
      <c r="D433" s="207"/>
      <c r="E433" s="298" t="s">
        <v>895</v>
      </c>
      <c r="F433" s="207" t="s">
        <v>560</v>
      </c>
      <c r="G433" s="208"/>
      <c r="H433" s="208"/>
      <c r="I433" s="216"/>
      <c r="J433" s="218"/>
      <c r="K433" s="219">
        <v>80</v>
      </c>
      <c r="L433" s="208"/>
      <c r="M433" s="219" t="s">
        <v>561</v>
      </c>
      <c r="N433" s="219" t="s">
        <v>561</v>
      </c>
      <c r="O433" s="209"/>
      <c r="P433" s="25"/>
      <c r="Q433" s="353" t="s">
        <v>877</v>
      </c>
      <c r="R433" s="346" t="s">
        <v>889</v>
      </c>
      <c r="S433" s="27"/>
      <c r="T433" s="301"/>
      <c r="U433" s="27"/>
      <c r="V433" s="118"/>
    </row>
    <row r="434" spans="1:22" s="119" customFormat="1" ht="24.9" customHeight="1">
      <c r="A434" s="296">
        <v>23</v>
      </c>
      <c r="B434" s="323" t="s">
        <v>872</v>
      </c>
      <c r="C434" s="202" t="s">
        <v>579</v>
      </c>
      <c r="D434" s="207"/>
      <c r="E434" s="298" t="s">
        <v>896</v>
      </c>
      <c r="F434" s="207" t="s">
        <v>560</v>
      </c>
      <c r="G434" s="208"/>
      <c r="H434" s="208"/>
      <c r="I434" s="216"/>
      <c r="J434" s="218"/>
      <c r="K434" s="219">
        <v>40</v>
      </c>
      <c r="L434" s="208"/>
      <c r="M434" s="219" t="s">
        <v>561</v>
      </c>
      <c r="N434" s="219" t="s">
        <v>561</v>
      </c>
      <c r="O434" s="209"/>
      <c r="P434" s="25"/>
      <c r="Q434" s="353" t="s">
        <v>877</v>
      </c>
      <c r="R434" s="346" t="s">
        <v>889</v>
      </c>
      <c r="S434" s="27"/>
      <c r="T434" s="301"/>
      <c r="U434" s="27"/>
      <c r="V434" s="118"/>
    </row>
    <row r="435" spans="1:22" s="119" customFormat="1" ht="24.9" customHeight="1">
      <c r="A435" s="296">
        <v>24</v>
      </c>
      <c r="B435" s="323" t="s">
        <v>872</v>
      </c>
      <c r="C435" s="202" t="s">
        <v>580</v>
      </c>
      <c r="D435" s="207"/>
      <c r="E435" s="298" t="s">
        <v>894</v>
      </c>
      <c r="F435" s="207" t="s">
        <v>560</v>
      </c>
      <c r="G435" s="208"/>
      <c r="H435" s="208"/>
      <c r="I435" s="216"/>
      <c r="J435" s="218"/>
      <c r="K435" s="219">
        <v>4</v>
      </c>
      <c r="L435" s="208"/>
      <c r="M435" s="219" t="s">
        <v>561</v>
      </c>
      <c r="N435" s="219" t="s">
        <v>561</v>
      </c>
      <c r="O435" s="209"/>
      <c r="P435" s="25"/>
      <c r="Q435" s="353" t="s">
        <v>877</v>
      </c>
      <c r="R435" s="346" t="s">
        <v>889</v>
      </c>
      <c r="S435" s="27"/>
      <c r="T435" s="301"/>
      <c r="U435" s="27"/>
      <c r="V435" s="118"/>
    </row>
    <row r="436" spans="1:22" s="119" customFormat="1" ht="24.9" customHeight="1">
      <c r="A436" s="296">
        <v>25</v>
      </c>
      <c r="B436" s="323" t="s">
        <v>872</v>
      </c>
      <c r="C436" s="202" t="s">
        <v>581</v>
      </c>
      <c r="D436" s="207"/>
      <c r="E436" s="298" t="s">
        <v>893</v>
      </c>
      <c r="F436" s="207" t="s">
        <v>560</v>
      </c>
      <c r="G436" s="208"/>
      <c r="H436" s="208"/>
      <c r="I436" s="216"/>
      <c r="J436" s="218"/>
      <c r="K436" s="219">
        <v>5</v>
      </c>
      <c r="L436" s="208"/>
      <c r="M436" s="219" t="s">
        <v>561</v>
      </c>
      <c r="N436" s="219" t="s">
        <v>561</v>
      </c>
      <c r="O436" s="209"/>
      <c r="P436" s="25"/>
      <c r="Q436" s="353" t="s">
        <v>877</v>
      </c>
      <c r="R436" s="346" t="s">
        <v>889</v>
      </c>
      <c r="S436" s="27"/>
      <c r="T436" s="301"/>
      <c r="U436" s="27"/>
      <c r="V436" s="118"/>
    </row>
    <row r="437" spans="1:22" s="119" customFormat="1" ht="24.9" customHeight="1">
      <c r="A437" s="296">
        <v>26</v>
      </c>
      <c r="B437" s="323" t="s">
        <v>872</v>
      </c>
      <c r="C437" s="202" t="s">
        <v>582</v>
      </c>
      <c r="D437" s="207"/>
      <c r="E437" s="298" t="s">
        <v>888</v>
      </c>
      <c r="F437" s="207" t="s">
        <v>560</v>
      </c>
      <c r="G437" s="208"/>
      <c r="H437" s="208"/>
      <c r="I437" s="216"/>
      <c r="J437" s="218"/>
      <c r="K437" s="219">
        <v>9</v>
      </c>
      <c r="L437" s="208"/>
      <c r="M437" s="219" t="s">
        <v>561</v>
      </c>
      <c r="N437" s="219" t="s">
        <v>561</v>
      </c>
      <c r="O437" s="209"/>
      <c r="P437" s="25"/>
      <c r="Q437" s="353" t="s">
        <v>877</v>
      </c>
      <c r="R437" s="346" t="s">
        <v>889</v>
      </c>
      <c r="S437" s="27"/>
      <c r="T437" s="301"/>
      <c r="U437" s="27"/>
      <c r="V437" s="118"/>
    </row>
    <row r="438" spans="1:22" s="119" customFormat="1" ht="24.9" customHeight="1">
      <c r="A438" s="296">
        <v>27</v>
      </c>
      <c r="B438" s="323" t="s">
        <v>872</v>
      </c>
      <c r="C438" s="202" t="s">
        <v>897</v>
      </c>
      <c r="D438" s="207"/>
      <c r="E438" s="298" t="s">
        <v>894</v>
      </c>
      <c r="F438" s="207" t="s">
        <v>560</v>
      </c>
      <c r="G438" s="208"/>
      <c r="H438" s="208"/>
      <c r="I438" s="216"/>
      <c r="J438" s="218"/>
      <c r="K438" s="219">
        <v>2</v>
      </c>
      <c r="L438" s="208"/>
      <c r="M438" s="219" t="s">
        <v>561</v>
      </c>
      <c r="N438" s="219" t="s">
        <v>561</v>
      </c>
      <c r="O438" s="209"/>
      <c r="P438" s="25"/>
      <c r="Q438" s="353" t="s">
        <v>877</v>
      </c>
      <c r="R438" s="346" t="s">
        <v>889</v>
      </c>
      <c r="S438" s="27"/>
      <c r="T438" s="301"/>
      <c r="U438" s="27"/>
      <c r="V438" s="118"/>
    </row>
    <row r="439" spans="1:22" s="119" customFormat="1" ht="24.9" customHeight="1">
      <c r="A439" s="296">
        <v>28</v>
      </c>
      <c r="B439" s="323" t="s">
        <v>872</v>
      </c>
      <c r="C439" s="202" t="s">
        <v>898</v>
      </c>
      <c r="D439" s="207"/>
      <c r="E439" s="298">
        <v>10</v>
      </c>
      <c r="F439" s="207" t="s">
        <v>560</v>
      </c>
      <c r="G439" s="208"/>
      <c r="H439" s="208"/>
      <c r="I439" s="216"/>
      <c r="J439" s="218"/>
      <c r="K439" s="219">
        <v>0.5</v>
      </c>
      <c r="L439" s="208"/>
      <c r="M439" s="219" t="s">
        <v>561</v>
      </c>
      <c r="N439" s="219" t="s">
        <v>561</v>
      </c>
      <c r="O439" s="209"/>
      <c r="P439" s="25"/>
      <c r="Q439" s="353" t="s">
        <v>877</v>
      </c>
      <c r="R439" s="346" t="s">
        <v>889</v>
      </c>
      <c r="S439" s="27"/>
      <c r="T439" s="301"/>
      <c r="U439" s="27"/>
      <c r="V439" s="118"/>
    </row>
    <row r="440" spans="1:22" s="119" customFormat="1" ht="24.9" customHeight="1">
      <c r="A440" s="296">
        <v>29</v>
      </c>
      <c r="B440" s="323" t="s">
        <v>872</v>
      </c>
      <c r="C440" s="202" t="s">
        <v>899</v>
      </c>
      <c r="D440" s="207"/>
      <c r="E440" s="298">
        <v>28</v>
      </c>
      <c r="F440" s="207" t="s">
        <v>560</v>
      </c>
      <c r="G440" s="208"/>
      <c r="H440" s="208"/>
      <c r="I440" s="216"/>
      <c r="J440" s="218"/>
      <c r="K440" s="219">
        <v>6</v>
      </c>
      <c r="L440" s="208"/>
      <c r="M440" s="219" t="s">
        <v>561</v>
      </c>
      <c r="N440" s="219" t="s">
        <v>561</v>
      </c>
      <c r="O440" s="209"/>
      <c r="P440" s="25"/>
      <c r="Q440" s="353" t="s">
        <v>877</v>
      </c>
      <c r="R440" s="346" t="s">
        <v>889</v>
      </c>
      <c r="S440" s="27"/>
      <c r="T440" s="301"/>
      <c r="U440" s="27"/>
      <c r="V440" s="118"/>
    </row>
    <row r="441" spans="1:22" s="119" customFormat="1" ht="24.9" customHeight="1">
      <c r="A441" s="296">
        <v>30</v>
      </c>
      <c r="B441" s="323" t="s">
        <v>872</v>
      </c>
      <c r="C441" s="202" t="s">
        <v>900</v>
      </c>
      <c r="D441" s="207"/>
      <c r="E441" s="298">
        <v>28</v>
      </c>
      <c r="F441" s="207" t="s">
        <v>560</v>
      </c>
      <c r="G441" s="208"/>
      <c r="H441" s="208"/>
      <c r="I441" s="216"/>
      <c r="J441" s="218"/>
      <c r="K441" s="219">
        <v>6</v>
      </c>
      <c r="L441" s="208"/>
      <c r="M441" s="219" t="s">
        <v>561</v>
      </c>
      <c r="N441" s="219" t="s">
        <v>561</v>
      </c>
      <c r="O441" s="209"/>
      <c r="P441" s="25"/>
      <c r="Q441" s="353" t="s">
        <v>877</v>
      </c>
      <c r="R441" s="346" t="s">
        <v>889</v>
      </c>
      <c r="S441" s="27"/>
      <c r="T441" s="301"/>
      <c r="U441" s="27"/>
      <c r="V441" s="118"/>
    </row>
    <row r="442" spans="1:22" s="119" customFormat="1" ht="24.9" customHeight="1">
      <c r="A442" s="296">
        <v>31</v>
      </c>
      <c r="B442" s="323" t="s">
        <v>872</v>
      </c>
      <c r="C442" s="202" t="s">
        <v>901</v>
      </c>
      <c r="D442" s="207"/>
      <c r="E442" s="298">
        <v>28</v>
      </c>
      <c r="F442" s="207" t="s">
        <v>560</v>
      </c>
      <c r="G442" s="208"/>
      <c r="H442" s="208"/>
      <c r="I442" s="216"/>
      <c r="J442" s="218"/>
      <c r="K442" s="219">
        <v>2</v>
      </c>
      <c r="L442" s="208"/>
      <c r="M442" s="219" t="s">
        <v>561</v>
      </c>
      <c r="N442" s="219" t="s">
        <v>561</v>
      </c>
      <c r="O442" s="209"/>
      <c r="P442" s="25"/>
      <c r="Q442" s="353" t="s">
        <v>877</v>
      </c>
      <c r="R442" s="346" t="s">
        <v>889</v>
      </c>
      <c r="S442" s="27"/>
      <c r="T442" s="301"/>
      <c r="U442" s="27"/>
      <c r="V442" s="118"/>
    </row>
    <row r="443" spans="1:22" s="307" customFormat="1" ht="24.9" customHeight="1">
      <c r="A443" s="234" t="s">
        <v>902</v>
      </c>
      <c r="B443" s="235">
        <f>RIGHT(B442, 2)*1</f>
        <v>61</v>
      </c>
      <c r="C443" s="247" t="s">
        <v>903</v>
      </c>
      <c r="D443" s="237"/>
      <c r="E443" s="238">
        <f>SUM(E412:E442)</f>
        <v>2975</v>
      </c>
      <c r="F443" s="237"/>
      <c r="G443" s="239">
        <v>140</v>
      </c>
      <c r="H443" s="239">
        <v>50</v>
      </c>
      <c r="I443" s="252">
        <v>60</v>
      </c>
      <c r="J443" s="241">
        <f>ROUND(I443*H443*G443/1000000,3)</f>
        <v>0.42</v>
      </c>
      <c r="K443" s="239">
        <f>SUM(K412:K442)</f>
        <v>428</v>
      </c>
      <c r="L443" s="239">
        <f>K443+120</f>
        <v>548</v>
      </c>
      <c r="M443" s="239"/>
      <c r="N443" s="253"/>
      <c r="O443" s="244"/>
      <c r="P443" s="245"/>
      <c r="Q443" s="354"/>
      <c r="R443" s="26"/>
      <c r="S443" s="304"/>
      <c r="T443" s="305"/>
      <c r="U443" s="304"/>
      <c r="V443" s="306"/>
    </row>
    <row r="444" spans="1:22" s="119" customFormat="1" ht="24.9" customHeight="1">
      <c r="A444" s="296">
        <v>1</v>
      </c>
      <c r="B444" s="323" t="s">
        <v>904</v>
      </c>
      <c r="C444" s="202" t="s">
        <v>559</v>
      </c>
      <c r="D444" s="207"/>
      <c r="E444" s="298" t="s">
        <v>885</v>
      </c>
      <c r="F444" s="207" t="s">
        <v>560</v>
      </c>
      <c r="G444" s="208"/>
      <c r="H444" s="208"/>
      <c r="I444" s="216"/>
      <c r="J444" s="218"/>
      <c r="K444" s="219">
        <v>3</v>
      </c>
      <c r="L444" s="208"/>
      <c r="M444" s="219" t="s">
        <v>561</v>
      </c>
      <c r="N444" s="219" t="s">
        <v>561</v>
      </c>
      <c r="O444" s="209"/>
      <c r="P444" s="25"/>
      <c r="Q444" s="353" t="s">
        <v>877</v>
      </c>
      <c r="R444" s="346" t="s">
        <v>905</v>
      </c>
      <c r="S444" s="27"/>
      <c r="T444" s="301"/>
      <c r="U444" s="27"/>
      <c r="V444" s="118"/>
    </row>
    <row r="445" spans="1:22" s="119" customFormat="1" ht="24.9" customHeight="1">
      <c r="A445" s="296">
        <v>2</v>
      </c>
      <c r="B445" s="323" t="s">
        <v>904</v>
      </c>
      <c r="C445" s="202" t="s">
        <v>563</v>
      </c>
      <c r="D445" s="207"/>
      <c r="E445" s="298" t="s">
        <v>887</v>
      </c>
      <c r="F445" s="207" t="s">
        <v>560</v>
      </c>
      <c r="G445" s="208"/>
      <c r="H445" s="208"/>
      <c r="I445" s="216"/>
      <c r="J445" s="218"/>
      <c r="K445" s="219">
        <v>0.5</v>
      </c>
      <c r="L445" s="208"/>
      <c r="M445" s="219" t="s">
        <v>561</v>
      </c>
      <c r="N445" s="219" t="s">
        <v>561</v>
      </c>
      <c r="O445" s="209"/>
      <c r="P445" s="25"/>
      <c r="Q445" s="353" t="s">
        <v>877</v>
      </c>
      <c r="R445" s="346" t="s">
        <v>905</v>
      </c>
      <c r="S445" s="27"/>
      <c r="T445" s="301"/>
      <c r="U445" s="27"/>
      <c r="V445" s="118"/>
    </row>
    <row r="446" spans="1:22" s="119" customFormat="1" ht="24.9" customHeight="1">
      <c r="A446" s="296">
        <v>3</v>
      </c>
      <c r="B446" s="323" t="s">
        <v>904</v>
      </c>
      <c r="C446" s="202" t="s">
        <v>564</v>
      </c>
      <c r="D446" s="207"/>
      <c r="E446" s="298" t="s">
        <v>888</v>
      </c>
      <c r="F446" s="207" t="s">
        <v>560</v>
      </c>
      <c r="G446" s="208"/>
      <c r="H446" s="208"/>
      <c r="I446" s="216"/>
      <c r="J446" s="218"/>
      <c r="K446" s="219">
        <v>0.5</v>
      </c>
      <c r="L446" s="208"/>
      <c r="M446" s="219" t="s">
        <v>561</v>
      </c>
      <c r="N446" s="219" t="s">
        <v>561</v>
      </c>
      <c r="O446" s="209"/>
      <c r="P446" s="25"/>
      <c r="Q446" s="353" t="s">
        <v>877</v>
      </c>
      <c r="R446" s="346" t="s">
        <v>906</v>
      </c>
      <c r="S446" s="27"/>
      <c r="T446" s="301"/>
      <c r="U446" s="27"/>
      <c r="V446" s="118"/>
    </row>
    <row r="447" spans="1:22" s="119" customFormat="1" ht="24.9" customHeight="1">
      <c r="A447" s="296">
        <v>4</v>
      </c>
      <c r="B447" s="323" t="s">
        <v>904</v>
      </c>
      <c r="C447" s="202" t="s">
        <v>565</v>
      </c>
      <c r="D447" s="207"/>
      <c r="E447" s="298" t="s">
        <v>890</v>
      </c>
      <c r="F447" s="207" t="s">
        <v>560</v>
      </c>
      <c r="G447" s="208"/>
      <c r="H447" s="208"/>
      <c r="I447" s="216"/>
      <c r="J447" s="218"/>
      <c r="K447" s="219">
        <v>3</v>
      </c>
      <c r="L447" s="208"/>
      <c r="M447" s="219" t="s">
        <v>561</v>
      </c>
      <c r="N447" s="219" t="s">
        <v>561</v>
      </c>
      <c r="O447" s="209"/>
      <c r="P447" s="25"/>
      <c r="Q447" s="353" t="s">
        <v>877</v>
      </c>
      <c r="R447" s="346" t="s">
        <v>906</v>
      </c>
      <c r="S447" s="27"/>
      <c r="T447" s="301"/>
      <c r="U447" s="27"/>
      <c r="V447" s="118"/>
    </row>
    <row r="448" spans="1:22" s="119" customFormat="1" ht="24.9" customHeight="1">
      <c r="A448" s="296">
        <v>5</v>
      </c>
      <c r="B448" s="323" t="s">
        <v>904</v>
      </c>
      <c r="C448" s="202" t="s">
        <v>566</v>
      </c>
      <c r="D448" s="207"/>
      <c r="E448" s="298" t="s">
        <v>891</v>
      </c>
      <c r="F448" s="207" t="s">
        <v>560</v>
      </c>
      <c r="G448" s="208"/>
      <c r="H448" s="208"/>
      <c r="I448" s="216"/>
      <c r="J448" s="218"/>
      <c r="K448" s="219">
        <v>30</v>
      </c>
      <c r="L448" s="208"/>
      <c r="M448" s="219" t="s">
        <v>561</v>
      </c>
      <c r="N448" s="219" t="s">
        <v>561</v>
      </c>
      <c r="O448" s="209"/>
      <c r="P448" s="25"/>
      <c r="Q448" s="353" t="s">
        <v>877</v>
      </c>
      <c r="R448" s="346" t="s">
        <v>906</v>
      </c>
      <c r="S448" s="27"/>
      <c r="T448" s="301"/>
      <c r="U448" s="27"/>
      <c r="V448" s="118"/>
    </row>
    <row r="449" spans="1:22" s="119" customFormat="1" ht="24.9" customHeight="1">
      <c r="A449" s="296">
        <v>6</v>
      </c>
      <c r="B449" s="323" t="s">
        <v>904</v>
      </c>
      <c r="C449" s="202" t="s">
        <v>567</v>
      </c>
      <c r="D449" s="207"/>
      <c r="E449" s="298" t="s">
        <v>892</v>
      </c>
      <c r="F449" s="207" t="s">
        <v>560</v>
      </c>
      <c r="G449" s="208"/>
      <c r="H449" s="208"/>
      <c r="I449" s="216"/>
      <c r="J449" s="218"/>
      <c r="K449" s="219">
        <v>4</v>
      </c>
      <c r="L449" s="208"/>
      <c r="M449" s="219" t="s">
        <v>561</v>
      </c>
      <c r="N449" s="219" t="s">
        <v>561</v>
      </c>
      <c r="O449" s="209"/>
      <c r="P449" s="25"/>
      <c r="Q449" s="353" t="s">
        <v>877</v>
      </c>
      <c r="R449" s="346" t="s">
        <v>906</v>
      </c>
      <c r="S449" s="27"/>
      <c r="T449" s="301"/>
      <c r="U449" s="27"/>
      <c r="V449" s="118"/>
    </row>
    <row r="450" spans="1:22" s="119" customFormat="1" ht="24.9" customHeight="1">
      <c r="A450" s="296">
        <v>7</v>
      </c>
      <c r="B450" s="323" t="s">
        <v>904</v>
      </c>
      <c r="C450" s="202" t="s">
        <v>568</v>
      </c>
      <c r="D450" s="207"/>
      <c r="E450" s="298" t="s">
        <v>893</v>
      </c>
      <c r="F450" s="207" t="s">
        <v>560</v>
      </c>
      <c r="G450" s="208"/>
      <c r="H450" s="208"/>
      <c r="I450" s="216"/>
      <c r="J450" s="218"/>
      <c r="K450" s="219">
        <v>2</v>
      </c>
      <c r="L450" s="208"/>
      <c r="M450" s="219" t="s">
        <v>561</v>
      </c>
      <c r="N450" s="219" t="s">
        <v>561</v>
      </c>
      <c r="O450" s="209"/>
      <c r="P450" s="25"/>
      <c r="Q450" s="353" t="s">
        <v>877</v>
      </c>
      <c r="R450" s="346" t="s">
        <v>906</v>
      </c>
      <c r="S450" s="27"/>
      <c r="T450" s="301"/>
      <c r="U450" s="27"/>
      <c r="V450" s="118"/>
    </row>
    <row r="451" spans="1:22" s="119" customFormat="1" ht="24.9" customHeight="1">
      <c r="A451" s="296">
        <v>8</v>
      </c>
      <c r="B451" s="323" t="s">
        <v>904</v>
      </c>
      <c r="C451" s="202" t="s">
        <v>569</v>
      </c>
      <c r="D451" s="207"/>
      <c r="E451" s="298" t="s">
        <v>887</v>
      </c>
      <c r="F451" s="207" t="s">
        <v>560</v>
      </c>
      <c r="G451" s="208"/>
      <c r="H451" s="208"/>
      <c r="I451" s="216"/>
      <c r="J451" s="218"/>
      <c r="K451" s="219">
        <v>0.5</v>
      </c>
      <c r="L451" s="208"/>
      <c r="M451" s="219" t="s">
        <v>561</v>
      </c>
      <c r="N451" s="219" t="s">
        <v>561</v>
      </c>
      <c r="O451" s="209"/>
      <c r="P451" s="25"/>
      <c r="Q451" s="353" t="s">
        <v>877</v>
      </c>
      <c r="R451" s="346" t="s">
        <v>906</v>
      </c>
      <c r="S451" s="27"/>
      <c r="T451" s="301"/>
      <c r="U451" s="27"/>
      <c r="V451" s="118"/>
    </row>
    <row r="452" spans="1:22" s="119" customFormat="1" ht="24.9" customHeight="1">
      <c r="A452" s="296">
        <v>9</v>
      </c>
      <c r="B452" s="323" t="s">
        <v>904</v>
      </c>
      <c r="C452" s="202" t="s">
        <v>570</v>
      </c>
      <c r="D452" s="207"/>
      <c r="E452" s="298">
        <v>3</v>
      </c>
      <c r="F452" s="207" t="s">
        <v>560</v>
      </c>
      <c r="G452" s="208"/>
      <c r="H452" s="208"/>
      <c r="I452" s="216"/>
      <c r="J452" s="218"/>
      <c r="K452" s="219">
        <v>1</v>
      </c>
      <c r="L452" s="208"/>
      <c r="M452" s="219" t="s">
        <v>561</v>
      </c>
      <c r="N452" s="219" t="s">
        <v>561</v>
      </c>
      <c r="O452" s="209"/>
      <c r="P452" s="25"/>
      <c r="Q452" s="353" t="s">
        <v>877</v>
      </c>
      <c r="R452" s="346" t="s">
        <v>906</v>
      </c>
      <c r="S452" s="27"/>
      <c r="T452" s="301"/>
      <c r="U452" s="27"/>
      <c r="V452" s="118"/>
    </row>
    <row r="453" spans="1:22" s="119" customFormat="1" ht="24.9" customHeight="1">
      <c r="A453" s="296">
        <v>10</v>
      </c>
      <c r="B453" s="323" t="s">
        <v>904</v>
      </c>
      <c r="C453" s="202" t="s">
        <v>571</v>
      </c>
      <c r="D453" s="207"/>
      <c r="E453" s="298">
        <v>2</v>
      </c>
      <c r="F453" s="207" t="s">
        <v>560</v>
      </c>
      <c r="G453" s="208"/>
      <c r="H453" s="208"/>
      <c r="I453" s="216"/>
      <c r="J453" s="218"/>
      <c r="K453" s="219">
        <v>1</v>
      </c>
      <c r="L453" s="208"/>
      <c r="M453" s="219" t="s">
        <v>561</v>
      </c>
      <c r="N453" s="219" t="s">
        <v>561</v>
      </c>
      <c r="O453" s="209"/>
      <c r="P453" s="25"/>
      <c r="Q453" s="353" t="s">
        <v>877</v>
      </c>
      <c r="R453" s="346" t="s">
        <v>906</v>
      </c>
      <c r="S453" s="27"/>
      <c r="T453" s="301"/>
      <c r="U453" s="27"/>
      <c r="V453" s="118"/>
    </row>
    <row r="454" spans="1:22" s="119" customFormat="1" ht="24.9" customHeight="1">
      <c r="A454" s="296">
        <v>11</v>
      </c>
      <c r="B454" s="323" t="s">
        <v>904</v>
      </c>
      <c r="C454" s="202" t="s">
        <v>572</v>
      </c>
      <c r="D454" s="207"/>
      <c r="E454" s="298">
        <v>43</v>
      </c>
      <c r="F454" s="207" t="s">
        <v>560</v>
      </c>
      <c r="G454" s="208"/>
      <c r="H454" s="208"/>
      <c r="I454" s="216"/>
      <c r="J454" s="218"/>
      <c r="K454" s="219">
        <v>12</v>
      </c>
      <c r="L454" s="208"/>
      <c r="M454" s="219" t="s">
        <v>561</v>
      </c>
      <c r="N454" s="219" t="s">
        <v>561</v>
      </c>
      <c r="O454" s="209"/>
      <c r="P454" s="25"/>
      <c r="Q454" s="353" t="s">
        <v>877</v>
      </c>
      <c r="R454" s="346" t="s">
        <v>906</v>
      </c>
      <c r="S454" s="27"/>
      <c r="T454" s="301"/>
      <c r="U454" s="27"/>
      <c r="V454" s="118"/>
    </row>
    <row r="455" spans="1:22" s="119" customFormat="1" ht="24.9" customHeight="1">
      <c r="A455" s="296">
        <v>12</v>
      </c>
      <c r="B455" s="323" t="s">
        <v>904</v>
      </c>
      <c r="C455" s="202" t="s">
        <v>573</v>
      </c>
      <c r="D455" s="207"/>
      <c r="E455" s="298">
        <v>2</v>
      </c>
      <c r="F455" s="207" t="s">
        <v>560</v>
      </c>
      <c r="G455" s="208"/>
      <c r="H455" s="208"/>
      <c r="I455" s="216"/>
      <c r="J455" s="218"/>
      <c r="K455" s="219">
        <v>1</v>
      </c>
      <c r="L455" s="208"/>
      <c r="M455" s="219" t="s">
        <v>561</v>
      </c>
      <c r="N455" s="219" t="s">
        <v>561</v>
      </c>
      <c r="O455" s="209"/>
      <c r="P455" s="25"/>
      <c r="Q455" s="353" t="s">
        <v>877</v>
      </c>
      <c r="R455" s="346" t="s">
        <v>906</v>
      </c>
      <c r="S455" s="27"/>
      <c r="T455" s="301"/>
      <c r="U455" s="27"/>
      <c r="V455" s="118"/>
    </row>
    <row r="456" spans="1:22" s="119" customFormat="1" ht="24.9" customHeight="1">
      <c r="A456" s="296">
        <v>13</v>
      </c>
      <c r="B456" s="323" t="s">
        <v>904</v>
      </c>
      <c r="C456" s="202" t="s">
        <v>574</v>
      </c>
      <c r="D456" s="207"/>
      <c r="E456" s="298" t="s">
        <v>894</v>
      </c>
      <c r="F456" s="207" t="s">
        <v>560</v>
      </c>
      <c r="G456" s="208"/>
      <c r="H456" s="208"/>
      <c r="I456" s="216"/>
      <c r="J456" s="218"/>
      <c r="K456" s="219">
        <v>2</v>
      </c>
      <c r="L456" s="208"/>
      <c r="M456" s="219" t="s">
        <v>561</v>
      </c>
      <c r="N456" s="219" t="s">
        <v>561</v>
      </c>
      <c r="O456" s="209"/>
      <c r="P456" s="25"/>
      <c r="Q456" s="353" t="s">
        <v>877</v>
      </c>
      <c r="R456" s="346" t="s">
        <v>906</v>
      </c>
      <c r="S456" s="27"/>
      <c r="T456" s="301"/>
      <c r="U456" s="27"/>
      <c r="V456" s="118"/>
    </row>
    <row r="457" spans="1:22" s="119" customFormat="1" ht="24.9" customHeight="1">
      <c r="A457" s="296">
        <v>14</v>
      </c>
      <c r="B457" s="323" t="s">
        <v>904</v>
      </c>
      <c r="C457" s="202" t="s">
        <v>575</v>
      </c>
      <c r="D457" s="207"/>
      <c r="E457" s="298" t="s">
        <v>894</v>
      </c>
      <c r="F457" s="207" t="s">
        <v>560</v>
      </c>
      <c r="G457" s="208"/>
      <c r="H457" s="208"/>
      <c r="I457" s="216"/>
      <c r="J457" s="218"/>
      <c r="K457" s="219">
        <v>2</v>
      </c>
      <c r="L457" s="208"/>
      <c r="M457" s="219" t="s">
        <v>561</v>
      </c>
      <c r="N457" s="219" t="s">
        <v>561</v>
      </c>
      <c r="O457" s="209"/>
      <c r="P457" s="25"/>
      <c r="Q457" s="353" t="s">
        <v>877</v>
      </c>
      <c r="R457" s="346" t="s">
        <v>906</v>
      </c>
      <c r="S457" s="27"/>
      <c r="T457" s="301"/>
      <c r="U457" s="27"/>
      <c r="V457" s="118"/>
    </row>
    <row r="458" spans="1:22" s="119" customFormat="1" ht="24.9" customHeight="1">
      <c r="A458" s="296">
        <v>15</v>
      </c>
      <c r="B458" s="323" t="s">
        <v>904</v>
      </c>
      <c r="C458" s="202" t="s">
        <v>575</v>
      </c>
      <c r="D458" s="207"/>
      <c r="E458" s="298">
        <v>10</v>
      </c>
      <c r="F458" s="207" t="s">
        <v>560</v>
      </c>
      <c r="G458" s="208"/>
      <c r="H458" s="208"/>
      <c r="I458" s="216"/>
      <c r="J458" s="218"/>
      <c r="K458" s="219">
        <v>4</v>
      </c>
      <c r="L458" s="208"/>
      <c r="M458" s="219" t="s">
        <v>561</v>
      </c>
      <c r="N458" s="219" t="s">
        <v>561</v>
      </c>
      <c r="O458" s="209"/>
      <c r="P458" s="25"/>
      <c r="Q458" s="353" t="s">
        <v>877</v>
      </c>
      <c r="R458" s="346" t="s">
        <v>906</v>
      </c>
      <c r="S458" s="27"/>
      <c r="T458" s="301"/>
      <c r="U458" s="27"/>
      <c r="V458" s="118"/>
    </row>
    <row r="459" spans="1:22" s="119" customFormat="1" ht="24.9" customHeight="1">
      <c r="A459" s="296">
        <v>16</v>
      </c>
      <c r="B459" s="323" t="s">
        <v>904</v>
      </c>
      <c r="C459" s="202" t="s">
        <v>576</v>
      </c>
      <c r="D459" s="207"/>
      <c r="E459" s="298" t="s">
        <v>894</v>
      </c>
      <c r="F459" s="207" t="s">
        <v>560</v>
      </c>
      <c r="G459" s="208"/>
      <c r="H459" s="208"/>
      <c r="I459" s="216"/>
      <c r="J459" s="218"/>
      <c r="K459" s="219">
        <v>5</v>
      </c>
      <c r="L459" s="208"/>
      <c r="M459" s="219" t="s">
        <v>561</v>
      </c>
      <c r="N459" s="219" t="s">
        <v>561</v>
      </c>
      <c r="O459" s="209"/>
      <c r="P459" s="25"/>
      <c r="Q459" s="353" t="s">
        <v>877</v>
      </c>
      <c r="R459" s="346" t="s">
        <v>906</v>
      </c>
      <c r="S459" s="27"/>
      <c r="T459" s="301"/>
      <c r="U459" s="27"/>
      <c r="V459" s="118"/>
    </row>
    <row r="460" spans="1:22" s="119" customFormat="1" ht="24.9" customHeight="1">
      <c r="A460" s="296">
        <v>17</v>
      </c>
      <c r="B460" s="323" t="s">
        <v>904</v>
      </c>
      <c r="C460" s="202" t="s">
        <v>577</v>
      </c>
      <c r="D460" s="207"/>
      <c r="E460" s="298" t="s">
        <v>888</v>
      </c>
      <c r="F460" s="207" t="s">
        <v>560</v>
      </c>
      <c r="G460" s="208"/>
      <c r="H460" s="208"/>
      <c r="I460" s="216"/>
      <c r="J460" s="218"/>
      <c r="K460" s="219">
        <v>8</v>
      </c>
      <c r="L460" s="208"/>
      <c r="M460" s="219" t="s">
        <v>561</v>
      </c>
      <c r="N460" s="219" t="s">
        <v>561</v>
      </c>
      <c r="O460" s="209"/>
      <c r="P460" s="25"/>
      <c r="Q460" s="353" t="s">
        <v>877</v>
      </c>
      <c r="R460" s="346" t="s">
        <v>906</v>
      </c>
      <c r="S460" s="27"/>
      <c r="T460" s="301"/>
      <c r="U460" s="27"/>
      <c r="V460" s="118"/>
    </row>
    <row r="461" spans="1:22" s="119" customFormat="1" ht="24.9" customHeight="1">
      <c r="A461" s="296">
        <v>18</v>
      </c>
      <c r="B461" s="323" t="s">
        <v>904</v>
      </c>
      <c r="C461" s="202" t="s">
        <v>578</v>
      </c>
      <c r="D461" s="207"/>
      <c r="E461" s="298" t="s">
        <v>895</v>
      </c>
      <c r="F461" s="207" t="s">
        <v>560</v>
      </c>
      <c r="G461" s="208"/>
      <c r="H461" s="208"/>
      <c r="I461" s="216"/>
      <c r="J461" s="218"/>
      <c r="K461" s="219">
        <v>80</v>
      </c>
      <c r="L461" s="208"/>
      <c r="M461" s="219" t="s">
        <v>561</v>
      </c>
      <c r="N461" s="219" t="s">
        <v>561</v>
      </c>
      <c r="O461" s="209"/>
      <c r="P461" s="25"/>
      <c r="Q461" s="353" t="s">
        <v>877</v>
      </c>
      <c r="R461" s="346" t="s">
        <v>906</v>
      </c>
      <c r="S461" s="27"/>
      <c r="T461" s="301"/>
      <c r="U461" s="27"/>
      <c r="V461" s="118"/>
    </row>
    <row r="462" spans="1:22" s="119" customFormat="1" ht="24.9" customHeight="1">
      <c r="A462" s="296">
        <v>19</v>
      </c>
      <c r="B462" s="323" t="s">
        <v>904</v>
      </c>
      <c r="C462" s="202" t="s">
        <v>579</v>
      </c>
      <c r="D462" s="207"/>
      <c r="E462" s="298" t="s">
        <v>896</v>
      </c>
      <c r="F462" s="207" t="s">
        <v>560</v>
      </c>
      <c r="G462" s="208"/>
      <c r="H462" s="208"/>
      <c r="I462" s="216"/>
      <c r="J462" s="218"/>
      <c r="K462" s="219">
        <v>40</v>
      </c>
      <c r="L462" s="208"/>
      <c r="M462" s="219" t="s">
        <v>561</v>
      </c>
      <c r="N462" s="219" t="s">
        <v>561</v>
      </c>
      <c r="O462" s="209"/>
      <c r="P462" s="25"/>
      <c r="Q462" s="353" t="s">
        <v>877</v>
      </c>
      <c r="R462" s="346" t="s">
        <v>906</v>
      </c>
      <c r="S462" s="27"/>
      <c r="T462" s="301"/>
      <c r="U462" s="27"/>
      <c r="V462" s="118"/>
    </row>
    <row r="463" spans="1:22" s="119" customFormat="1" ht="24.9" customHeight="1">
      <c r="A463" s="296">
        <v>20</v>
      </c>
      <c r="B463" s="323" t="s">
        <v>904</v>
      </c>
      <c r="C463" s="202" t="s">
        <v>580</v>
      </c>
      <c r="D463" s="207"/>
      <c r="E463" s="298" t="s">
        <v>894</v>
      </c>
      <c r="F463" s="207" t="s">
        <v>560</v>
      </c>
      <c r="G463" s="208"/>
      <c r="H463" s="208"/>
      <c r="I463" s="216"/>
      <c r="J463" s="218"/>
      <c r="K463" s="219">
        <v>4</v>
      </c>
      <c r="L463" s="208"/>
      <c r="M463" s="219" t="s">
        <v>561</v>
      </c>
      <c r="N463" s="219" t="s">
        <v>561</v>
      </c>
      <c r="O463" s="209"/>
      <c r="P463" s="25"/>
      <c r="Q463" s="353" t="s">
        <v>877</v>
      </c>
      <c r="R463" s="346" t="s">
        <v>906</v>
      </c>
      <c r="S463" s="27"/>
      <c r="T463" s="301"/>
      <c r="U463" s="27"/>
      <c r="V463" s="118"/>
    </row>
    <row r="464" spans="1:22" s="119" customFormat="1" ht="24.9" customHeight="1">
      <c r="A464" s="296">
        <v>21</v>
      </c>
      <c r="B464" s="323" t="s">
        <v>904</v>
      </c>
      <c r="C464" s="202" t="s">
        <v>581</v>
      </c>
      <c r="D464" s="207"/>
      <c r="E464" s="298" t="s">
        <v>893</v>
      </c>
      <c r="F464" s="207" t="s">
        <v>560</v>
      </c>
      <c r="G464" s="208"/>
      <c r="H464" s="208"/>
      <c r="I464" s="216"/>
      <c r="J464" s="218"/>
      <c r="K464" s="219">
        <v>5</v>
      </c>
      <c r="L464" s="208"/>
      <c r="M464" s="219" t="s">
        <v>561</v>
      </c>
      <c r="N464" s="219" t="s">
        <v>561</v>
      </c>
      <c r="O464" s="209"/>
      <c r="P464" s="25"/>
      <c r="Q464" s="353" t="s">
        <v>877</v>
      </c>
      <c r="R464" s="346" t="s">
        <v>906</v>
      </c>
      <c r="S464" s="27"/>
      <c r="T464" s="301"/>
      <c r="U464" s="27"/>
      <c r="V464" s="118"/>
    </row>
    <row r="465" spans="1:22" s="119" customFormat="1" ht="24.9" customHeight="1">
      <c r="A465" s="296">
        <v>22</v>
      </c>
      <c r="B465" s="323" t="s">
        <v>904</v>
      </c>
      <c r="C465" s="202" t="s">
        <v>582</v>
      </c>
      <c r="D465" s="207"/>
      <c r="E465" s="298" t="s">
        <v>888</v>
      </c>
      <c r="F465" s="207" t="s">
        <v>560</v>
      </c>
      <c r="G465" s="208"/>
      <c r="H465" s="208"/>
      <c r="I465" s="216"/>
      <c r="J465" s="218"/>
      <c r="K465" s="219">
        <v>9</v>
      </c>
      <c r="L465" s="208"/>
      <c r="M465" s="219" t="s">
        <v>561</v>
      </c>
      <c r="N465" s="219" t="s">
        <v>561</v>
      </c>
      <c r="O465" s="209"/>
      <c r="P465" s="25"/>
      <c r="Q465" s="353" t="s">
        <v>877</v>
      </c>
      <c r="R465" s="346" t="s">
        <v>906</v>
      </c>
      <c r="S465" s="27"/>
      <c r="T465" s="301"/>
      <c r="U465" s="27"/>
      <c r="V465" s="118"/>
    </row>
    <row r="466" spans="1:22" s="119" customFormat="1" ht="24.9" customHeight="1">
      <c r="A466" s="296">
        <v>23</v>
      </c>
      <c r="B466" s="323" t="s">
        <v>904</v>
      </c>
      <c r="C466" s="202" t="s">
        <v>897</v>
      </c>
      <c r="D466" s="207"/>
      <c r="E466" s="298" t="s">
        <v>894</v>
      </c>
      <c r="F466" s="207" t="s">
        <v>560</v>
      </c>
      <c r="G466" s="208"/>
      <c r="H466" s="208"/>
      <c r="I466" s="216"/>
      <c r="J466" s="218"/>
      <c r="K466" s="219">
        <v>2</v>
      </c>
      <c r="L466" s="208"/>
      <c r="M466" s="219" t="s">
        <v>561</v>
      </c>
      <c r="N466" s="219" t="s">
        <v>561</v>
      </c>
      <c r="O466" s="209"/>
      <c r="P466" s="25"/>
      <c r="Q466" s="353" t="s">
        <v>877</v>
      </c>
      <c r="R466" s="346" t="s">
        <v>906</v>
      </c>
      <c r="S466" s="27"/>
      <c r="T466" s="301"/>
      <c r="U466" s="27"/>
      <c r="V466" s="118"/>
    </row>
    <row r="467" spans="1:22" s="119" customFormat="1" ht="24.9" customHeight="1">
      <c r="A467" s="296">
        <v>24</v>
      </c>
      <c r="B467" s="323" t="s">
        <v>904</v>
      </c>
      <c r="C467" s="202" t="s">
        <v>898</v>
      </c>
      <c r="D467" s="207"/>
      <c r="E467" s="298">
        <v>10</v>
      </c>
      <c r="F467" s="207" t="s">
        <v>560</v>
      </c>
      <c r="G467" s="208"/>
      <c r="H467" s="208"/>
      <c r="I467" s="216"/>
      <c r="J467" s="218"/>
      <c r="K467" s="219">
        <v>0.5</v>
      </c>
      <c r="L467" s="208"/>
      <c r="M467" s="219" t="s">
        <v>561</v>
      </c>
      <c r="N467" s="219" t="s">
        <v>561</v>
      </c>
      <c r="O467" s="209"/>
      <c r="P467" s="25"/>
      <c r="Q467" s="353" t="s">
        <v>877</v>
      </c>
      <c r="R467" s="346" t="s">
        <v>906</v>
      </c>
      <c r="S467" s="27"/>
      <c r="T467" s="301"/>
      <c r="U467" s="27"/>
      <c r="V467" s="118"/>
    </row>
    <row r="468" spans="1:22" s="119" customFormat="1" ht="24.9" customHeight="1">
      <c r="A468" s="296">
        <v>25</v>
      </c>
      <c r="B468" s="323" t="s">
        <v>904</v>
      </c>
      <c r="C468" s="202" t="s">
        <v>899</v>
      </c>
      <c r="D468" s="207"/>
      <c r="E468" s="298">
        <v>28</v>
      </c>
      <c r="F468" s="207" t="s">
        <v>560</v>
      </c>
      <c r="G468" s="208"/>
      <c r="H468" s="208"/>
      <c r="I468" s="216"/>
      <c r="J468" s="218"/>
      <c r="K468" s="219">
        <v>6</v>
      </c>
      <c r="L468" s="208"/>
      <c r="M468" s="219" t="s">
        <v>561</v>
      </c>
      <c r="N468" s="219" t="s">
        <v>561</v>
      </c>
      <c r="O468" s="209"/>
      <c r="P468" s="25"/>
      <c r="Q468" s="353" t="s">
        <v>877</v>
      </c>
      <c r="R468" s="346" t="s">
        <v>906</v>
      </c>
      <c r="S468" s="27"/>
      <c r="T468" s="301"/>
      <c r="U468" s="27"/>
      <c r="V468" s="118"/>
    </row>
    <row r="469" spans="1:22" s="119" customFormat="1" ht="24.9" customHeight="1">
      <c r="A469" s="296">
        <v>26</v>
      </c>
      <c r="B469" s="323" t="s">
        <v>904</v>
      </c>
      <c r="C469" s="202" t="s">
        <v>900</v>
      </c>
      <c r="D469" s="207"/>
      <c r="E469" s="298">
        <v>28</v>
      </c>
      <c r="F469" s="207" t="s">
        <v>560</v>
      </c>
      <c r="G469" s="208"/>
      <c r="H469" s="208"/>
      <c r="I469" s="216"/>
      <c r="J469" s="218"/>
      <c r="K469" s="219">
        <v>6</v>
      </c>
      <c r="L469" s="208"/>
      <c r="M469" s="219" t="s">
        <v>561</v>
      </c>
      <c r="N469" s="219" t="s">
        <v>561</v>
      </c>
      <c r="O469" s="209"/>
      <c r="P469" s="25"/>
      <c r="Q469" s="353" t="s">
        <v>877</v>
      </c>
      <c r="R469" s="346" t="s">
        <v>906</v>
      </c>
      <c r="S469" s="27"/>
      <c r="T469" s="301"/>
      <c r="U469" s="27"/>
      <c r="V469" s="118"/>
    </row>
    <row r="470" spans="1:22" s="119" customFormat="1" ht="24.9" customHeight="1">
      <c r="A470" s="296">
        <v>27</v>
      </c>
      <c r="B470" s="323" t="s">
        <v>904</v>
      </c>
      <c r="C470" s="202" t="s">
        <v>901</v>
      </c>
      <c r="D470" s="207"/>
      <c r="E470" s="298">
        <v>28</v>
      </c>
      <c r="F470" s="207" t="s">
        <v>560</v>
      </c>
      <c r="G470" s="208"/>
      <c r="H470" s="208"/>
      <c r="I470" s="216"/>
      <c r="J470" s="218"/>
      <c r="K470" s="219">
        <v>2</v>
      </c>
      <c r="L470" s="208"/>
      <c r="M470" s="219" t="s">
        <v>561</v>
      </c>
      <c r="N470" s="219" t="s">
        <v>561</v>
      </c>
      <c r="O470" s="209"/>
      <c r="P470" s="25"/>
      <c r="Q470" s="353" t="s">
        <v>877</v>
      </c>
      <c r="R470" s="346" t="s">
        <v>906</v>
      </c>
      <c r="S470" s="27"/>
      <c r="T470" s="301"/>
      <c r="U470" s="27"/>
      <c r="V470" s="118"/>
    </row>
    <row r="471" spans="1:22" s="307" customFormat="1" ht="24.9" customHeight="1">
      <c r="A471" s="234" t="s">
        <v>907</v>
      </c>
      <c r="B471" s="235">
        <f>RIGHT(B470, 2)*1</f>
        <v>62</v>
      </c>
      <c r="C471" s="247" t="s">
        <v>903</v>
      </c>
      <c r="D471" s="237"/>
      <c r="E471" s="238">
        <f>SUM(E444:E470)</f>
        <v>154</v>
      </c>
      <c r="F471" s="237"/>
      <c r="G471" s="239">
        <v>140</v>
      </c>
      <c r="H471" s="239">
        <v>50</v>
      </c>
      <c r="I471" s="252">
        <v>60</v>
      </c>
      <c r="J471" s="241">
        <f>ROUND(I471*H471*G471/1000000,3)</f>
        <v>0.42</v>
      </c>
      <c r="K471" s="239">
        <f>SUM(K444:K470)</f>
        <v>234</v>
      </c>
      <c r="L471" s="239">
        <f>K471+120</f>
        <v>354</v>
      </c>
      <c r="M471" s="239"/>
      <c r="N471" s="253"/>
      <c r="O471" s="244"/>
      <c r="P471" s="245"/>
      <c r="Q471" s="354"/>
      <c r="R471" s="26"/>
      <c r="S471" s="304"/>
      <c r="T471" s="305"/>
      <c r="U471" s="304"/>
      <c r="V471" s="306"/>
    </row>
    <row r="472" spans="1:22" s="119" customFormat="1" ht="24.9" customHeight="1">
      <c r="A472" s="296">
        <v>1</v>
      </c>
      <c r="B472" s="323" t="s">
        <v>908</v>
      </c>
      <c r="C472" s="297" t="s">
        <v>909</v>
      </c>
      <c r="D472" s="207"/>
      <c r="E472" s="298">
        <v>1</v>
      </c>
      <c r="F472" s="207" t="s">
        <v>874</v>
      </c>
      <c r="G472" s="208"/>
      <c r="H472" s="208"/>
      <c r="I472" s="216"/>
      <c r="J472" s="218"/>
      <c r="K472" s="219">
        <v>20</v>
      </c>
      <c r="L472" s="208"/>
      <c r="M472" s="219" t="s">
        <v>561</v>
      </c>
      <c r="N472" s="219" t="s">
        <v>561</v>
      </c>
      <c r="O472" s="209"/>
      <c r="P472" s="25"/>
      <c r="Q472" s="353" t="s">
        <v>910</v>
      </c>
      <c r="R472" s="26"/>
      <c r="S472" s="27"/>
      <c r="T472" s="301"/>
      <c r="U472" s="27"/>
      <c r="V472" s="118"/>
    </row>
    <row r="473" spans="1:22" s="307" customFormat="1" ht="24.9" customHeight="1">
      <c r="A473" s="234" t="s">
        <v>911</v>
      </c>
      <c r="B473" s="235">
        <f>RIGHT(B472, 2)*1</f>
        <v>63</v>
      </c>
      <c r="C473" s="247" t="s">
        <v>910</v>
      </c>
      <c r="D473" s="237"/>
      <c r="E473" s="238">
        <f>SUM(E472:E472)</f>
        <v>1</v>
      </c>
      <c r="F473" s="237"/>
      <c r="G473" s="239">
        <v>122</v>
      </c>
      <c r="H473" s="239">
        <v>40</v>
      </c>
      <c r="I473" s="252">
        <v>60</v>
      </c>
      <c r="J473" s="241">
        <f t="shared" ref="J473" si="3">ROUND(I473*H473*G473/1000000,3)</f>
        <v>0.29299999999999998</v>
      </c>
      <c r="K473" s="239">
        <f>SUM(K472:K472)</f>
        <v>20</v>
      </c>
      <c r="L473" s="239">
        <f>K473+40</f>
        <v>60</v>
      </c>
      <c r="M473" s="239"/>
      <c r="N473" s="253"/>
      <c r="O473" s="244"/>
      <c r="P473" s="245"/>
      <c r="Q473" s="354"/>
      <c r="R473" s="26"/>
      <c r="S473" s="304"/>
      <c r="T473" s="305"/>
      <c r="U473" s="304"/>
      <c r="V473" s="306"/>
    </row>
    <row r="474" spans="1:22" s="119" customFormat="1" ht="24.9" customHeight="1">
      <c r="A474" s="296">
        <v>1</v>
      </c>
      <c r="B474" s="207" t="s">
        <v>912</v>
      </c>
      <c r="C474" s="303" t="s">
        <v>913</v>
      </c>
      <c r="D474" s="207"/>
      <c r="E474" s="298">
        <v>20</v>
      </c>
      <c r="F474" s="207" t="s">
        <v>236</v>
      </c>
      <c r="G474" s="208"/>
      <c r="H474" s="208"/>
      <c r="I474" s="299"/>
      <c r="J474" s="218"/>
      <c r="K474" s="208">
        <v>1072</v>
      </c>
      <c r="L474" s="208"/>
      <c r="M474" s="208" t="s">
        <v>237</v>
      </c>
      <c r="N474" s="295" t="s">
        <v>914</v>
      </c>
      <c r="O474" s="209"/>
      <c r="P474" s="25"/>
      <c r="Q474" s="355" t="s">
        <v>419</v>
      </c>
      <c r="R474" s="345" t="s">
        <v>276</v>
      </c>
      <c r="S474" s="27"/>
      <c r="T474" s="301"/>
      <c r="U474" s="27"/>
      <c r="V474" s="118"/>
    </row>
    <row r="475" spans="1:22" s="307" customFormat="1" ht="24.9" customHeight="1">
      <c r="A475" s="234" t="s">
        <v>915</v>
      </c>
      <c r="B475" s="235">
        <f>RIGHT(B474, 2)*1</f>
        <v>64</v>
      </c>
      <c r="C475" s="247" t="s">
        <v>429</v>
      </c>
      <c r="D475" s="237"/>
      <c r="E475" s="238">
        <f>SUM(E474)</f>
        <v>20</v>
      </c>
      <c r="F475" s="237"/>
      <c r="G475" s="239">
        <v>410</v>
      </c>
      <c r="H475" s="239">
        <v>122</v>
      </c>
      <c r="I475" s="252">
        <v>150</v>
      </c>
      <c r="J475" s="241">
        <f t="shared" ref="J475" si="4">ROUND(I475*H475*G475/1000000,3)</f>
        <v>7.5030000000000001</v>
      </c>
      <c r="K475" s="239">
        <f>SUM(K474)</f>
        <v>1072</v>
      </c>
      <c r="L475" s="239">
        <f>K475+40</f>
        <v>1112</v>
      </c>
      <c r="M475" s="239"/>
      <c r="N475" s="253"/>
      <c r="O475" s="244"/>
      <c r="P475" s="245"/>
      <c r="Q475" s="354"/>
      <c r="R475" s="26"/>
      <c r="S475" s="304"/>
      <c r="T475" s="305"/>
      <c r="U475" s="304"/>
      <c r="V475" s="306"/>
    </row>
    <row r="476" spans="1:22" s="119" customFormat="1" ht="24.9" customHeight="1">
      <c r="A476" s="296">
        <v>1</v>
      </c>
      <c r="B476" s="323" t="s">
        <v>916</v>
      </c>
      <c r="C476" s="303" t="s">
        <v>917</v>
      </c>
      <c r="D476" s="207"/>
      <c r="E476" s="298">
        <v>20</v>
      </c>
      <c r="F476" s="207" t="s">
        <v>236</v>
      </c>
      <c r="G476" s="208"/>
      <c r="H476" s="208"/>
      <c r="I476" s="299"/>
      <c r="J476" s="218"/>
      <c r="K476" s="208">
        <v>1072</v>
      </c>
      <c r="L476" s="208"/>
      <c r="M476" s="208" t="s">
        <v>237</v>
      </c>
      <c r="N476" s="295" t="s">
        <v>918</v>
      </c>
      <c r="O476" s="209"/>
      <c r="P476" s="25"/>
      <c r="Q476" s="355" t="s">
        <v>419</v>
      </c>
      <c r="R476" s="346" t="s">
        <v>906</v>
      </c>
      <c r="S476" s="27"/>
      <c r="T476" s="301"/>
      <c r="U476" s="27"/>
      <c r="V476" s="118"/>
    </row>
    <row r="477" spans="1:22" s="307" customFormat="1" ht="24.9" customHeight="1">
      <c r="A477" s="234" t="s">
        <v>919</v>
      </c>
      <c r="B477" s="235">
        <v>65</v>
      </c>
      <c r="C477" s="247" t="s">
        <v>429</v>
      </c>
      <c r="D477" s="237"/>
      <c r="E477" s="238">
        <f>SUM(E476:E476)</f>
        <v>20</v>
      </c>
      <c r="F477" s="237"/>
      <c r="G477" s="239">
        <v>410</v>
      </c>
      <c r="H477" s="239">
        <v>122</v>
      </c>
      <c r="I477" s="252">
        <v>150</v>
      </c>
      <c r="J477" s="241">
        <f t="shared" ref="J477" si="5">ROUND(I477*H477*G477/1000000,3)</f>
        <v>7.5030000000000001</v>
      </c>
      <c r="K477" s="239">
        <f>SUM(K476:K476)</f>
        <v>1072</v>
      </c>
      <c r="L477" s="239">
        <f>K477+40</f>
        <v>1112</v>
      </c>
      <c r="M477" s="239"/>
      <c r="N477" s="253"/>
      <c r="O477" s="244"/>
      <c r="P477" s="245"/>
      <c r="Q477" s="354"/>
      <c r="R477" s="26"/>
      <c r="S477" s="304"/>
      <c r="T477" s="305"/>
      <c r="U477" s="304"/>
      <c r="V477" s="306"/>
    </row>
    <row r="478" spans="1:22" s="119" customFormat="1" ht="24.9" customHeight="1">
      <c r="A478" s="296">
        <v>1</v>
      </c>
      <c r="B478" s="323" t="s">
        <v>920</v>
      </c>
      <c r="C478" s="303" t="s">
        <v>921</v>
      </c>
      <c r="D478" s="207"/>
      <c r="E478" s="298">
        <v>24</v>
      </c>
      <c r="F478" s="207" t="s">
        <v>236</v>
      </c>
      <c r="G478" s="208"/>
      <c r="H478" s="208"/>
      <c r="I478" s="299"/>
      <c r="J478" s="218"/>
      <c r="K478" s="208">
        <v>144</v>
      </c>
      <c r="L478" s="208"/>
      <c r="M478" s="208" t="s">
        <v>237</v>
      </c>
      <c r="N478" s="295"/>
      <c r="O478" s="209"/>
      <c r="P478" s="25"/>
      <c r="Q478" s="355" t="s">
        <v>922</v>
      </c>
      <c r="R478" s="346" t="s">
        <v>906</v>
      </c>
      <c r="S478" s="27"/>
      <c r="T478" s="301"/>
      <c r="U478" s="27"/>
      <c r="V478" s="118"/>
    </row>
    <row r="479" spans="1:22" s="119" customFormat="1" ht="24.9" customHeight="1">
      <c r="A479" s="296">
        <v>2</v>
      </c>
      <c r="B479" s="323" t="s">
        <v>920</v>
      </c>
      <c r="C479" s="202" t="s">
        <v>881</v>
      </c>
      <c r="D479" s="207"/>
      <c r="E479" s="298">
        <v>192</v>
      </c>
      <c r="F479" s="207" t="s">
        <v>560</v>
      </c>
      <c r="G479" s="208"/>
      <c r="H479" s="208"/>
      <c r="I479" s="299"/>
      <c r="J479" s="218"/>
      <c r="K479" s="208">
        <v>144</v>
      </c>
      <c r="L479" s="208"/>
      <c r="M479" s="208" t="s">
        <v>237</v>
      </c>
      <c r="N479" s="295"/>
      <c r="O479" s="209"/>
      <c r="P479" s="25"/>
      <c r="Q479" s="355"/>
      <c r="R479" s="346" t="s">
        <v>906</v>
      </c>
      <c r="S479" s="27"/>
      <c r="T479" s="301"/>
      <c r="U479" s="27"/>
      <c r="V479" s="118"/>
    </row>
    <row r="480" spans="1:22" s="119" customFormat="1" ht="24.9" customHeight="1">
      <c r="A480" s="296">
        <v>3</v>
      </c>
      <c r="B480" s="323" t="s">
        <v>920</v>
      </c>
      <c r="C480" s="202" t="s">
        <v>883</v>
      </c>
      <c r="D480" s="207"/>
      <c r="E480" s="298">
        <v>48</v>
      </c>
      <c r="F480" s="207" t="s">
        <v>236</v>
      </c>
      <c r="G480" s="208"/>
      <c r="H480" s="208"/>
      <c r="I480" s="299"/>
      <c r="J480" s="218"/>
      <c r="K480" s="208">
        <v>144</v>
      </c>
      <c r="L480" s="208"/>
      <c r="M480" s="208" t="s">
        <v>237</v>
      </c>
      <c r="N480" s="295"/>
      <c r="O480" s="209"/>
      <c r="P480" s="25"/>
      <c r="Q480" s="355"/>
      <c r="R480" s="346" t="s">
        <v>906</v>
      </c>
      <c r="S480" s="27"/>
      <c r="T480" s="301"/>
      <c r="U480" s="27"/>
      <c r="V480" s="118"/>
    </row>
    <row r="481" spans="1:30" s="307" customFormat="1" ht="24.9" customHeight="1">
      <c r="A481" s="234"/>
      <c r="B481" s="235">
        <f>RIGHT(B480, 2)*1</f>
        <v>66</v>
      </c>
      <c r="C481" s="247" t="s">
        <v>923</v>
      </c>
      <c r="D481" s="237"/>
      <c r="E481" s="238">
        <f>SUM(E480:E480)</f>
        <v>48</v>
      </c>
      <c r="F481" s="237"/>
      <c r="G481" s="239">
        <v>122</v>
      </c>
      <c r="H481" s="239">
        <v>120</v>
      </c>
      <c r="I481" s="252">
        <v>50</v>
      </c>
      <c r="J481" s="241">
        <f t="shared" ref="J481" si="6">ROUND(I481*H481*G481/1000000,3)</f>
        <v>0.73199999999999998</v>
      </c>
      <c r="K481" s="239">
        <f>SUM(K480:K480)</f>
        <v>144</v>
      </c>
      <c r="L481" s="239">
        <f>K481+40</f>
        <v>184</v>
      </c>
      <c r="M481" s="239"/>
      <c r="N481" s="253"/>
      <c r="O481" s="244"/>
      <c r="P481" s="245"/>
      <c r="Q481" s="354"/>
      <c r="R481" s="26"/>
      <c r="S481" s="304"/>
      <c r="T481" s="305"/>
      <c r="U481" s="304"/>
      <c r="V481" s="306"/>
    </row>
    <row r="482" spans="1:30" s="119" customFormat="1" ht="24.9" customHeight="1">
      <c r="A482" s="207">
        <v>1</v>
      </c>
      <c r="B482" s="323" t="s">
        <v>924</v>
      </c>
      <c r="C482" s="202" t="s">
        <v>925</v>
      </c>
      <c r="D482" s="207" t="s">
        <v>235</v>
      </c>
      <c r="E482" s="298">
        <v>1</v>
      </c>
      <c r="F482" s="207" t="s">
        <v>236</v>
      </c>
      <c r="G482" s="363"/>
      <c r="H482" s="363"/>
      <c r="I482" s="363"/>
      <c r="J482" s="356"/>
      <c r="K482" s="208">
        <v>15970</v>
      </c>
      <c r="L482" s="208">
        <v>16768.5</v>
      </c>
      <c r="M482" s="208" t="s">
        <v>926</v>
      </c>
      <c r="N482" s="217" t="s">
        <v>927</v>
      </c>
      <c r="O482" s="209"/>
      <c r="P482" s="25"/>
      <c r="Q482" s="303" t="s">
        <v>928</v>
      </c>
      <c r="R482" s="26"/>
      <c r="S482" s="27"/>
      <c r="T482" s="301"/>
      <c r="U482" s="27"/>
      <c r="V482" s="118"/>
    </row>
    <row r="483" spans="1:30" s="362" customFormat="1" ht="24.9" customHeight="1">
      <c r="A483" s="237"/>
      <c r="B483" s="235">
        <f>RIGHT(B482, 2)*1</f>
        <v>67</v>
      </c>
      <c r="C483" s="247" t="str">
        <f>C482</f>
        <v>Tube Bundle B1-E-66001</v>
      </c>
      <c r="D483" s="237"/>
      <c r="E483" s="238">
        <f>E482</f>
        <v>1</v>
      </c>
      <c r="F483" s="237"/>
      <c r="G483" s="239">
        <v>1350</v>
      </c>
      <c r="H483" s="239">
        <v>360</v>
      </c>
      <c r="I483" s="252">
        <v>130</v>
      </c>
      <c r="J483" s="241">
        <f>ROUND(I483*H483*G483/1000000,3)</f>
        <v>63.18</v>
      </c>
      <c r="K483" s="248">
        <f>K482</f>
        <v>15970</v>
      </c>
      <c r="L483" s="248">
        <f>L482</f>
        <v>16768.5</v>
      </c>
      <c r="M483" s="239"/>
      <c r="N483" s="249"/>
      <c r="O483" s="244"/>
      <c r="P483" s="245"/>
      <c r="Q483" s="357"/>
      <c r="R483" s="358"/>
      <c r="S483" s="359"/>
      <c r="T483" s="360"/>
      <c r="U483" s="359"/>
      <c r="V483" s="361"/>
    </row>
    <row r="484" spans="1:30" s="119" customFormat="1" ht="24.9" customHeight="1">
      <c r="A484" s="207">
        <v>1</v>
      </c>
      <c r="B484" s="323" t="s">
        <v>929</v>
      </c>
      <c r="C484" s="202" t="s">
        <v>930</v>
      </c>
      <c r="D484" s="207" t="s">
        <v>241</v>
      </c>
      <c r="E484" s="298">
        <v>1</v>
      </c>
      <c r="F484" s="207" t="s">
        <v>931</v>
      </c>
      <c r="G484" s="363"/>
      <c r="H484" s="363"/>
      <c r="I484" s="363"/>
      <c r="J484" s="356"/>
      <c r="K484" s="208">
        <v>15970</v>
      </c>
      <c r="L484" s="208">
        <v>16768.5</v>
      </c>
      <c r="M484" s="208" t="s">
        <v>926</v>
      </c>
      <c r="N484" s="217" t="s">
        <v>932</v>
      </c>
      <c r="O484" s="209"/>
      <c r="P484" s="25"/>
      <c r="Q484" s="303" t="s">
        <v>928</v>
      </c>
      <c r="R484" s="26"/>
      <c r="S484" s="27"/>
      <c r="T484" s="301"/>
      <c r="U484" s="27"/>
      <c r="V484" s="118"/>
    </row>
    <row r="485" spans="1:30" s="362" customFormat="1" ht="24.9" customHeight="1">
      <c r="A485" s="237"/>
      <c r="B485" s="235">
        <f>RIGHT(B484, 2)*1</f>
        <v>68</v>
      </c>
      <c r="C485" s="247" t="str">
        <f>C484</f>
        <v>Tube Bundle B1-E-66002</v>
      </c>
      <c r="D485" s="237"/>
      <c r="E485" s="238">
        <f>E484</f>
        <v>1</v>
      </c>
      <c r="F485" s="237"/>
      <c r="G485" s="239">
        <v>1350</v>
      </c>
      <c r="H485" s="239">
        <v>360</v>
      </c>
      <c r="I485" s="252">
        <v>130</v>
      </c>
      <c r="J485" s="241">
        <f t="shared" ref="J485" si="7">ROUND(I485*H485*G485/1000000,3)</f>
        <v>63.18</v>
      </c>
      <c r="K485" s="239">
        <f>K484</f>
        <v>15970</v>
      </c>
      <c r="L485" s="239">
        <f>L484</f>
        <v>16768.5</v>
      </c>
      <c r="M485" s="239"/>
      <c r="N485" s="253"/>
      <c r="O485" s="244"/>
      <c r="P485" s="245"/>
      <c r="Q485" s="246"/>
      <c r="R485" s="358"/>
      <c r="S485" s="359"/>
      <c r="T485" s="360"/>
      <c r="U485" s="359"/>
      <c r="V485" s="361"/>
    </row>
    <row r="486" spans="1:30" s="119" customFormat="1" ht="24.9" customHeight="1">
      <c r="A486" s="296">
        <v>1</v>
      </c>
      <c r="B486" s="323" t="s">
        <v>933</v>
      </c>
      <c r="C486" s="202" t="s">
        <v>934</v>
      </c>
      <c r="D486" s="207" t="s">
        <v>241</v>
      </c>
      <c r="E486" s="298">
        <v>1</v>
      </c>
      <c r="F486" s="207" t="s">
        <v>931</v>
      </c>
      <c r="G486" s="363"/>
      <c r="H486" s="363"/>
      <c r="I486" s="363"/>
      <c r="J486" s="356"/>
      <c r="K486" s="208">
        <v>15970</v>
      </c>
      <c r="L486" s="208">
        <v>16768.5</v>
      </c>
      <c r="M486" s="208" t="s">
        <v>935</v>
      </c>
      <c r="N486" s="217" t="s">
        <v>936</v>
      </c>
      <c r="O486" s="209"/>
      <c r="P486" s="25"/>
      <c r="Q486" s="303" t="s">
        <v>928</v>
      </c>
      <c r="R486" s="26"/>
      <c r="S486" s="27"/>
      <c r="T486" s="301"/>
      <c r="U486" s="27"/>
      <c r="V486" s="118"/>
    </row>
    <row r="487" spans="1:30" s="362" customFormat="1" ht="24.9" customHeight="1">
      <c r="A487" s="234"/>
      <c r="B487" s="235">
        <f>RIGHT(B486, 2)*1</f>
        <v>69</v>
      </c>
      <c r="C487" s="247" t="str">
        <f>C486</f>
        <v>Tube Bundle B1-E-66003</v>
      </c>
      <c r="D487" s="237"/>
      <c r="E487" s="238">
        <f>E486</f>
        <v>1</v>
      </c>
      <c r="F487" s="237"/>
      <c r="G487" s="239">
        <v>1350</v>
      </c>
      <c r="H487" s="239">
        <v>360</v>
      </c>
      <c r="I487" s="252">
        <v>130</v>
      </c>
      <c r="J487" s="241">
        <f t="shared" ref="J487" si="8">ROUND(I487*H487*G487/1000000,3)</f>
        <v>63.18</v>
      </c>
      <c r="K487" s="239">
        <f>K486</f>
        <v>15970</v>
      </c>
      <c r="L487" s="239">
        <f>L486</f>
        <v>16768.5</v>
      </c>
      <c r="M487" s="239"/>
      <c r="N487" s="253"/>
      <c r="O487" s="244"/>
      <c r="P487" s="245"/>
      <c r="Q487" s="246"/>
      <c r="R487" s="358"/>
      <c r="S487" s="359"/>
      <c r="T487" s="360"/>
      <c r="U487" s="359"/>
      <c r="V487" s="361"/>
    </row>
    <row r="488" spans="1:30" s="119" customFormat="1" ht="24.9" customHeight="1">
      <c r="A488" s="207">
        <v>1</v>
      </c>
      <c r="B488" s="323" t="s">
        <v>937</v>
      </c>
      <c r="C488" s="202" t="s">
        <v>938</v>
      </c>
      <c r="D488" s="207" t="s">
        <v>241</v>
      </c>
      <c r="E488" s="298">
        <v>1</v>
      </c>
      <c r="F488" s="207" t="s">
        <v>931</v>
      </c>
      <c r="G488" s="363"/>
      <c r="H488" s="363"/>
      <c r="I488" s="363"/>
      <c r="J488" s="356"/>
      <c r="K488" s="208">
        <v>15970</v>
      </c>
      <c r="L488" s="208">
        <v>16768.5</v>
      </c>
      <c r="M488" s="208" t="s">
        <v>935</v>
      </c>
      <c r="N488" s="217" t="s">
        <v>939</v>
      </c>
      <c r="O488" s="209"/>
      <c r="P488" s="25"/>
      <c r="Q488" s="303" t="s">
        <v>928</v>
      </c>
      <c r="R488" s="26"/>
      <c r="S488" s="27"/>
      <c r="T488" s="301"/>
      <c r="U488" s="27"/>
      <c r="V488" s="118"/>
    </row>
    <row r="489" spans="1:30" s="362" customFormat="1" ht="24.9" customHeight="1">
      <c r="A489" s="237"/>
      <c r="B489" s="235">
        <f>RIGHT(B488, 2)*1</f>
        <v>70</v>
      </c>
      <c r="C489" s="247" t="str">
        <f>C488</f>
        <v>Tube Bundle B1-E-66004</v>
      </c>
      <c r="D489" s="237"/>
      <c r="E489" s="238">
        <f>E488</f>
        <v>1</v>
      </c>
      <c r="F489" s="237"/>
      <c r="G489" s="239">
        <v>1350</v>
      </c>
      <c r="H489" s="239">
        <v>360</v>
      </c>
      <c r="I489" s="252">
        <v>130</v>
      </c>
      <c r="J489" s="241">
        <f t="shared" ref="J489" si="9">ROUND(I489*H489*G489/1000000,3)</f>
        <v>63.18</v>
      </c>
      <c r="K489" s="239">
        <f>K488</f>
        <v>15970</v>
      </c>
      <c r="L489" s="239">
        <f>L488</f>
        <v>16768.5</v>
      </c>
      <c r="M489" s="239"/>
      <c r="N489" s="253"/>
      <c r="O489" s="244"/>
      <c r="P489" s="245"/>
      <c r="Q489" s="246"/>
      <c r="R489" s="358"/>
      <c r="S489" s="359"/>
      <c r="T489" s="360"/>
      <c r="U489" s="359"/>
      <c r="V489" s="361"/>
    </row>
    <row r="490" spans="1:30" s="119" customFormat="1" ht="24.9" customHeight="1">
      <c r="A490" s="296">
        <v>1</v>
      </c>
      <c r="B490" s="323" t="s">
        <v>940</v>
      </c>
      <c r="C490" s="202" t="s">
        <v>941</v>
      </c>
      <c r="D490" s="207" t="s">
        <v>235</v>
      </c>
      <c r="E490" s="298">
        <v>1</v>
      </c>
      <c r="F490" s="207" t="s">
        <v>931</v>
      </c>
      <c r="G490" s="363"/>
      <c r="H490" s="363"/>
      <c r="I490" s="363"/>
      <c r="J490" s="356"/>
      <c r="K490" s="208">
        <v>15970</v>
      </c>
      <c r="L490" s="208">
        <v>16768.5</v>
      </c>
      <c r="M490" s="208" t="s">
        <v>935</v>
      </c>
      <c r="N490" s="217" t="s">
        <v>942</v>
      </c>
      <c r="O490" s="209"/>
      <c r="P490" s="25"/>
      <c r="Q490" s="303" t="s">
        <v>928</v>
      </c>
      <c r="R490" s="26"/>
      <c r="S490" s="27"/>
      <c r="T490" s="301"/>
      <c r="U490" s="27"/>
      <c r="V490" s="118"/>
      <c r="Y490" s="119">
        <v>85</v>
      </c>
      <c r="Z490" s="119">
        <v>60</v>
      </c>
      <c r="AA490" s="119">
        <v>120</v>
      </c>
      <c r="AB490" s="119">
        <f>ROUND(AA490*Z490*Y490/1000000,3)</f>
        <v>0.61199999999999999</v>
      </c>
      <c r="AC490" s="119">
        <f>SUM(AC484:AC488)</f>
        <v>0</v>
      </c>
      <c r="AD490" s="119">
        <f>SUM(AD484:AD488)</f>
        <v>0</v>
      </c>
    </row>
    <row r="491" spans="1:30" s="362" customFormat="1" ht="24.9" customHeight="1">
      <c r="A491" s="234"/>
      <c r="B491" s="235">
        <f>RIGHT(B490, 2)*1</f>
        <v>71</v>
      </c>
      <c r="C491" s="247" t="str">
        <f>C490</f>
        <v>Tube Bundle B1-E-66005</v>
      </c>
      <c r="D491" s="237"/>
      <c r="E491" s="238">
        <f t="shared" ref="E491" si="10">E490</f>
        <v>1</v>
      </c>
      <c r="F491" s="237"/>
      <c r="G491" s="239">
        <v>1350</v>
      </c>
      <c r="H491" s="239">
        <v>360</v>
      </c>
      <c r="I491" s="252">
        <v>130</v>
      </c>
      <c r="J491" s="241">
        <f t="shared" ref="J491" si="11">ROUND(I491*H491*G491/1000000,3)</f>
        <v>63.18</v>
      </c>
      <c r="K491" s="239">
        <f>K490</f>
        <v>15970</v>
      </c>
      <c r="L491" s="239">
        <f>L490</f>
        <v>16768.5</v>
      </c>
      <c r="M491" s="239"/>
      <c r="N491" s="253"/>
      <c r="O491" s="244"/>
      <c r="P491" s="245"/>
      <c r="Q491" s="246"/>
      <c r="R491" s="358"/>
      <c r="S491" s="359"/>
      <c r="T491" s="360"/>
      <c r="U491" s="359"/>
      <c r="V491" s="361"/>
    </row>
    <row r="492" spans="1:30" s="119" customFormat="1" ht="24.9" customHeight="1">
      <c r="A492" s="207">
        <v>1</v>
      </c>
      <c r="B492" s="323" t="s">
        <v>943</v>
      </c>
      <c r="C492" s="202" t="s">
        <v>944</v>
      </c>
      <c r="D492" s="207" t="s">
        <v>235</v>
      </c>
      <c r="E492" s="298">
        <v>1</v>
      </c>
      <c r="F492" s="207" t="s">
        <v>931</v>
      </c>
      <c r="G492" s="363"/>
      <c r="H492" s="363"/>
      <c r="I492" s="363"/>
      <c r="J492" s="356"/>
      <c r="K492" s="208">
        <v>15970</v>
      </c>
      <c r="L492" s="208">
        <v>16768.5</v>
      </c>
      <c r="M492" s="208" t="s">
        <v>935</v>
      </c>
      <c r="N492" s="217" t="s">
        <v>945</v>
      </c>
      <c r="O492" s="209"/>
      <c r="P492" s="25"/>
      <c r="Q492" s="303" t="s">
        <v>928</v>
      </c>
      <c r="R492" s="26"/>
      <c r="S492" s="27"/>
      <c r="T492" s="301"/>
      <c r="U492" s="27"/>
      <c r="V492" s="118"/>
    </row>
    <row r="493" spans="1:30" s="362" customFormat="1" ht="24.9" customHeight="1">
      <c r="A493" s="237"/>
      <c r="B493" s="235">
        <f>RIGHT(B492, 2)*1</f>
        <v>72</v>
      </c>
      <c r="C493" s="247" t="str">
        <f>C492</f>
        <v>Tube Bundle B1-E-66006</v>
      </c>
      <c r="D493" s="237"/>
      <c r="E493" s="238">
        <f t="shared" ref="E493" si="12">E492</f>
        <v>1</v>
      </c>
      <c r="F493" s="237"/>
      <c r="G493" s="239">
        <v>1350</v>
      </c>
      <c r="H493" s="239">
        <v>360</v>
      </c>
      <c r="I493" s="252">
        <v>130</v>
      </c>
      <c r="J493" s="241">
        <f t="shared" ref="J493" si="13">ROUND(I493*H493*G493/1000000,3)</f>
        <v>63.18</v>
      </c>
      <c r="K493" s="239">
        <f>K492</f>
        <v>15970</v>
      </c>
      <c r="L493" s="239">
        <f>L492</f>
        <v>16768.5</v>
      </c>
      <c r="M493" s="239"/>
      <c r="N493" s="253"/>
      <c r="O493" s="244"/>
      <c r="P493" s="245"/>
      <c r="Q493" s="246"/>
      <c r="R493" s="358"/>
      <c r="S493" s="359"/>
      <c r="T493" s="360"/>
      <c r="U493" s="359"/>
      <c r="V493" s="361"/>
    </row>
    <row r="494" spans="1:30" s="119" customFormat="1" ht="24.9" customHeight="1">
      <c r="A494" s="207">
        <v>1</v>
      </c>
      <c r="B494" s="323" t="s">
        <v>946</v>
      </c>
      <c r="C494" s="202" t="s">
        <v>947</v>
      </c>
      <c r="D494" s="207" t="s">
        <v>235</v>
      </c>
      <c r="E494" s="298">
        <v>1</v>
      </c>
      <c r="F494" s="207" t="s">
        <v>931</v>
      </c>
      <c r="G494" s="363"/>
      <c r="H494" s="363"/>
      <c r="I494" s="363"/>
      <c r="J494" s="356"/>
      <c r="K494" s="208">
        <v>15970</v>
      </c>
      <c r="L494" s="208">
        <v>16768.5</v>
      </c>
      <c r="M494" s="208" t="s">
        <v>935</v>
      </c>
      <c r="N494" s="217" t="s">
        <v>948</v>
      </c>
      <c r="O494" s="209"/>
      <c r="P494" s="25"/>
      <c r="Q494" s="303" t="s">
        <v>928</v>
      </c>
      <c r="R494" s="26"/>
      <c r="S494" s="27" t="s">
        <v>949</v>
      </c>
      <c r="T494" s="301"/>
      <c r="U494" s="27"/>
      <c r="V494" s="118"/>
      <c r="Y494" s="119">
        <f>Y490</f>
        <v>85</v>
      </c>
      <c r="Z494" s="119">
        <f t="shared" ref="Z494:AA494" si="14">Z490</f>
        <v>60</v>
      </c>
      <c r="AA494" s="119">
        <f t="shared" si="14"/>
        <v>120</v>
      </c>
      <c r="AB494" s="119">
        <f>AB490</f>
        <v>0.61199999999999999</v>
      </c>
      <c r="AC494" s="119">
        <f>AC490</f>
        <v>0</v>
      </c>
      <c r="AD494" s="119">
        <f>AD490</f>
        <v>0</v>
      </c>
    </row>
    <row r="495" spans="1:30" s="362" customFormat="1" ht="24.9" customHeight="1">
      <c r="A495" s="237"/>
      <c r="B495" s="235">
        <f>RIGHT(B494, 2)*1</f>
        <v>73</v>
      </c>
      <c r="C495" s="247" t="str">
        <f>C494</f>
        <v>Tube Bundle B1-E-66007</v>
      </c>
      <c r="D495" s="237"/>
      <c r="E495" s="238">
        <f t="shared" ref="E495" si="15">E494</f>
        <v>1</v>
      </c>
      <c r="F495" s="237"/>
      <c r="G495" s="239">
        <v>1350</v>
      </c>
      <c r="H495" s="239">
        <v>360</v>
      </c>
      <c r="I495" s="252">
        <v>130</v>
      </c>
      <c r="J495" s="241">
        <f t="shared" ref="J495" si="16">ROUND(I495*H495*G495/1000000,3)</f>
        <v>63.18</v>
      </c>
      <c r="K495" s="239">
        <f>K494</f>
        <v>15970</v>
      </c>
      <c r="L495" s="239">
        <f>L494</f>
        <v>16768.5</v>
      </c>
      <c r="M495" s="239"/>
      <c r="N495" s="253"/>
      <c r="O495" s="244"/>
      <c r="P495" s="245"/>
      <c r="Q495" s="246"/>
      <c r="R495" s="358"/>
      <c r="S495" s="359"/>
      <c r="T495" s="360"/>
      <c r="U495" s="359"/>
      <c r="V495" s="361"/>
    </row>
    <row r="496" spans="1:30" s="119" customFormat="1" ht="24.9" customHeight="1">
      <c r="A496" s="207">
        <v>1</v>
      </c>
      <c r="B496" s="323" t="s">
        <v>950</v>
      </c>
      <c r="C496" s="202" t="s">
        <v>951</v>
      </c>
      <c r="D496" s="207" t="s">
        <v>235</v>
      </c>
      <c r="E496" s="298">
        <v>1</v>
      </c>
      <c r="F496" s="207" t="s">
        <v>931</v>
      </c>
      <c r="G496" s="363"/>
      <c r="H496" s="363"/>
      <c r="I496" s="363"/>
      <c r="J496" s="356"/>
      <c r="K496" s="208">
        <v>15970</v>
      </c>
      <c r="L496" s="208">
        <v>16768.5</v>
      </c>
      <c r="M496" s="208" t="s">
        <v>935</v>
      </c>
      <c r="N496" s="217" t="s">
        <v>952</v>
      </c>
      <c r="O496" s="209"/>
      <c r="P496" s="25"/>
      <c r="Q496" s="303" t="s">
        <v>928</v>
      </c>
      <c r="R496" s="26"/>
      <c r="S496" s="27"/>
      <c r="T496" s="301"/>
      <c r="U496" s="27"/>
      <c r="V496" s="118"/>
    </row>
    <row r="497" spans="1:22" s="362" customFormat="1" ht="24.9" customHeight="1">
      <c r="A497" s="237"/>
      <c r="B497" s="235">
        <f>RIGHT(B496, 2)*1</f>
        <v>74</v>
      </c>
      <c r="C497" s="247" t="str">
        <f>C496</f>
        <v>Tube Bundle B1-E-66008</v>
      </c>
      <c r="D497" s="237"/>
      <c r="E497" s="238">
        <f t="shared" ref="E497" si="17">E496</f>
        <v>1</v>
      </c>
      <c r="F497" s="237"/>
      <c r="G497" s="239">
        <v>1350</v>
      </c>
      <c r="H497" s="239">
        <v>360</v>
      </c>
      <c r="I497" s="252">
        <v>130</v>
      </c>
      <c r="J497" s="241">
        <f t="shared" ref="J497" si="18">ROUND(I497*H497*G497/1000000,3)</f>
        <v>63.18</v>
      </c>
      <c r="K497" s="239">
        <f>K496</f>
        <v>15970</v>
      </c>
      <c r="L497" s="239">
        <f>L496</f>
        <v>16768.5</v>
      </c>
      <c r="M497" s="239"/>
      <c r="N497" s="253"/>
      <c r="O497" s="244"/>
      <c r="P497" s="245"/>
      <c r="Q497" s="246"/>
      <c r="R497" s="358"/>
      <c r="S497" s="359"/>
      <c r="T497" s="360"/>
      <c r="U497" s="359"/>
      <c r="V497" s="361"/>
    </row>
    <row r="498" spans="1:22" s="119" customFormat="1" ht="24.9" customHeight="1">
      <c r="A498" s="207">
        <v>1</v>
      </c>
      <c r="B498" s="323" t="s">
        <v>953</v>
      </c>
      <c r="C498" s="202" t="s">
        <v>954</v>
      </c>
      <c r="D498" s="207" t="s">
        <v>235</v>
      </c>
      <c r="E498" s="298">
        <v>1</v>
      </c>
      <c r="F498" s="207" t="s">
        <v>931</v>
      </c>
      <c r="G498" s="363"/>
      <c r="H498" s="363"/>
      <c r="I498" s="363"/>
      <c r="J498" s="356"/>
      <c r="K498" s="208">
        <v>15970</v>
      </c>
      <c r="L498" s="208">
        <v>16768.5</v>
      </c>
      <c r="M498" s="208" t="s">
        <v>935</v>
      </c>
      <c r="N498" s="217" t="s">
        <v>955</v>
      </c>
      <c r="O498" s="209"/>
      <c r="P498" s="25"/>
      <c r="Q498" s="303" t="s">
        <v>928</v>
      </c>
      <c r="R498" s="26"/>
      <c r="S498" s="27"/>
      <c r="T498" s="301"/>
      <c r="U498" s="27"/>
      <c r="V498" s="118"/>
    </row>
    <row r="499" spans="1:22" s="362" customFormat="1" ht="24.9" customHeight="1">
      <c r="A499" s="237"/>
      <c r="B499" s="235">
        <f>RIGHT(B498, 2)*1</f>
        <v>75</v>
      </c>
      <c r="C499" s="247" t="str">
        <f>C498</f>
        <v>Tube Bundle B1-E-66009</v>
      </c>
      <c r="D499" s="237"/>
      <c r="E499" s="238">
        <f t="shared" ref="E499" si="19">E498</f>
        <v>1</v>
      </c>
      <c r="F499" s="237"/>
      <c r="G499" s="239">
        <v>1350</v>
      </c>
      <c r="H499" s="239">
        <v>360</v>
      </c>
      <c r="I499" s="252">
        <v>130</v>
      </c>
      <c r="J499" s="241">
        <f t="shared" ref="J499" si="20">ROUND(I499*H499*G499/1000000,3)</f>
        <v>63.18</v>
      </c>
      <c r="K499" s="239">
        <f>K498</f>
        <v>15970</v>
      </c>
      <c r="L499" s="239">
        <f>L498</f>
        <v>16768.5</v>
      </c>
      <c r="M499" s="239"/>
      <c r="N499" s="253"/>
      <c r="O499" s="244"/>
      <c r="P499" s="245"/>
      <c r="Q499" s="246"/>
      <c r="R499" s="358"/>
      <c r="S499" s="359"/>
      <c r="T499" s="360"/>
      <c r="U499" s="359"/>
      <c r="V499" s="361"/>
    </row>
    <row r="500" spans="1:22" s="119" customFormat="1" ht="24.9" customHeight="1">
      <c r="A500" s="207">
        <v>1</v>
      </c>
      <c r="B500" s="323" t="s">
        <v>956</v>
      </c>
      <c r="C500" s="202" t="s">
        <v>957</v>
      </c>
      <c r="D500" s="207" t="s">
        <v>235</v>
      </c>
      <c r="E500" s="298">
        <v>1</v>
      </c>
      <c r="F500" s="207" t="s">
        <v>931</v>
      </c>
      <c r="G500" s="363"/>
      <c r="H500" s="363"/>
      <c r="I500" s="363"/>
      <c r="J500" s="356"/>
      <c r="K500" s="208">
        <v>15970</v>
      </c>
      <c r="L500" s="208">
        <v>16768.5</v>
      </c>
      <c r="M500" s="208" t="s">
        <v>935</v>
      </c>
      <c r="N500" s="217" t="s">
        <v>958</v>
      </c>
      <c r="O500" s="209"/>
      <c r="P500" s="25"/>
      <c r="Q500" s="303" t="s">
        <v>928</v>
      </c>
      <c r="R500" s="26"/>
      <c r="S500" s="27"/>
      <c r="T500" s="301"/>
      <c r="U500" s="27"/>
      <c r="V500" s="118"/>
    </row>
    <row r="501" spans="1:22" s="362" customFormat="1" ht="24.9" customHeight="1">
      <c r="A501" s="237"/>
      <c r="B501" s="235">
        <f>RIGHT(B500, 2)*1</f>
        <v>76</v>
      </c>
      <c r="C501" s="247" t="str">
        <f>C500</f>
        <v>Tube Bundle B1-E-66010</v>
      </c>
      <c r="D501" s="237"/>
      <c r="E501" s="238">
        <f t="shared" ref="E501" si="21">E500</f>
        <v>1</v>
      </c>
      <c r="F501" s="237"/>
      <c r="G501" s="239">
        <v>1350</v>
      </c>
      <c r="H501" s="239">
        <v>360</v>
      </c>
      <c r="I501" s="252">
        <v>130</v>
      </c>
      <c r="J501" s="241">
        <f t="shared" ref="J501" si="22">ROUND(I501*H501*G501/1000000,3)</f>
        <v>63.18</v>
      </c>
      <c r="K501" s="239">
        <f>K500</f>
        <v>15970</v>
      </c>
      <c r="L501" s="239">
        <f>L500</f>
        <v>16768.5</v>
      </c>
      <c r="M501" s="239"/>
      <c r="N501" s="253"/>
      <c r="O501" s="244"/>
      <c r="P501" s="245"/>
      <c r="Q501" s="246"/>
      <c r="R501" s="358"/>
      <c r="S501" s="359"/>
      <c r="T501" s="360"/>
      <c r="U501" s="359"/>
      <c r="V501" s="361"/>
    </row>
    <row r="502" spans="1:22" s="119" customFormat="1" ht="24.9" customHeight="1">
      <c r="A502" s="207">
        <v>1</v>
      </c>
      <c r="B502" s="323" t="s">
        <v>959</v>
      </c>
      <c r="C502" s="202" t="s">
        <v>960</v>
      </c>
      <c r="D502" s="207" t="s">
        <v>235</v>
      </c>
      <c r="E502" s="298">
        <v>1</v>
      </c>
      <c r="F502" s="207" t="s">
        <v>931</v>
      </c>
      <c r="G502" s="363"/>
      <c r="H502" s="363"/>
      <c r="I502" s="363"/>
      <c r="J502" s="356"/>
      <c r="K502" s="208">
        <v>15970</v>
      </c>
      <c r="L502" s="208">
        <v>16768.5</v>
      </c>
      <c r="M502" s="208" t="s">
        <v>935</v>
      </c>
      <c r="N502" s="217" t="s">
        <v>961</v>
      </c>
      <c r="O502" s="209"/>
      <c r="P502" s="25"/>
      <c r="Q502" s="303" t="s">
        <v>928</v>
      </c>
      <c r="R502" s="26"/>
      <c r="S502" s="27"/>
      <c r="T502" s="301"/>
      <c r="U502" s="27"/>
      <c r="V502" s="118"/>
    </row>
    <row r="503" spans="1:22" s="362" customFormat="1" ht="24.9" customHeight="1">
      <c r="A503" s="237"/>
      <c r="B503" s="235">
        <f>RIGHT(B502, 3)*1</f>
        <v>77</v>
      </c>
      <c r="C503" s="247" t="str">
        <f>C502</f>
        <v>Tube Bundle B1-E-66011</v>
      </c>
      <c r="D503" s="237"/>
      <c r="E503" s="238">
        <f t="shared" ref="E503" si="23">E502</f>
        <v>1</v>
      </c>
      <c r="F503" s="237"/>
      <c r="G503" s="239">
        <v>1350</v>
      </c>
      <c r="H503" s="239">
        <v>360</v>
      </c>
      <c r="I503" s="252">
        <v>130</v>
      </c>
      <c r="J503" s="241">
        <f t="shared" ref="J503" si="24">ROUND(I503*H503*G503/1000000,3)</f>
        <v>63.18</v>
      </c>
      <c r="K503" s="239">
        <f>K502</f>
        <v>15970</v>
      </c>
      <c r="L503" s="239">
        <f>L502</f>
        <v>16768.5</v>
      </c>
      <c r="M503" s="239"/>
      <c r="N503" s="253"/>
      <c r="O503" s="244"/>
      <c r="P503" s="245"/>
      <c r="Q503" s="246"/>
      <c r="R503" s="358"/>
      <c r="S503" s="359"/>
      <c r="T503" s="360"/>
      <c r="U503" s="359"/>
      <c r="V503" s="361"/>
    </row>
    <row r="504" spans="1:22" s="119" customFormat="1" ht="24.9" customHeight="1">
      <c r="A504" s="207">
        <v>1</v>
      </c>
      <c r="B504" s="323" t="s">
        <v>962</v>
      </c>
      <c r="C504" s="202" t="s">
        <v>963</v>
      </c>
      <c r="D504" s="207" t="s">
        <v>235</v>
      </c>
      <c r="E504" s="298">
        <v>1</v>
      </c>
      <c r="F504" s="207" t="s">
        <v>931</v>
      </c>
      <c r="G504" s="363"/>
      <c r="H504" s="363"/>
      <c r="I504" s="363"/>
      <c r="J504" s="356"/>
      <c r="K504" s="208">
        <v>15970</v>
      </c>
      <c r="L504" s="208">
        <v>16768.5</v>
      </c>
      <c r="M504" s="208" t="s">
        <v>935</v>
      </c>
      <c r="N504" s="217" t="s">
        <v>964</v>
      </c>
      <c r="O504" s="209"/>
      <c r="P504" s="25"/>
      <c r="Q504" s="303" t="s">
        <v>928</v>
      </c>
      <c r="R504" s="26"/>
      <c r="S504" s="27"/>
      <c r="T504" s="301"/>
      <c r="U504" s="27"/>
      <c r="V504" s="118"/>
    </row>
    <row r="505" spans="1:22" s="362" customFormat="1" ht="24.9" customHeight="1">
      <c r="A505" s="237"/>
      <c r="B505" s="235">
        <f>RIGHT(B504, 3)*1</f>
        <v>78</v>
      </c>
      <c r="C505" s="247" t="str">
        <f>C504</f>
        <v>Tube Bundle B1-E-66012</v>
      </c>
      <c r="D505" s="237"/>
      <c r="E505" s="238">
        <f t="shared" ref="E505" si="25">E504</f>
        <v>1</v>
      </c>
      <c r="F505" s="237"/>
      <c r="G505" s="239">
        <v>1350</v>
      </c>
      <c r="H505" s="239">
        <v>360</v>
      </c>
      <c r="I505" s="252">
        <v>130</v>
      </c>
      <c r="J505" s="241">
        <f t="shared" ref="J505" si="26">ROUND(I505*H505*G505/1000000,3)</f>
        <v>63.18</v>
      </c>
      <c r="K505" s="239">
        <f>K504</f>
        <v>15970</v>
      </c>
      <c r="L505" s="239">
        <f>L504</f>
        <v>16768.5</v>
      </c>
      <c r="M505" s="239"/>
      <c r="N505" s="253"/>
      <c r="O505" s="244"/>
      <c r="P505" s="245"/>
      <c r="Q505" s="246"/>
      <c r="R505" s="358"/>
      <c r="S505" s="359"/>
      <c r="T505" s="360"/>
      <c r="U505" s="359"/>
      <c r="V505" s="361"/>
    </row>
    <row r="506" spans="1:22" s="119" customFormat="1" ht="24.9" customHeight="1">
      <c r="A506" s="207">
        <v>1</v>
      </c>
      <c r="B506" s="323" t="s">
        <v>965</v>
      </c>
      <c r="C506" s="202" t="s">
        <v>966</v>
      </c>
      <c r="D506" s="207" t="s">
        <v>235</v>
      </c>
      <c r="E506" s="298">
        <v>1</v>
      </c>
      <c r="F506" s="207" t="s">
        <v>931</v>
      </c>
      <c r="G506" s="363"/>
      <c r="H506" s="363"/>
      <c r="I506" s="363"/>
      <c r="J506" s="356"/>
      <c r="K506" s="208">
        <v>15970</v>
      </c>
      <c r="L506" s="208">
        <v>16768.5</v>
      </c>
      <c r="M506" s="208" t="s">
        <v>935</v>
      </c>
      <c r="N506" s="217" t="s">
        <v>967</v>
      </c>
      <c r="O506" s="209"/>
      <c r="P506" s="25"/>
      <c r="Q506" s="303" t="s">
        <v>928</v>
      </c>
      <c r="R506" s="26"/>
      <c r="S506" s="27"/>
      <c r="T506" s="301"/>
      <c r="U506" s="27"/>
      <c r="V506" s="118"/>
    </row>
    <row r="507" spans="1:22" s="362" customFormat="1" ht="24.9" customHeight="1">
      <c r="A507" s="237"/>
      <c r="B507" s="235">
        <f>RIGHT(B506, 3)*1</f>
        <v>79</v>
      </c>
      <c r="C507" s="247" t="str">
        <f>C506</f>
        <v>Tube Bundle B2-E-66001</v>
      </c>
      <c r="D507" s="237"/>
      <c r="E507" s="238">
        <f t="shared" ref="E507" si="27">E506</f>
        <v>1</v>
      </c>
      <c r="F507" s="237"/>
      <c r="G507" s="239">
        <v>1350</v>
      </c>
      <c r="H507" s="239">
        <v>360</v>
      </c>
      <c r="I507" s="252">
        <v>130</v>
      </c>
      <c r="J507" s="241">
        <f t="shared" ref="J507" si="28">ROUND(I507*H507*G507/1000000,3)</f>
        <v>63.18</v>
      </c>
      <c r="K507" s="239">
        <f>K506</f>
        <v>15970</v>
      </c>
      <c r="L507" s="239">
        <f>L506</f>
        <v>16768.5</v>
      </c>
      <c r="M507" s="239"/>
      <c r="N507" s="253"/>
      <c r="O507" s="244"/>
      <c r="P507" s="245"/>
      <c r="Q507" s="246"/>
      <c r="R507" s="358"/>
      <c r="S507" s="359"/>
      <c r="T507" s="360"/>
      <c r="U507" s="359"/>
      <c r="V507" s="361"/>
    </row>
    <row r="508" spans="1:22" s="119" customFormat="1" ht="24.9" customHeight="1">
      <c r="A508" s="207">
        <v>1</v>
      </c>
      <c r="B508" s="323" t="s">
        <v>968</v>
      </c>
      <c r="C508" s="202" t="s">
        <v>969</v>
      </c>
      <c r="D508" s="207" t="s">
        <v>235</v>
      </c>
      <c r="E508" s="298">
        <v>1</v>
      </c>
      <c r="F508" s="207" t="s">
        <v>931</v>
      </c>
      <c r="G508" s="363"/>
      <c r="H508" s="363"/>
      <c r="I508" s="363"/>
      <c r="J508" s="356"/>
      <c r="K508" s="208">
        <v>15970</v>
      </c>
      <c r="L508" s="208">
        <v>16768.5</v>
      </c>
      <c r="M508" s="208" t="s">
        <v>935</v>
      </c>
      <c r="N508" s="217" t="s">
        <v>970</v>
      </c>
      <c r="O508" s="209"/>
      <c r="P508" s="25"/>
      <c r="Q508" s="303" t="s">
        <v>928</v>
      </c>
      <c r="R508" s="26"/>
      <c r="S508" s="27"/>
      <c r="T508" s="301"/>
      <c r="U508" s="27"/>
      <c r="V508" s="118"/>
    </row>
    <row r="509" spans="1:22" s="362" customFormat="1" ht="24.9" customHeight="1">
      <c r="A509" s="237"/>
      <c r="B509" s="235">
        <f>RIGHT(B508, 3)*1</f>
        <v>80</v>
      </c>
      <c r="C509" s="247" t="str">
        <f>C508</f>
        <v>Tube Bundle B2-E-66002</v>
      </c>
      <c r="D509" s="237"/>
      <c r="E509" s="238">
        <f t="shared" ref="E509" si="29">E508</f>
        <v>1</v>
      </c>
      <c r="F509" s="237"/>
      <c r="G509" s="239">
        <v>1350</v>
      </c>
      <c r="H509" s="239">
        <v>360</v>
      </c>
      <c r="I509" s="252">
        <v>130</v>
      </c>
      <c r="J509" s="241">
        <f t="shared" ref="J509" si="30">ROUND(I509*H509*G509/1000000,3)</f>
        <v>63.18</v>
      </c>
      <c r="K509" s="239">
        <f>K508</f>
        <v>15970</v>
      </c>
      <c r="L509" s="239">
        <f>L508</f>
        <v>16768.5</v>
      </c>
      <c r="M509" s="239"/>
      <c r="N509" s="253"/>
      <c r="O509" s="244"/>
      <c r="P509" s="245"/>
      <c r="Q509" s="246"/>
      <c r="R509" s="358"/>
      <c r="S509" s="359"/>
      <c r="T509" s="360"/>
      <c r="U509" s="359"/>
      <c r="V509" s="361"/>
    </row>
    <row r="510" spans="1:22" s="119" customFormat="1" ht="24.9" customHeight="1">
      <c r="A510" s="207">
        <v>1</v>
      </c>
      <c r="B510" s="323" t="s">
        <v>971</v>
      </c>
      <c r="C510" s="202" t="s">
        <v>972</v>
      </c>
      <c r="D510" s="207" t="s">
        <v>235</v>
      </c>
      <c r="E510" s="298">
        <v>1</v>
      </c>
      <c r="F510" s="207" t="s">
        <v>931</v>
      </c>
      <c r="G510" s="363"/>
      <c r="H510" s="363"/>
      <c r="I510" s="363"/>
      <c r="J510" s="356"/>
      <c r="K510" s="208">
        <v>15970</v>
      </c>
      <c r="L510" s="208">
        <v>16768.5</v>
      </c>
      <c r="M510" s="208" t="s">
        <v>935</v>
      </c>
      <c r="N510" s="217" t="s">
        <v>973</v>
      </c>
      <c r="O510" s="209"/>
      <c r="P510" s="25"/>
      <c r="Q510" s="303" t="s">
        <v>928</v>
      </c>
      <c r="R510" s="26"/>
      <c r="S510" s="27"/>
      <c r="T510" s="301"/>
      <c r="U510" s="27"/>
      <c r="V510" s="118"/>
    </row>
    <row r="511" spans="1:22" s="362" customFormat="1" ht="24.9" customHeight="1">
      <c r="A511" s="237"/>
      <c r="B511" s="235">
        <f>RIGHT(B510, 3)*1</f>
        <v>81</v>
      </c>
      <c r="C511" s="247" t="str">
        <f>C510</f>
        <v>Tube Bundle B2-E-66003</v>
      </c>
      <c r="D511" s="237"/>
      <c r="E511" s="238">
        <f t="shared" ref="E511" si="31">E510</f>
        <v>1</v>
      </c>
      <c r="F511" s="237"/>
      <c r="G511" s="239">
        <v>1350</v>
      </c>
      <c r="H511" s="239">
        <v>360</v>
      </c>
      <c r="I511" s="252">
        <v>130</v>
      </c>
      <c r="J511" s="241">
        <f t="shared" ref="J511" si="32">ROUND(I511*H511*G511/1000000,3)</f>
        <v>63.18</v>
      </c>
      <c r="K511" s="239">
        <f>K510</f>
        <v>15970</v>
      </c>
      <c r="L511" s="239">
        <f>L510</f>
        <v>16768.5</v>
      </c>
      <c r="M511" s="239"/>
      <c r="N511" s="253"/>
      <c r="O511" s="244"/>
      <c r="P511" s="245"/>
      <c r="Q511" s="246"/>
      <c r="R511" s="358"/>
      <c r="S511" s="359"/>
      <c r="T511" s="360"/>
      <c r="U511" s="359"/>
      <c r="V511" s="361"/>
    </row>
    <row r="512" spans="1:22" s="119" customFormat="1" ht="24.9" customHeight="1">
      <c r="A512" s="207">
        <v>1</v>
      </c>
      <c r="B512" s="323" t="s">
        <v>974</v>
      </c>
      <c r="C512" s="202" t="s">
        <v>975</v>
      </c>
      <c r="D512" s="207" t="s">
        <v>235</v>
      </c>
      <c r="E512" s="298">
        <v>1</v>
      </c>
      <c r="F512" s="207" t="s">
        <v>931</v>
      </c>
      <c r="G512" s="363"/>
      <c r="H512" s="363"/>
      <c r="I512" s="363"/>
      <c r="J512" s="356"/>
      <c r="K512" s="208">
        <v>15970</v>
      </c>
      <c r="L512" s="208">
        <v>16768.5</v>
      </c>
      <c r="M512" s="208" t="s">
        <v>935</v>
      </c>
      <c r="N512" s="217" t="s">
        <v>976</v>
      </c>
      <c r="O512" s="209"/>
      <c r="P512" s="25"/>
      <c r="Q512" s="303" t="s">
        <v>928</v>
      </c>
      <c r="R512" s="26"/>
      <c r="S512" s="27"/>
      <c r="T512" s="301"/>
      <c r="U512" s="27"/>
      <c r="V512" s="118"/>
    </row>
    <row r="513" spans="1:22" s="362" customFormat="1" ht="24.9" customHeight="1">
      <c r="A513" s="237"/>
      <c r="B513" s="235">
        <f>RIGHT(B512, 3)*1</f>
        <v>82</v>
      </c>
      <c r="C513" s="247" t="str">
        <f>C512</f>
        <v>Tube Bundle B2-E-66004</v>
      </c>
      <c r="D513" s="237"/>
      <c r="E513" s="238">
        <f t="shared" ref="E513" si="33">E512</f>
        <v>1</v>
      </c>
      <c r="F513" s="237"/>
      <c r="G513" s="239">
        <v>1350</v>
      </c>
      <c r="H513" s="239">
        <v>360</v>
      </c>
      <c r="I513" s="252">
        <v>130</v>
      </c>
      <c r="J513" s="241">
        <f t="shared" ref="J513" si="34">ROUND(I513*H513*G513/1000000,3)</f>
        <v>63.18</v>
      </c>
      <c r="K513" s="239">
        <f>K512</f>
        <v>15970</v>
      </c>
      <c r="L513" s="239">
        <f>L512</f>
        <v>16768.5</v>
      </c>
      <c r="M513" s="239"/>
      <c r="N513" s="253"/>
      <c r="O513" s="244"/>
      <c r="P513" s="245"/>
      <c r="Q513" s="246"/>
      <c r="R513" s="358"/>
      <c r="S513" s="359"/>
      <c r="T513" s="360"/>
      <c r="U513" s="359"/>
      <c r="V513" s="361"/>
    </row>
    <row r="514" spans="1:22" s="119" customFormat="1" ht="24.9" customHeight="1">
      <c r="A514" s="207">
        <v>1</v>
      </c>
      <c r="B514" s="323" t="s">
        <v>977</v>
      </c>
      <c r="C514" s="202" t="s">
        <v>978</v>
      </c>
      <c r="D514" s="207" t="s">
        <v>235</v>
      </c>
      <c r="E514" s="298">
        <v>1</v>
      </c>
      <c r="F514" s="207" t="s">
        <v>931</v>
      </c>
      <c r="G514" s="363"/>
      <c r="H514" s="363"/>
      <c r="I514" s="363"/>
      <c r="J514" s="356"/>
      <c r="K514" s="208">
        <v>15970</v>
      </c>
      <c r="L514" s="208">
        <v>16768.5</v>
      </c>
      <c r="M514" s="208" t="s">
        <v>935</v>
      </c>
      <c r="N514" s="217" t="s">
        <v>979</v>
      </c>
      <c r="O514" s="209"/>
      <c r="P514" s="25"/>
      <c r="Q514" s="303" t="s">
        <v>928</v>
      </c>
      <c r="R514" s="26"/>
      <c r="S514" s="27"/>
      <c r="T514" s="301"/>
      <c r="U514" s="27"/>
      <c r="V514" s="118"/>
    </row>
    <row r="515" spans="1:22" s="362" customFormat="1" ht="24.9" customHeight="1">
      <c r="A515" s="237"/>
      <c r="B515" s="235">
        <f>RIGHT(B514, 3)*1</f>
        <v>83</v>
      </c>
      <c r="C515" s="247" t="str">
        <f>C514</f>
        <v>Tube Bundle B2-E-66005</v>
      </c>
      <c r="D515" s="237"/>
      <c r="E515" s="238">
        <f t="shared" ref="E515" si="35">E514</f>
        <v>1</v>
      </c>
      <c r="F515" s="237"/>
      <c r="G515" s="239">
        <v>1350</v>
      </c>
      <c r="H515" s="239">
        <v>360</v>
      </c>
      <c r="I515" s="252">
        <v>130</v>
      </c>
      <c r="J515" s="241">
        <f t="shared" ref="J515" si="36">ROUND(I515*H515*G515/1000000,3)</f>
        <v>63.18</v>
      </c>
      <c r="K515" s="239">
        <f>K514</f>
        <v>15970</v>
      </c>
      <c r="L515" s="239">
        <f>L514</f>
        <v>16768.5</v>
      </c>
      <c r="M515" s="239"/>
      <c r="N515" s="253"/>
      <c r="O515" s="244"/>
      <c r="P515" s="245"/>
      <c r="Q515" s="246"/>
      <c r="R515" s="358"/>
      <c r="S515" s="359"/>
      <c r="T515" s="360"/>
      <c r="U515" s="359"/>
      <c r="V515" s="361"/>
    </row>
    <row r="516" spans="1:22" s="119" customFormat="1" ht="24.9" customHeight="1">
      <c r="A516" s="207">
        <v>1</v>
      </c>
      <c r="B516" s="323" t="s">
        <v>980</v>
      </c>
      <c r="C516" s="202" t="s">
        <v>981</v>
      </c>
      <c r="D516" s="207" t="s">
        <v>235</v>
      </c>
      <c r="E516" s="298">
        <v>1</v>
      </c>
      <c r="F516" s="207" t="s">
        <v>931</v>
      </c>
      <c r="G516" s="363"/>
      <c r="H516" s="363"/>
      <c r="I516" s="363"/>
      <c r="J516" s="356"/>
      <c r="K516" s="208">
        <v>15970</v>
      </c>
      <c r="L516" s="208">
        <v>16768.5</v>
      </c>
      <c r="M516" s="208" t="s">
        <v>935</v>
      </c>
      <c r="N516" s="217" t="s">
        <v>982</v>
      </c>
      <c r="O516" s="209"/>
      <c r="P516" s="25"/>
      <c r="Q516" s="303" t="s">
        <v>928</v>
      </c>
      <c r="R516" s="26"/>
      <c r="S516" s="27"/>
      <c r="T516" s="301"/>
      <c r="U516" s="27"/>
      <c r="V516" s="118"/>
    </row>
    <row r="517" spans="1:22" s="362" customFormat="1" ht="24.9" customHeight="1">
      <c r="A517" s="237"/>
      <c r="B517" s="235">
        <f>RIGHT(B516, 3)*1</f>
        <v>84</v>
      </c>
      <c r="C517" s="247" t="str">
        <f>C516</f>
        <v>Tube Bundle B2-E-66006</v>
      </c>
      <c r="D517" s="237"/>
      <c r="E517" s="238">
        <f t="shared" ref="E517" si="37">E516</f>
        <v>1</v>
      </c>
      <c r="F517" s="237"/>
      <c r="G517" s="239">
        <v>1350</v>
      </c>
      <c r="H517" s="239">
        <v>360</v>
      </c>
      <c r="I517" s="252">
        <v>130</v>
      </c>
      <c r="J517" s="241">
        <f t="shared" ref="J517" si="38">ROUND(I517*H517*G517/1000000,3)</f>
        <v>63.18</v>
      </c>
      <c r="K517" s="239">
        <f>K516</f>
        <v>15970</v>
      </c>
      <c r="L517" s="239">
        <f>L516</f>
        <v>16768.5</v>
      </c>
      <c r="M517" s="239"/>
      <c r="N517" s="253"/>
      <c r="O517" s="244"/>
      <c r="P517" s="245"/>
      <c r="Q517" s="246"/>
      <c r="R517" s="358"/>
      <c r="S517" s="359"/>
      <c r="T517" s="360"/>
      <c r="U517" s="359"/>
      <c r="V517" s="361"/>
    </row>
    <row r="518" spans="1:22" s="119" customFormat="1" ht="24.9" customHeight="1">
      <c r="A518" s="207">
        <v>1</v>
      </c>
      <c r="B518" s="323" t="s">
        <v>983</v>
      </c>
      <c r="C518" s="202" t="s">
        <v>984</v>
      </c>
      <c r="D518" s="207" t="s">
        <v>235</v>
      </c>
      <c r="E518" s="298">
        <v>1</v>
      </c>
      <c r="F518" s="207" t="s">
        <v>931</v>
      </c>
      <c r="G518" s="363"/>
      <c r="H518" s="363"/>
      <c r="I518" s="363"/>
      <c r="J518" s="356"/>
      <c r="K518" s="208">
        <v>15970</v>
      </c>
      <c r="L518" s="208">
        <v>16768.5</v>
      </c>
      <c r="M518" s="208" t="s">
        <v>935</v>
      </c>
      <c r="N518" s="217" t="s">
        <v>985</v>
      </c>
      <c r="O518" s="209"/>
      <c r="P518" s="25"/>
      <c r="Q518" s="303" t="s">
        <v>928</v>
      </c>
      <c r="R518" s="26"/>
      <c r="S518" s="27"/>
      <c r="T518" s="301"/>
      <c r="U518" s="27"/>
      <c r="V518" s="118"/>
    </row>
    <row r="519" spans="1:22" s="362" customFormat="1" ht="24.9" customHeight="1">
      <c r="A519" s="237"/>
      <c r="B519" s="235">
        <f>RIGHT(B518, 3)*1</f>
        <v>85</v>
      </c>
      <c r="C519" s="247" t="str">
        <f>C518</f>
        <v>Tube Bundle B2-E-66007</v>
      </c>
      <c r="D519" s="237"/>
      <c r="E519" s="238">
        <f t="shared" ref="E519" si="39">E518</f>
        <v>1</v>
      </c>
      <c r="F519" s="237"/>
      <c r="G519" s="239">
        <v>1350</v>
      </c>
      <c r="H519" s="239">
        <v>360</v>
      </c>
      <c r="I519" s="252">
        <v>130</v>
      </c>
      <c r="J519" s="241">
        <f t="shared" ref="J519" si="40">ROUND(I519*H519*G519/1000000,3)</f>
        <v>63.18</v>
      </c>
      <c r="K519" s="239">
        <f>K518</f>
        <v>15970</v>
      </c>
      <c r="L519" s="239">
        <f>L518</f>
        <v>16768.5</v>
      </c>
      <c r="M519" s="239"/>
      <c r="N519" s="253"/>
      <c r="O519" s="244"/>
      <c r="P519" s="245"/>
      <c r="Q519" s="246"/>
      <c r="R519" s="358"/>
      <c r="S519" s="359"/>
      <c r="T519" s="360"/>
      <c r="U519" s="359"/>
      <c r="V519" s="361"/>
    </row>
    <row r="520" spans="1:22" s="119" customFormat="1" ht="24.9" customHeight="1">
      <c r="A520" s="207">
        <v>1</v>
      </c>
      <c r="B520" s="323" t="s">
        <v>986</v>
      </c>
      <c r="C520" s="202" t="s">
        <v>987</v>
      </c>
      <c r="D520" s="207" t="s">
        <v>235</v>
      </c>
      <c r="E520" s="298">
        <v>1</v>
      </c>
      <c r="F520" s="207" t="s">
        <v>931</v>
      </c>
      <c r="G520" s="363"/>
      <c r="H520" s="363"/>
      <c r="I520" s="363"/>
      <c r="J520" s="356"/>
      <c r="K520" s="208">
        <v>15970</v>
      </c>
      <c r="L520" s="208">
        <v>16768.5</v>
      </c>
      <c r="M520" s="208" t="s">
        <v>935</v>
      </c>
      <c r="N520" s="217" t="s">
        <v>988</v>
      </c>
      <c r="O520" s="209"/>
      <c r="P520" s="25"/>
      <c r="Q520" s="303" t="s">
        <v>928</v>
      </c>
      <c r="R520" s="26"/>
      <c r="S520" s="27"/>
      <c r="T520" s="301"/>
      <c r="U520" s="27"/>
      <c r="V520" s="118"/>
    </row>
    <row r="521" spans="1:22" s="362" customFormat="1" ht="24.9" customHeight="1">
      <c r="A521" s="237"/>
      <c r="B521" s="235">
        <f>RIGHT(B520, 3)*1</f>
        <v>86</v>
      </c>
      <c r="C521" s="247" t="str">
        <f>C520</f>
        <v>Tube Bundle B2-E-66008</v>
      </c>
      <c r="D521" s="237"/>
      <c r="E521" s="238">
        <f t="shared" ref="E521" si="41">E520</f>
        <v>1</v>
      </c>
      <c r="F521" s="237"/>
      <c r="G521" s="239">
        <v>1350</v>
      </c>
      <c r="H521" s="239">
        <v>360</v>
      </c>
      <c r="I521" s="252">
        <v>130</v>
      </c>
      <c r="J521" s="241">
        <f t="shared" ref="J521" si="42">ROUND(I521*H521*G521/1000000,3)</f>
        <v>63.18</v>
      </c>
      <c r="K521" s="239">
        <f>K520</f>
        <v>15970</v>
      </c>
      <c r="L521" s="239">
        <f>L520</f>
        <v>16768.5</v>
      </c>
      <c r="M521" s="239"/>
      <c r="N521" s="253"/>
      <c r="O521" s="244"/>
      <c r="P521" s="245"/>
      <c r="Q521" s="246"/>
      <c r="R521" s="358"/>
      <c r="S521" s="359"/>
      <c r="T521" s="360"/>
      <c r="U521" s="359"/>
      <c r="V521" s="361"/>
    </row>
    <row r="522" spans="1:22" s="119" customFormat="1" ht="24.9" customHeight="1">
      <c r="A522" s="207">
        <v>1</v>
      </c>
      <c r="B522" s="323" t="s">
        <v>989</v>
      </c>
      <c r="C522" s="202" t="s">
        <v>990</v>
      </c>
      <c r="D522" s="207" t="s">
        <v>235</v>
      </c>
      <c r="E522" s="298">
        <v>1</v>
      </c>
      <c r="F522" s="207" t="s">
        <v>931</v>
      </c>
      <c r="G522" s="363"/>
      <c r="H522" s="363"/>
      <c r="I522" s="363"/>
      <c r="J522" s="356"/>
      <c r="K522" s="208">
        <v>15970</v>
      </c>
      <c r="L522" s="208">
        <v>16768.5</v>
      </c>
      <c r="M522" s="208" t="s">
        <v>935</v>
      </c>
      <c r="N522" s="217" t="s">
        <v>991</v>
      </c>
      <c r="O522" s="209"/>
      <c r="P522" s="25"/>
      <c r="Q522" s="303" t="s">
        <v>928</v>
      </c>
      <c r="R522" s="26"/>
      <c r="S522" s="27"/>
      <c r="T522" s="301"/>
      <c r="U522" s="27"/>
      <c r="V522" s="118"/>
    </row>
    <row r="523" spans="1:22" s="362" customFormat="1" ht="24.9" customHeight="1">
      <c r="A523" s="237"/>
      <c r="B523" s="235">
        <f>RIGHT(B522, 3)*1</f>
        <v>87</v>
      </c>
      <c r="C523" s="247" t="str">
        <f>C522</f>
        <v>Tube Bundle B2-E-66009</v>
      </c>
      <c r="D523" s="237"/>
      <c r="E523" s="238">
        <f t="shared" ref="E523" si="43">E522</f>
        <v>1</v>
      </c>
      <c r="F523" s="237"/>
      <c r="G523" s="239">
        <v>1350</v>
      </c>
      <c r="H523" s="239">
        <v>360</v>
      </c>
      <c r="I523" s="252">
        <v>130</v>
      </c>
      <c r="J523" s="241">
        <f t="shared" ref="J523" si="44">ROUND(I523*H523*G523/1000000,3)</f>
        <v>63.18</v>
      </c>
      <c r="K523" s="239">
        <f>K522</f>
        <v>15970</v>
      </c>
      <c r="L523" s="239">
        <f>L522</f>
        <v>16768.5</v>
      </c>
      <c r="M523" s="239"/>
      <c r="N523" s="253"/>
      <c r="O523" s="244"/>
      <c r="P523" s="245"/>
      <c r="Q523" s="246"/>
      <c r="R523" s="358"/>
      <c r="S523" s="359"/>
      <c r="T523" s="360"/>
      <c r="U523" s="359"/>
      <c r="V523" s="361"/>
    </row>
    <row r="524" spans="1:22" s="119" customFormat="1" ht="24.9" customHeight="1">
      <c r="A524" s="296">
        <v>1</v>
      </c>
      <c r="B524" s="323" t="s">
        <v>992</v>
      </c>
      <c r="C524" s="202" t="s">
        <v>993</v>
      </c>
      <c r="D524" s="207" t="s">
        <v>235</v>
      </c>
      <c r="E524" s="298">
        <v>1</v>
      </c>
      <c r="F524" s="207" t="s">
        <v>931</v>
      </c>
      <c r="G524" s="363"/>
      <c r="H524" s="363"/>
      <c r="I524" s="363"/>
      <c r="J524" s="356"/>
      <c r="K524" s="208">
        <v>15970</v>
      </c>
      <c r="L524" s="208">
        <v>16768.5</v>
      </c>
      <c r="M524" s="208" t="s">
        <v>935</v>
      </c>
      <c r="N524" s="217" t="s">
        <v>994</v>
      </c>
      <c r="O524" s="209"/>
      <c r="P524" s="25"/>
      <c r="Q524" s="303" t="s">
        <v>928</v>
      </c>
      <c r="R524" s="26"/>
      <c r="S524" s="27"/>
      <c r="T524" s="301"/>
      <c r="U524" s="27"/>
      <c r="V524" s="118"/>
    </row>
    <row r="525" spans="1:22" s="362" customFormat="1" ht="24.9" customHeight="1">
      <c r="A525" s="234"/>
      <c r="B525" s="235">
        <f>RIGHT(B524, 3)*1</f>
        <v>88</v>
      </c>
      <c r="C525" s="247" t="str">
        <f>C524</f>
        <v>Tube Bundle B2-E-66010</v>
      </c>
      <c r="D525" s="237"/>
      <c r="E525" s="238">
        <f t="shared" ref="E525" si="45">E524</f>
        <v>1</v>
      </c>
      <c r="F525" s="237"/>
      <c r="G525" s="239">
        <v>1350</v>
      </c>
      <c r="H525" s="239">
        <v>360</v>
      </c>
      <c r="I525" s="252">
        <v>130</v>
      </c>
      <c r="J525" s="241">
        <f t="shared" ref="J525" si="46">ROUND(I525*H525*G525/1000000,3)</f>
        <v>63.18</v>
      </c>
      <c r="K525" s="239">
        <f>K524</f>
        <v>15970</v>
      </c>
      <c r="L525" s="239">
        <f>L524</f>
        <v>16768.5</v>
      </c>
      <c r="M525" s="239"/>
      <c r="N525" s="253"/>
      <c r="O525" s="244"/>
      <c r="P525" s="245"/>
      <c r="Q525" s="246"/>
      <c r="R525" s="358"/>
      <c r="S525" s="359"/>
      <c r="T525" s="360"/>
      <c r="U525" s="359"/>
      <c r="V525" s="361"/>
    </row>
    <row r="526" spans="1:22" s="119" customFormat="1" ht="24.9" customHeight="1">
      <c r="A526" s="296">
        <v>1</v>
      </c>
      <c r="B526" s="323" t="s">
        <v>995</v>
      </c>
      <c r="C526" s="202" t="s">
        <v>996</v>
      </c>
      <c r="D526" s="207" t="s">
        <v>235</v>
      </c>
      <c r="E526" s="298">
        <v>1</v>
      </c>
      <c r="F526" s="207" t="s">
        <v>931</v>
      </c>
      <c r="G526" s="363"/>
      <c r="H526" s="363"/>
      <c r="I526" s="363"/>
      <c r="J526" s="356"/>
      <c r="K526" s="208">
        <v>15970</v>
      </c>
      <c r="L526" s="208">
        <v>16768.5</v>
      </c>
      <c r="M526" s="208" t="s">
        <v>935</v>
      </c>
      <c r="N526" s="217" t="s">
        <v>997</v>
      </c>
      <c r="O526" s="209"/>
      <c r="P526" s="25"/>
      <c r="Q526" s="303" t="s">
        <v>928</v>
      </c>
      <c r="R526" s="26"/>
      <c r="S526" s="27"/>
      <c r="T526" s="301"/>
      <c r="U526" s="27"/>
      <c r="V526" s="118"/>
    </row>
    <row r="527" spans="1:22" s="362" customFormat="1" ht="24.9" customHeight="1">
      <c r="A527" s="234"/>
      <c r="B527" s="235">
        <f>RIGHT(B526, 3)*1</f>
        <v>89</v>
      </c>
      <c r="C527" s="247" t="str">
        <f>C526</f>
        <v>Tube Bundle B2-E-66011</v>
      </c>
      <c r="D527" s="237"/>
      <c r="E527" s="238">
        <f t="shared" ref="E527" si="47">E526</f>
        <v>1</v>
      </c>
      <c r="F527" s="237"/>
      <c r="G527" s="239">
        <v>1350</v>
      </c>
      <c r="H527" s="239">
        <v>360</v>
      </c>
      <c r="I527" s="252">
        <v>130</v>
      </c>
      <c r="J527" s="241">
        <f t="shared" ref="J527" si="48">ROUND(I527*H527*G527/1000000,3)</f>
        <v>63.18</v>
      </c>
      <c r="K527" s="239">
        <f>K526</f>
        <v>15970</v>
      </c>
      <c r="L527" s="239">
        <f>L526</f>
        <v>16768.5</v>
      </c>
      <c r="M527" s="239"/>
      <c r="N527" s="253"/>
      <c r="O527" s="244"/>
      <c r="P527" s="245"/>
      <c r="Q527" s="246"/>
      <c r="R527" s="358"/>
      <c r="S527" s="359"/>
      <c r="T527" s="360"/>
      <c r="U527" s="359"/>
      <c r="V527" s="361"/>
    </row>
    <row r="528" spans="1:22" s="119" customFormat="1" ht="24.9" customHeight="1">
      <c r="A528" s="296">
        <v>1</v>
      </c>
      <c r="B528" s="323" t="s">
        <v>998</v>
      </c>
      <c r="C528" s="202" t="s">
        <v>999</v>
      </c>
      <c r="D528" s="207" t="s">
        <v>235</v>
      </c>
      <c r="E528" s="298">
        <v>1</v>
      </c>
      <c r="F528" s="207" t="s">
        <v>931</v>
      </c>
      <c r="G528" s="363"/>
      <c r="H528" s="363"/>
      <c r="I528" s="363"/>
      <c r="J528" s="356"/>
      <c r="K528" s="208">
        <v>15970</v>
      </c>
      <c r="L528" s="208">
        <v>16768.5</v>
      </c>
      <c r="M528" s="208" t="s">
        <v>935</v>
      </c>
      <c r="N528" s="217" t="s">
        <v>1000</v>
      </c>
      <c r="O528" s="209"/>
      <c r="P528" s="25"/>
      <c r="Q528" s="303" t="s">
        <v>928</v>
      </c>
      <c r="R528" s="26"/>
      <c r="S528" s="27"/>
      <c r="T528" s="301"/>
      <c r="U528" s="27"/>
      <c r="V528" s="118"/>
    </row>
    <row r="529" spans="1:22" s="362" customFormat="1" ht="24.9" customHeight="1" thickBot="1">
      <c r="A529" s="234"/>
      <c r="B529" s="235">
        <f>RIGHT(B528, 3)*1</f>
        <v>90</v>
      </c>
      <c r="C529" s="247" t="str">
        <f>C528</f>
        <v>Tube Bundle B2-E-66012</v>
      </c>
      <c r="D529" s="237"/>
      <c r="E529" s="238">
        <f t="shared" ref="E529" si="49">E528</f>
        <v>1</v>
      </c>
      <c r="F529" s="237"/>
      <c r="G529" s="239">
        <v>1350</v>
      </c>
      <c r="H529" s="239">
        <v>360</v>
      </c>
      <c r="I529" s="252">
        <v>130</v>
      </c>
      <c r="J529" s="241">
        <f t="shared" ref="J529" si="50">ROUND(I529*H529*G529/1000000,3)</f>
        <v>63.18</v>
      </c>
      <c r="K529" s="239">
        <f>K528</f>
        <v>15970</v>
      </c>
      <c r="L529" s="239">
        <f>L528</f>
        <v>16768.5</v>
      </c>
      <c r="M529" s="239"/>
      <c r="N529" s="253"/>
      <c r="O529" s="244"/>
      <c r="P529" s="245"/>
      <c r="Q529" s="246"/>
      <c r="R529" s="358"/>
      <c r="S529" s="359"/>
      <c r="T529" s="360"/>
      <c r="U529" s="359"/>
      <c r="V529" s="361"/>
    </row>
    <row r="530" spans="1:22" s="338" customFormat="1" ht="24.9" customHeight="1" thickBot="1">
      <c r="A530" s="324"/>
      <c r="B530" s="325"/>
      <c r="C530" s="326" t="s">
        <v>1001</v>
      </c>
      <c r="D530" s="324"/>
      <c r="E530" s="327"/>
      <c r="F530" s="324"/>
      <c r="G530" s="328"/>
      <c r="H530" s="328"/>
      <c r="I530" s="329"/>
      <c r="J530" s="330">
        <f>SUM(J14:J477)</f>
        <v>984.85300000000007</v>
      </c>
      <c r="K530" s="330">
        <f>K529+K527+K525+K523+K521+K519+K515+K517+K513+K511+K509+K507+K505+K503+K501+K499+K497+K495+K493+K491+K489+K487+K485+K483+K481+K477+K475+K471+K443+K411+K386+K473+K379+K368+K361+K355+K349+K343+K337+K334+K329+K324+K316+K310+K306+K304+K298+K296+K294+K292+K288+K284+K274+K271+K260+K255+K248+K237+K229+K220+K210+K185+K180+K173+K167+K157+K151+K145+K140+K133+K129+K124+K119+K111+K105+K101+K99+K93+K91+K89+K87+K83+K79+K69+K66+K55+K49+K41+K32+K23</f>
        <v>583226.57142857148</v>
      </c>
      <c r="L530" s="330">
        <f>L529+L527+L525+L523+L521+L519+L515+L517+L513+L511+L509+L507+L505+L503+L501+L499+L497+L495+L493+L491+L489+L487+L485+L483+L481+L477+L475+L471+L443+L411+L386+L473+L379+L368+L361+L355+L349+L343+L337+L334+L329+L324+L316+L310+L306+L304+L298+L296+L294+L292+L288+L284+L274+L271+L260+L255+L248+L237+L229+L220+L210+L185+L180+L173+L167+L157+L151+L145+L140+L133+L129+L124+L119+L111+L105+L101+L99+L93+L91+L89+L87+L83+L79+L69+L66+L55+L49+L41+L32+L23</f>
        <v>609390.57142857148</v>
      </c>
      <c r="M530" s="328"/>
      <c r="N530" s="331"/>
      <c r="O530" s="332"/>
      <c r="P530" s="326"/>
      <c r="Q530" s="333"/>
      <c r="R530" s="334"/>
      <c r="S530" s="335"/>
      <c r="T530" s="336"/>
      <c r="U530" s="335"/>
      <c r="V530" s="337"/>
    </row>
  </sheetData>
  <protectedRanges>
    <protectedRange sqref="AB32:AI32 E16 Q23 K15:L16 N32:P32 L32 U20:Z20 E20 U32:Z32 G24:H25 K24:L25 D24:E25 N24:Q25 D14 J20:L20 D16:D18 G19:H20 N19:Q20 D19:E19 K19:L19 N15:Q16 D15:E15 G15:H16 AB20:AI20 D20:D23 D26:D27 U29:Z29 E29 J29:L29 G28:H29 N28:Q29 D28:E28 K28:L28 AB29:AI29 D474 D29:D210" name="범위1_1"/>
    <protectedRange sqref="J24:J25 J19 J15:J16 J28" name="범위1_1_1"/>
    <protectedRange sqref="F210 F474 F14:F185" name="범위1_1_2"/>
    <protectedRange sqref="M23 M134 M97 M164 M121 M76 M128 M145:M146 M35 M153:M158 M60:M65 M160 M105 M123 M99 M84:M85 M178 M101 M184 M131 M148:M149 M25:M26 M16:M17 M141 M80:M81 M167:M168 M88:M94 M56:M57 M103 M126 M109:M111 M116" name="범위1_1_3"/>
    <protectedRange sqref="M19 M162 M77 M122 M102 M79 M59 M165 M98 M83 M14 M112:M113 M159 M87 M104 M118 M52:M53 M147 M150:M152 M135:M139 M142:M144 M130 M55 M37:M38 M32 M43 M45:M46 M40:M41 M49 M185 M169:M175 M180 M127 M66:M68 M106 M28 M70:M75" name="범위1_1_4"/>
    <protectedRange sqref="M15 M140 M176:M177 M50:M51 M58 M95:M96 M161 M163 M181:M183 M36 M100 M69 M179 M82 M78 M166 M24 M18 M114:M115 M86 M132:M133 M119:M120 M33:M34 M44 M39 M54 M42 M47:M48 M117 M124:M125 M29:M31 M474 M129 M20:M22 M27 M107:M108" name="범위1_1_5"/>
    <protectedRange sqref="J210 J23 J32 J41 J55 J66 J69 J180 J79 J83 J87 J89 J91 J93 J99 J101 J105 J49 J160 J133 J157 J124 J119 J140 J145 J151 J111 J185 J173 J167 J129" name="범위1_1_6"/>
    <protectedRange sqref="N229:P229 Q220 L229 U217:Z217 U229:Z229 E217 G216:H217 D211 N212:Q213 K212:L213 G212:H213 D212:E213 D221:E222 D214:D215 K216:L217 N221:Q222 K221:L222 G221:H222 D216:E216 N216:Q217 AB229:AI229 J217 D217:D220 D223:D224 AB217:AI217 U226:Z226 E226 G225:H226 K225:L226 D225:E225 N225:Q226 J226 AB226:AI226 D476 D226:D410 D478" name="범위1_1_7"/>
    <protectedRange sqref="J212:J213 J221:J222 J216 J225" name="범위1_1_1_1"/>
    <protectedRange sqref="F476 F211:F386 F478 F480" name="범위1_1_2_1"/>
    <protectedRange sqref="M220 M239 M321 M338 M326 M333 M356 M376 M360:M362 M281 M371 M308 M328 M289:M290 M384 M263:M270 M259 M335 M368:M369 M222:M223 M213 M215 M358 M351:M354 M349 M344 M285:M286 M248 M293:M299 M303:M304 M306 M310 M331 M314:M316" name="범위1_1_3_1"/>
    <protectedRange sqref="M216 M374 M282 M327 M260:M261 M307 M350 M288 M211 M317:M318 M355 M284 M292 M311 M309 M323 M302 M357 M359 M336 M339:M342 M345:M348 M363:M367 M255 M370 M377 M229 M233:M234 M236:M237 M240 M242:M245 M252 M379:M381 M386 M225 M332 M275:M280 M271:M273" name="범위1_1_4_1"/>
    <protectedRange sqref="M343 M382:M383 M249:M251 M224 M217:M219 M226:M228 M337 M375 M241 M262 M305 M385 M287 M334 M283 M378 M300:M301 M212 M221 M214 M291 M324:M325 M372:M373 M230:M232 M235 M253:M254 M246:M247 M238 M274 M256:M258 M322 M329:M330 M319:M320 M476 M312:M313 M478:M480" name="범위1_1_5_1"/>
    <protectedRange sqref="J220 J361 J229 J271 J260 J316 J288 J294 J292 J296 J324 J310 J337 J329 J304 J284 J298 J306 J343 J349 J355 J274 J368 J379 J237 J255 J334 J371 J248 J386 J411" name="범위1_1_6_1"/>
    <protectedRange sqref="F412:F473 F475 F477 F479 F481" name="범위1_1_2_2"/>
    <protectedRange sqref="F530" name="범위1_1_2_3"/>
    <protectedRange sqref="D482:D483" name="범위1_1_7_1"/>
    <protectedRange sqref="F482:F483" name="범위1_1_2_1_1"/>
    <protectedRange sqref="M484:M485 M488:M489 M492 M496:M497 M500:M501 M504:M505 M508:M509 M512:M513 M516:M517 M520:M521 M524:M525 M528:M529 U490:Z493 AB490:AI493 D484:D529 O484:P493" name="범위1_1_8"/>
    <protectedRange sqref="J483 J485 J487 J489 J491 J493 J495 J497 J499 J501 J503 J505 J507 J509 J511 J513 J515 J517 J519 J521 J523 J525 J527 J529" name="범위1_1_8_1"/>
  </protectedRanges>
  <autoFilter ref="A13:AD532" xr:uid="{00000000-0009-0000-0000-000004000000}"/>
  <mergeCells count="14">
    <mergeCell ref="N12:N13"/>
    <mergeCell ref="O12:O13"/>
    <mergeCell ref="P12:P13"/>
    <mergeCell ref="Q12:Q13"/>
    <mergeCell ref="A6:Q6"/>
    <mergeCell ref="A12:A13"/>
    <mergeCell ref="B12:B13"/>
    <mergeCell ref="C12:C13"/>
    <mergeCell ref="D12:D13"/>
    <mergeCell ref="E12:F12"/>
    <mergeCell ref="G12:J12"/>
    <mergeCell ref="K12:K13"/>
    <mergeCell ref="L12:L13"/>
    <mergeCell ref="M12:M13"/>
  </mergeCells>
  <phoneticPr fontId="3" type="noConversion"/>
  <conditionalFormatting sqref="R412:R442">
    <cfRule type="uniqueValues" dxfId="5" priority="6"/>
  </conditionalFormatting>
  <conditionalFormatting sqref="R444:R470">
    <cfRule type="uniqueValues" dxfId="4" priority="5"/>
  </conditionalFormatting>
  <conditionalFormatting sqref="R476">
    <cfRule type="uniqueValues" dxfId="3" priority="4"/>
  </conditionalFormatting>
  <conditionalFormatting sqref="R478">
    <cfRule type="uniqueValues" dxfId="2" priority="1"/>
  </conditionalFormatting>
  <conditionalFormatting sqref="R479">
    <cfRule type="uniqueValues" dxfId="1" priority="2"/>
  </conditionalFormatting>
  <conditionalFormatting sqref="R480">
    <cfRule type="uniqueValues" dxfId="0" priority="3"/>
  </conditionalFormatting>
  <printOptions horizontalCentered="1"/>
  <pageMargins left="0.39370078740157483" right="0.39370078740157483" top="0.19685039370078741" bottom="0.19685039370078741" header="0.23622047244094491" footer="0"/>
  <pageSetup paperSize="9" scale="37" fitToHeight="0" orientation="landscape" horizontalDpi="1200" verticalDpi="1200" r:id="rId1"/>
  <headerFooter alignWithMargins="0">
    <oddFooter xml:space="preserve">&amp;C&amp;"Calibri,보통"&amp;12Doosan Enerbility&amp;R_x000D_&amp;1#&amp;"Aptos"&amp;8&amp;K000000 중요비(Confidential): sanghwan.bae@doosan.com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00B0F0"/>
    <pageSetUpPr fitToPage="1"/>
  </sheetPr>
  <dimension ref="A1:AD800"/>
  <sheetViews>
    <sheetView tabSelected="1" view="pageBreakPreview" topLeftCell="A409" zoomScale="70" zoomScaleNormal="70" zoomScaleSheetLayoutView="70" workbookViewId="0">
      <selection activeCell="B474" sqref="B474"/>
    </sheetView>
  </sheetViews>
  <sheetFormatPr defaultColWidth="10" defaultRowHeight="13.8"/>
  <cols>
    <col min="1" max="1" width="18.5" style="36" customWidth="1"/>
    <col min="2" max="2" width="32.5" style="37" customWidth="1"/>
    <col min="3" max="3" width="73.3984375" style="36" customWidth="1"/>
    <col min="4" max="4" width="21.09765625" style="11" customWidth="1"/>
    <col min="5" max="5" width="11.59765625" style="339" customWidth="1"/>
    <col min="6" max="6" width="13.5" style="37" customWidth="1"/>
    <col min="7" max="7" width="11.5" style="340" customWidth="1"/>
    <col min="8" max="9" width="11.5" style="340" bestFit="1" customWidth="1"/>
    <col min="10" max="10" width="11.59765625" style="340" customWidth="1"/>
    <col min="11" max="11" width="15.09765625" style="340" customWidth="1"/>
    <col min="12" max="12" width="16.09765625" style="340" customWidth="1"/>
    <col min="13" max="13" width="27.19921875" style="340" customWidth="1"/>
    <col min="14" max="14" width="20.8984375" style="341" customWidth="1"/>
    <col min="15" max="15" width="39" style="342" bestFit="1" customWidth="1"/>
    <col min="16" max="16" width="17.59765625" style="38" customWidth="1"/>
    <col min="17" max="17" width="24.3984375" style="343" customWidth="1"/>
    <col min="18" max="18" width="9.5" style="11" bestFit="1" customWidth="1"/>
    <col min="19" max="19" width="20" style="11" bestFit="1" customWidth="1"/>
    <col min="20" max="20" width="28" style="11" customWidth="1"/>
    <col min="21" max="22" width="10" style="12"/>
    <col min="23" max="16384" width="10" style="13"/>
  </cols>
  <sheetData>
    <row r="1" spans="1:22" s="8" customFormat="1" ht="12">
      <c r="A1" s="5"/>
      <c r="B1" s="7"/>
      <c r="C1" s="5"/>
      <c r="D1" s="6"/>
      <c r="E1" s="270"/>
      <c r="F1" s="7"/>
      <c r="G1" s="271"/>
      <c r="H1" s="272"/>
      <c r="I1" s="272"/>
      <c r="J1" s="272"/>
      <c r="K1" s="273"/>
      <c r="L1" s="272"/>
      <c r="M1" s="272"/>
      <c r="N1" s="274"/>
      <c r="O1" s="5"/>
      <c r="P1" s="9" t="s">
        <v>219</v>
      </c>
      <c r="Q1" s="275"/>
      <c r="R1" s="6"/>
      <c r="S1" s="5"/>
      <c r="T1" s="6"/>
      <c r="U1" s="10"/>
      <c r="V1" s="10"/>
    </row>
    <row r="2" spans="1:22" s="8" customFormat="1" ht="12">
      <c r="A2" s="5"/>
      <c r="B2" s="7"/>
      <c r="C2" s="5"/>
      <c r="D2" s="6"/>
      <c r="E2" s="270"/>
      <c r="F2" s="7"/>
      <c r="G2" s="271"/>
      <c r="H2" s="272"/>
      <c r="I2" s="272"/>
      <c r="J2" s="272"/>
      <c r="K2" s="273"/>
      <c r="L2" s="272"/>
      <c r="M2" s="272"/>
      <c r="N2" s="274"/>
      <c r="O2" s="5"/>
      <c r="P2" s="9" t="s">
        <v>1</v>
      </c>
      <c r="Q2" s="275"/>
      <c r="R2" s="276" t="s">
        <v>177</v>
      </c>
      <c r="S2" s="277" t="s">
        <v>175</v>
      </c>
      <c r="T2" s="278"/>
      <c r="U2" s="10"/>
      <c r="V2" s="10"/>
    </row>
    <row r="3" spans="1:22" s="8" customFormat="1" ht="12">
      <c r="A3" s="5"/>
      <c r="B3" s="7"/>
      <c r="C3" s="5"/>
      <c r="D3" s="6"/>
      <c r="E3" s="270"/>
      <c r="F3" s="7"/>
      <c r="G3" s="271"/>
      <c r="H3" s="272"/>
      <c r="I3" s="272"/>
      <c r="J3" s="272"/>
      <c r="K3" s="273"/>
      <c r="L3" s="272"/>
      <c r="M3" s="272"/>
      <c r="N3" s="274"/>
      <c r="O3" s="5"/>
      <c r="P3" s="9" t="s">
        <v>2</v>
      </c>
      <c r="Q3" s="275"/>
      <c r="R3" s="6"/>
      <c r="S3" s="277" t="s">
        <v>178</v>
      </c>
      <c r="T3" s="278"/>
      <c r="U3" s="10"/>
      <c r="V3" s="10"/>
    </row>
    <row r="4" spans="1:22" s="8" customFormat="1" ht="12">
      <c r="A4" s="5"/>
      <c r="B4" s="7"/>
      <c r="C4" s="5"/>
      <c r="D4" s="6"/>
      <c r="E4" s="270"/>
      <c r="F4" s="7"/>
      <c r="G4" s="271"/>
      <c r="H4" s="272"/>
      <c r="I4" s="272"/>
      <c r="J4" s="272"/>
      <c r="K4" s="273"/>
      <c r="L4" s="272"/>
      <c r="M4" s="272"/>
      <c r="N4" s="274"/>
      <c r="O4" s="5"/>
      <c r="P4" s="9" t="s">
        <v>3</v>
      </c>
      <c r="Q4" s="275"/>
      <c r="R4" s="6"/>
      <c r="S4" s="277" t="s">
        <v>180</v>
      </c>
      <c r="T4" s="278"/>
      <c r="U4" s="10"/>
      <c r="V4" s="10"/>
    </row>
    <row r="5" spans="1:22" s="8" customFormat="1" ht="12">
      <c r="A5" s="5"/>
      <c r="B5" s="7"/>
      <c r="C5" s="5"/>
      <c r="D5" s="6"/>
      <c r="E5" s="270"/>
      <c r="F5" s="7"/>
      <c r="G5" s="271"/>
      <c r="H5" s="272"/>
      <c r="I5" s="272"/>
      <c r="J5" s="272"/>
      <c r="K5" s="273"/>
      <c r="L5" s="272"/>
      <c r="M5" s="272"/>
      <c r="N5" s="274"/>
      <c r="O5" s="5"/>
      <c r="P5" s="9" t="s">
        <v>4</v>
      </c>
      <c r="Q5" s="275"/>
      <c r="R5" s="6"/>
      <c r="S5" s="277" t="s">
        <v>182</v>
      </c>
      <c r="T5" s="278"/>
      <c r="U5" s="10"/>
      <c r="V5" s="10"/>
    </row>
    <row r="6" spans="1:22" ht="47.4" customHeight="1">
      <c r="A6" s="533" t="s">
        <v>220</v>
      </c>
      <c r="B6" s="481"/>
      <c r="C6" s="481"/>
      <c r="D6" s="481"/>
      <c r="E6" s="481"/>
      <c r="F6" s="481"/>
      <c r="G6" s="481"/>
      <c r="H6" s="481"/>
      <c r="I6" s="481"/>
      <c r="J6" s="481"/>
      <c r="K6" s="481"/>
      <c r="L6" s="481"/>
      <c r="M6" s="481"/>
      <c r="N6" s="481"/>
      <c r="O6" s="481"/>
      <c r="P6" s="481"/>
      <c r="Q6" s="481"/>
    </row>
    <row r="7" spans="1:22" ht="21" customHeight="1">
      <c r="A7" s="161" t="s">
        <v>185</v>
      </c>
      <c r="B7" s="366" t="s">
        <v>186</v>
      </c>
      <c r="C7" s="162"/>
      <c r="D7" s="162"/>
      <c r="E7" s="279"/>
      <c r="F7" s="162"/>
      <c r="G7" s="139"/>
      <c r="H7" s="139"/>
      <c r="I7" s="139"/>
      <c r="J7" s="280"/>
      <c r="K7" s="280"/>
      <c r="L7" s="280"/>
      <c r="M7" s="139"/>
      <c r="N7" s="281"/>
      <c r="O7" s="139"/>
      <c r="P7" s="139"/>
      <c r="Q7" s="282"/>
      <c r="S7" s="12"/>
      <c r="T7" s="12"/>
      <c r="U7" s="13"/>
      <c r="V7" s="13"/>
    </row>
    <row r="8" spans="1:22" ht="21" customHeight="1">
      <c r="A8" s="161"/>
      <c r="B8" s="366" t="s">
        <v>187</v>
      </c>
      <c r="C8" s="162"/>
      <c r="D8" s="162"/>
      <c r="E8" s="279"/>
      <c r="F8" s="162"/>
      <c r="G8" s="139"/>
      <c r="H8" s="139"/>
      <c r="I8" s="139"/>
      <c r="J8" s="280"/>
      <c r="K8" s="280"/>
      <c r="L8" s="280"/>
      <c r="M8" s="139"/>
      <c r="N8" s="281"/>
      <c r="O8" s="139"/>
      <c r="P8" s="139"/>
      <c r="Q8" s="282"/>
      <c r="S8" s="12"/>
      <c r="T8" s="12"/>
      <c r="U8" s="13"/>
      <c r="V8" s="13"/>
    </row>
    <row r="9" spans="1:22" s="20" customFormat="1" ht="21" customHeight="1" thickBot="1">
      <c r="A9" s="161" t="s">
        <v>188</v>
      </c>
      <c r="B9" s="373" t="str">
        <f>PL!V8</f>
        <v>PGU-DE-0139-001</v>
      </c>
      <c r="C9" s="161"/>
      <c r="D9" s="163"/>
      <c r="E9" s="283"/>
      <c r="F9" s="284"/>
      <c r="G9" s="16"/>
      <c r="H9" s="285"/>
      <c r="I9" s="285"/>
      <c r="J9" s="285"/>
      <c r="K9" s="286"/>
      <c r="L9" s="285"/>
      <c r="M9" s="285"/>
      <c r="N9" s="287"/>
      <c r="O9" s="18"/>
      <c r="P9" s="18"/>
      <c r="Q9" s="288"/>
      <c r="R9" s="15"/>
      <c r="S9" s="19"/>
      <c r="T9" s="19"/>
    </row>
    <row r="10" spans="1:22" s="20" customFormat="1" ht="21" hidden="1" customHeight="1">
      <c r="A10" s="191" t="s">
        <v>189</v>
      </c>
      <c r="B10" s="164" t="str">
        <f>PL!B13</f>
        <v>Branch of JSC "Doosan Enerbility" in the Turkestan region</v>
      </c>
      <c r="C10" s="164"/>
      <c r="D10" s="290"/>
      <c r="E10" s="369"/>
      <c r="F10" s="231"/>
      <c r="G10" s="16"/>
      <c r="H10" s="39"/>
      <c r="I10" s="39"/>
      <c r="J10" s="39"/>
      <c r="K10" s="120"/>
      <c r="L10" s="39"/>
      <c r="M10" s="39"/>
      <c r="N10" s="223"/>
      <c r="O10" s="18"/>
      <c r="P10" s="18"/>
      <c r="Q10" s="15"/>
      <c r="R10" s="15"/>
      <c r="S10" s="19"/>
      <c r="T10" s="19"/>
    </row>
    <row r="11" spans="1:22" s="20" customFormat="1" ht="21" hidden="1" customHeight="1" thickBot="1">
      <c r="A11" s="192" t="s">
        <v>190</v>
      </c>
      <c r="B11" s="165" t="s">
        <v>191</v>
      </c>
      <c r="C11" s="193"/>
      <c r="D11" s="194"/>
      <c r="E11" s="370"/>
      <c r="F11" s="371"/>
      <c r="G11" s="372"/>
      <c r="H11" s="39"/>
      <c r="I11" s="39"/>
      <c r="J11" s="39"/>
      <c r="K11" s="120"/>
      <c r="L11" s="39"/>
      <c r="M11" s="39"/>
      <c r="N11" s="223"/>
      <c r="O11" s="18"/>
      <c r="P11" s="18"/>
      <c r="Q11" s="15"/>
      <c r="R11" s="15"/>
      <c r="S11" s="19"/>
      <c r="T11" s="19"/>
    </row>
    <row r="12" spans="1:22" s="294" customFormat="1" ht="23.4" customHeight="1">
      <c r="A12" s="567" t="s">
        <v>192</v>
      </c>
      <c r="B12" s="569" t="s">
        <v>221</v>
      </c>
      <c r="C12" s="569" t="s">
        <v>195</v>
      </c>
      <c r="D12" s="569" t="s">
        <v>222</v>
      </c>
      <c r="E12" s="587" t="s">
        <v>223</v>
      </c>
      <c r="F12" s="574"/>
      <c r="G12" s="588" t="s">
        <v>198</v>
      </c>
      <c r="H12" s="588"/>
      <c r="I12" s="588"/>
      <c r="J12" s="589"/>
      <c r="K12" s="577" t="s">
        <v>199</v>
      </c>
      <c r="L12" s="577" t="s">
        <v>200</v>
      </c>
      <c r="M12" s="577" t="s">
        <v>224</v>
      </c>
      <c r="N12" s="577" t="s">
        <v>225</v>
      </c>
      <c r="O12" s="579" t="s">
        <v>226</v>
      </c>
      <c r="P12" s="559" t="s">
        <v>227</v>
      </c>
      <c r="Q12" s="561" t="s">
        <v>228</v>
      </c>
      <c r="R12" s="26"/>
      <c r="S12" s="27"/>
      <c r="T12" s="27"/>
      <c r="U12" s="27"/>
      <c r="V12" s="27"/>
    </row>
    <row r="13" spans="1:22" s="294" customFormat="1" ht="39" customHeight="1">
      <c r="A13" s="585"/>
      <c r="B13" s="586"/>
      <c r="C13" s="586"/>
      <c r="D13" s="586"/>
      <c r="E13" s="230" t="s">
        <v>229</v>
      </c>
      <c r="F13" s="155" t="s">
        <v>230</v>
      </c>
      <c r="G13" s="295" t="s">
        <v>206</v>
      </c>
      <c r="H13" s="295" t="s">
        <v>231</v>
      </c>
      <c r="I13" s="295" t="s">
        <v>232</v>
      </c>
      <c r="J13" s="295" t="s">
        <v>209</v>
      </c>
      <c r="K13" s="581"/>
      <c r="L13" s="581"/>
      <c r="M13" s="581"/>
      <c r="N13" s="581"/>
      <c r="O13" s="582"/>
      <c r="P13" s="583"/>
      <c r="Q13" s="584"/>
      <c r="R13" s="26"/>
      <c r="S13" s="27"/>
      <c r="T13" s="27"/>
      <c r="U13" s="27"/>
      <c r="V13" s="27"/>
    </row>
    <row r="14" spans="1:22" s="119" customFormat="1" ht="24.9" hidden="1" customHeight="1">
      <c r="A14" s="296">
        <v>1</v>
      </c>
      <c r="B14" s="207" t="s">
        <v>210</v>
      </c>
      <c r="C14" s="297" t="s">
        <v>1002</v>
      </c>
      <c r="D14" s="207" t="s">
        <v>235</v>
      </c>
      <c r="E14" s="298">
        <v>1</v>
      </c>
      <c r="F14" s="207" t="s">
        <v>236</v>
      </c>
      <c r="G14" s="208"/>
      <c r="H14" s="208"/>
      <c r="I14" s="299"/>
      <c r="J14" s="218"/>
      <c r="K14" s="208">
        <v>546</v>
      </c>
      <c r="L14" s="208"/>
      <c r="M14" s="208" t="s">
        <v>1003</v>
      </c>
      <c r="N14" s="295" t="s">
        <v>1004</v>
      </c>
      <c r="O14" s="209"/>
      <c r="P14" s="209"/>
      <c r="Q14" s="347"/>
      <c r="R14" s="26"/>
      <c r="S14" s="27"/>
      <c r="T14" s="301"/>
      <c r="U14" s="27"/>
      <c r="V14" s="118"/>
    </row>
    <row r="15" spans="1:22" s="119" customFormat="1" ht="24.9" hidden="1" customHeight="1">
      <c r="A15" s="296">
        <v>2</v>
      </c>
      <c r="B15" s="207" t="s">
        <v>210</v>
      </c>
      <c r="C15" s="297" t="s">
        <v>1005</v>
      </c>
      <c r="D15" s="207" t="s">
        <v>241</v>
      </c>
      <c r="E15" s="298">
        <v>1</v>
      </c>
      <c r="F15" s="207" t="s">
        <v>236</v>
      </c>
      <c r="G15" s="208"/>
      <c r="H15" s="208"/>
      <c r="I15" s="299"/>
      <c r="J15" s="218"/>
      <c r="K15" s="208">
        <v>546</v>
      </c>
      <c r="L15" s="208"/>
      <c r="M15" s="208" t="s">
        <v>1003</v>
      </c>
      <c r="N15" s="295" t="s">
        <v>1006</v>
      </c>
      <c r="O15" s="209"/>
      <c r="P15" s="209"/>
      <c r="Q15" s="347"/>
      <c r="R15" s="302"/>
      <c r="S15" s="27"/>
      <c r="T15" s="301"/>
      <c r="U15" s="27"/>
      <c r="V15" s="118"/>
    </row>
    <row r="16" spans="1:22" s="307" customFormat="1" ht="24.9" hidden="1" customHeight="1">
      <c r="A16" s="234"/>
      <c r="B16" s="235"/>
      <c r="C16" s="236"/>
      <c r="D16" s="237"/>
      <c r="E16" s="238">
        <f>SUM(E14:E15)</f>
        <v>2</v>
      </c>
      <c r="F16" s="237"/>
      <c r="G16" s="239">
        <v>200</v>
      </c>
      <c r="H16" s="444">
        <v>138</v>
      </c>
      <c r="I16" s="445">
        <v>120</v>
      </c>
      <c r="J16" s="241">
        <f>ROUND(I16*H16*G16/1000000,3)</f>
        <v>3.3119999999999998</v>
      </c>
      <c r="K16" s="242">
        <f>SUM(K14:K15)</f>
        <v>1092</v>
      </c>
      <c r="L16" s="239">
        <f>K16+140</f>
        <v>1232</v>
      </c>
      <c r="M16" s="239"/>
      <c r="N16" s="243"/>
      <c r="O16" s="244"/>
      <c r="P16" s="245"/>
      <c r="Q16" s="348"/>
      <c r="R16" s="26"/>
      <c r="S16" s="304"/>
      <c r="T16" s="305"/>
      <c r="U16" s="304"/>
      <c r="V16" s="306"/>
    </row>
    <row r="17" spans="1:30" s="119" customFormat="1" ht="24.9" hidden="1" customHeight="1">
      <c r="A17" s="296">
        <v>1</v>
      </c>
      <c r="B17" s="207" t="s">
        <v>1007</v>
      </c>
      <c r="C17" s="297" t="s">
        <v>1008</v>
      </c>
      <c r="D17" s="207" t="s">
        <v>235</v>
      </c>
      <c r="E17" s="298">
        <v>1</v>
      </c>
      <c r="F17" s="207" t="s">
        <v>236</v>
      </c>
      <c r="G17" s="208"/>
      <c r="H17" s="208"/>
      <c r="I17" s="299"/>
      <c r="J17" s="218"/>
      <c r="K17" s="208">
        <v>546</v>
      </c>
      <c r="L17" s="208"/>
      <c r="M17" s="208" t="s">
        <v>1003</v>
      </c>
      <c r="N17" s="295" t="s">
        <v>1009</v>
      </c>
      <c r="O17" s="209"/>
      <c r="P17" s="209"/>
      <c r="Q17" s="347"/>
      <c r="R17" s="26"/>
      <c r="S17" s="27"/>
      <c r="T17" s="301"/>
      <c r="U17" s="27"/>
      <c r="V17" s="118"/>
    </row>
    <row r="18" spans="1:30" s="119" customFormat="1" ht="24.9" hidden="1" customHeight="1">
      <c r="A18" s="296">
        <v>2</v>
      </c>
      <c r="B18" s="207" t="s">
        <v>1007</v>
      </c>
      <c r="C18" s="297" t="s">
        <v>1010</v>
      </c>
      <c r="D18" s="207" t="s">
        <v>235</v>
      </c>
      <c r="E18" s="298">
        <v>1</v>
      </c>
      <c r="F18" s="207" t="s">
        <v>236</v>
      </c>
      <c r="G18" s="208"/>
      <c r="H18" s="208"/>
      <c r="I18" s="299"/>
      <c r="J18" s="218"/>
      <c r="K18" s="208">
        <v>546</v>
      </c>
      <c r="L18" s="208"/>
      <c r="M18" s="208" t="s">
        <v>1003</v>
      </c>
      <c r="N18" s="295" t="s">
        <v>1011</v>
      </c>
      <c r="O18" s="209"/>
      <c r="P18" s="209"/>
      <c r="Q18" s="347"/>
      <c r="R18" s="302"/>
      <c r="S18" s="27"/>
      <c r="T18" s="301"/>
      <c r="U18" s="27"/>
      <c r="V18" s="118"/>
      <c r="Y18" s="119">
        <f t="shared" ref="Y18:AD18" si="0">Y14</f>
        <v>0</v>
      </c>
      <c r="Z18" s="119">
        <f t="shared" si="0"/>
        <v>0</v>
      </c>
      <c r="AA18" s="119">
        <f t="shared" si="0"/>
        <v>0</v>
      </c>
      <c r="AB18" s="119">
        <f t="shared" si="0"/>
        <v>0</v>
      </c>
      <c r="AC18" s="119">
        <f t="shared" si="0"/>
        <v>0</v>
      </c>
      <c r="AD18" s="119">
        <f t="shared" si="0"/>
        <v>0</v>
      </c>
    </row>
    <row r="19" spans="1:30" s="307" customFormat="1" ht="24.9" hidden="1" customHeight="1">
      <c r="A19" s="234"/>
      <c r="B19" s="235"/>
      <c r="C19" s="236"/>
      <c r="D19" s="237"/>
      <c r="E19" s="238">
        <f t="shared" ref="E19" si="1">SUM(E17:E18)</f>
        <v>2</v>
      </c>
      <c r="F19" s="237"/>
      <c r="G19" s="239">
        <v>200</v>
      </c>
      <c r="H19" s="444">
        <v>138</v>
      </c>
      <c r="I19" s="445">
        <v>120</v>
      </c>
      <c r="J19" s="241">
        <f>ROUND(I19*H19*G19/1000000,3)</f>
        <v>3.3119999999999998</v>
      </c>
      <c r="K19" s="242">
        <f>SUM(K17:K18)</f>
        <v>1092</v>
      </c>
      <c r="L19" s="239">
        <f>K19+140</f>
        <v>1232</v>
      </c>
      <c r="M19" s="239"/>
      <c r="N19" s="243"/>
      <c r="O19" s="244"/>
      <c r="P19" s="245"/>
      <c r="Q19" s="348"/>
      <c r="R19" s="26"/>
      <c r="S19" s="304"/>
      <c r="T19" s="305"/>
      <c r="U19" s="304"/>
      <c r="V19" s="306"/>
    </row>
    <row r="20" spans="1:30" s="119" customFormat="1" ht="24.9" hidden="1" customHeight="1">
      <c r="A20" s="296">
        <v>1</v>
      </c>
      <c r="B20" s="207" t="s">
        <v>1012</v>
      </c>
      <c r="C20" s="297" t="s">
        <v>1013</v>
      </c>
      <c r="D20" s="207" t="s">
        <v>235</v>
      </c>
      <c r="E20" s="298">
        <v>1</v>
      </c>
      <c r="F20" s="207" t="s">
        <v>236</v>
      </c>
      <c r="G20" s="208"/>
      <c r="H20" s="208"/>
      <c r="I20" s="299"/>
      <c r="J20" s="218"/>
      <c r="K20" s="208">
        <v>546</v>
      </c>
      <c r="L20" s="208"/>
      <c r="M20" s="208" t="s">
        <v>1003</v>
      </c>
      <c r="N20" s="295" t="s">
        <v>1014</v>
      </c>
      <c r="O20" s="209"/>
      <c r="P20" s="209"/>
      <c r="Q20" s="347"/>
      <c r="R20" s="26"/>
      <c r="S20" s="27"/>
      <c r="T20" s="301"/>
      <c r="U20" s="27"/>
      <c r="V20" s="118"/>
    </row>
    <row r="21" spans="1:30" s="119" customFormat="1" ht="24.9" hidden="1" customHeight="1">
      <c r="A21" s="296">
        <v>2</v>
      </c>
      <c r="B21" s="207" t="s">
        <v>1012</v>
      </c>
      <c r="C21" s="297" t="s">
        <v>1015</v>
      </c>
      <c r="D21" s="207" t="s">
        <v>241</v>
      </c>
      <c r="E21" s="298">
        <v>1</v>
      </c>
      <c r="F21" s="207" t="s">
        <v>236</v>
      </c>
      <c r="G21" s="208"/>
      <c r="H21" s="208"/>
      <c r="I21" s="299"/>
      <c r="J21" s="218"/>
      <c r="K21" s="208">
        <v>546</v>
      </c>
      <c r="L21" s="208"/>
      <c r="M21" s="208" t="s">
        <v>1003</v>
      </c>
      <c r="N21" s="295" t="s">
        <v>1016</v>
      </c>
      <c r="O21" s="209"/>
      <c r="P21" s="209"/>
      <c r="Q21" s="347"/>
      <c r="R21" s="302"/>
      <c r="S21" s="27"/>
      <c r="T21" s="301"/>
      <c r="U21" s="27"/>
      <c r="V21" s="118"/>
    </row>
    <row r="22" spans="1:30" s="307" customFormat="1" ht="24.9" hidden="1" customHeight="1">
      <c r="A22" s="234"/>
      <c r="B22" s="235"/>
      <c r="C22" s="236"/>
      <c r="D22" s="237"/>
      <c r="E22" s="238">
        <f t="shared" ref="E22" si="2">SUM(E20:E21)</f>
        <v>2</v>
      </c>
      <c r="F22" s="237"/>
      <c r="G22" s="239">
        <v>200</v>
      </c>
      <c r="H22" s="444">
        <v>138</v>
      </c>
      <c r="I22" s="445">
        <v>120</v>
      </c>
      <c r="J22" s="241">
        <f>ROUND(I22*H22*G22/1000000,3)</f>
        <v>3.3119999999999998</v>
      </c>
      <c r="K22" s="242">
        <f t="shared" ref="K22" si="3">SUM(K20:K21)</f>
        <v>1092</v>
      </c>
      <c r="L22" s="239">
        <f>K22+140</f>
        <v>1232</v>
      </c>
      <c r="M22" s="239"/>
      <c r="N22" s="243"/>
      <c r="O22" s="244"/>
      <c r="P22" s="245"/>
      <c r="Q22" s="348"/>
      <c r="R22" s="26"/>
      <c r="S22" s="304"/>
      <c r="T22" s="305"/>
      <c r="U22" s="304"/>
      <c r="V22" s="306"/>
    </row>
    <row r="23" spans="1:30" s="119" customFormat="1" ht="24.9" hidden="1" customHeight="1">
      <c r="A23" s="296">
        <v>1</v>
      </c>
      <c r="B23" s="207" t="s">
        <v>1017</v>
      </c>
      <c r="C23" s="297" t="s">
        <v>1018</v>
      </c>
      <c r="D23" s="207" t="s">
        <v>235</v>
      </c>
      <c r="E23" s="298">
        <v>1</v>
      </c>
      <c r="F23" s="207" t="s">
        <v>236</v>
      </c>
      <c r="G23" s="208"/>
      <c r="H23" s="208"/>
      <c r="I23" s="299"/>
      <c r="J23" s="218"/>
      <c r="K23" s="208">
        <v>546</v>
      </c>
      <c r="L23" s="208"/>
      <c r="M23" s="208" t="s">
        <v>1003</v>
      </c>
      <c r="N23" s="295" t="s">
        <v>1019</v>
      </c>
      <c r="O23" s="209"/>
      <c r="P23" s="209"/>
      <c r="Q23" s="347"/>
      <c r="R23" s="26"/>
      <c r="S23" s="27"/>
      <c r="T23" s="301"/>
      <c r="U23" s="27"/>
      <c r="V23" s="118"/>
      <c r="Y23" s="119">
        <v>85</v>
      </c>
      <c r="Z23" s="119">
        <v>60</v>
      </c>
      <c r="AA23" s="119">
        <v>120</v>
      </c>
      <c r="AB23" s="119">
        <f>ROUND(AA23*Z23*Y23/1000000,3)</f>
        <v>0.61199999999999999</v>
      </c>
      <c r="AC23" s="119">
        <f>SUM(AC15:AC17)</f>
        <v>0</v>
      </c>
      <c r="AD23" s="119">
        <f>SUM(AD15:AD17)</f>
        <v>0</v>
      </c>
    </row>
    <row r="24" spans="1:30" s="119" customFormat="1" ht="24.9" hidden="1" customHeight="1">
      <c r="A24" s="296">
        <v>2</v>
      </c>
      <c r="B24" s="207" t="s">
        <v>1017</v>
      </c>
      <c r="C24" s="297" t="s">
        <v>1020</v>
      </c>
      <c r="D24" s="207" t="s">
        <v>235</v>
      </c>
      <c r="E24" s="298">
        <v>1</v>
      </c>
      <c r="F24" s="207" t="s">
        <v>236</v>
      </c>
      <c r="G24" s="208"/>
      <c r="H24" s="208"/>
      <c r="I24" s="299"/>
      <c r="J24" s="218"/>
      <c r="K24" s="208">
        <v>546</v>
      </c>
      <c r="L24" s="208"/>
      <c r="M24" s="208" t="s">
        <v>1003</v>
      </c>
      <c r="N24" s="295" t="s">
        <v>1021</v>
      </c>
      <c r="O24" s="209"/>
      <c r="P24" s="209"/>
      <c r="Q24" s="347"/>
      <c r="R24" s="302"/>
      <c r="S24" s="27"/>
      <c r="T24" s="301"/>
      <c r="U24" s="27"/>
      <c r="V24" s="118"/>
    </row>
    <row r="25" spans="1:30" s="307" customFormat="1" ht="24.9" hidden="1" customHeight="1">
      <c r="A25" s="234"/>
      <c r="B25" s="235"/>
      <c r="C25" s="236"/>
      <c r="D25" s="237"/>
      <c r="E25" s="238">
        <f t="shared" ref="E25" si="4">SUM(E23:E24)</f>
        <v>2</v>
      </c>
      <c r="F25" s="237"/>
      <c r="G25" s="239">
        <v>200</v>
      </c>
      <c r="H25" s="444">
        <v>138</v>
      </c>
      <c r="I25" s="445">
        <v>120</v>
      </c>
      <c r="J25" s="241">
        <f>ROUND(I25*H25*G25/1000000,3)</f>
        <v>3.3119999999999998</v>
      </c>
      <c r="K25" s="242">
        <f t="shared" ref="K25" si="5">SUM(K23:K24)</f>
        <v>1092</v>
      </c>
      <c r="L25" s="239">
        <f>K25+140</f>
        <v>1232</v>
      </c>
      <c r="M25" s="239"/>
      <c r="N25" s="243"/>
      <c r="O25" s="244"/>
      <c r="P25" s="245"/>
      <c r="Q25" s="348"/>
      <c r="R25" s="26"/>
      <c r="S25" s="304"/>
      <c r="T25" s="305"/>
      <c r="U25" s="304"/>
      <c r="V25" s="306"/>
    </row>
    <row r="26" spans="1:30" s="119" customFormat="1" ht="24.9" hidden="1" customHeight="1">
      <c r="A26" s="296">
        <v>1</v>
      </c>
      <c r="B26" s="207" t="s">
        <v>1022</v>
      </c>
      <c r="C26" s="297" t="s">
        <v>1023</v>
      </c>
      <c r="D26" s="207" t="s">
        <v>235</v>
      </c>
      <c r="E26" s="298">
        <v>1</v>
      </c>
      <c r="F26" s="207" t="s">
        <v>236</v>
      </c>
      <c r="G26" s="208"/>
      <c r="H26" s="208"/>
      <c r="I26" s="299"/>
      <c r="J26" s="218"/>
      <c r="K26" s="208">
        <v>546</v>
      </c>
      <c r="L26" s="208"/>
      <c r="M26" s="208" t="s">
        <v>1003</v>
      </c>
      <c r="N26" s="295" t="s">
        <v>1024</v>
      </c>
      <c r="O26" s="209"/>
      <c r="P26" s="209"/>
      <c r="Q26" s="347"/>
      <c r="R26" s="26"/>
      <c r="S26" s="27"/>
      <c r="T26" s="301"/>
      <c r="U26" s="27"/>
      <c r="V26" s="118"/>
    </row>
    <row r="27" spans="1:30" s="119" customFormat="1" ht="24.9" hidden="1" customHeight="1">
      <c r="A27" s="296">
        <v>2</v>
      </c>
      <c r="B27" s="207" t="s">
        <v>1022</v>
      </c>
      <c r="C27" s="297" t="s">
        <v>1025</v>
      </c>
      <c r="D27" s="207" t="s">
        <v>235</v>
      </c>
      <c r="E27" s="298">
        <v>1</v>
      </c>
      <c r="F27" s="207" t="s">
        <v>236</v>
      </c>
      <c r="G27" s="208"/>
      <c r="H27" s="208"/>
      <c r="I27" s="299"/>
      <c r="J27" s="218"/>
      <c r="K27" s="208">
        <v>546</v>
      </c>
      <c r="L27" s="208"/>
      <c r="M27" s="208" t="s">
        <v>1003</v>
      </c>
      <c r="N27" s="295" t="s">
        <v>1026</v>
      </c>
      <c r="O27" s="209"/>
      <c r="P27" s="209"/>
      <c r="Q27" s="347"/>
      <c r="R27" s="302"/>
      <c r="S27" s="27"/>
      <c r="T27" s="301"/>
      <c r="U27" s="27"/>
      <c r="V27" s="118"/>
    </row>
    <row r="28" spans="1:30" s="307" customFormat="1" ht="24.9" hidden="1" customHeight="1">
      <c r="A28" s="234"/>
      <c r="B28" s="235"/>
      <c r="C28" s="236"/>
      <c r="D28" s="237"/>
      <c r="E28" s="238">
        <f t="shared" ref="E28" si="6">SUM(E26:E27)</f>
        <v>2</v>
      </c>
      <c r="F28" s="237"/>
      <c r="G28" s="239">
        <v>200</v>
      </c>
      <c r="H28" s="444">
        <v>138</v>
      </c>
      <c r="I28" s="445">
        <v>120</v>
      </c>
      <c r="J28" s="241">
        <f>ROUND(I28*H28*G28/1000000,3)</f>
        <v>3.3119999999999998</v>
      </c>
      <c r="K28" s="242">
        <f t="shared" ref="K28" si="7">SUM(K26:K27)</f>
        <v>1092</v>
      </c>
      <c r="L28" s="239">
        <f>K28+140</f>
        <v>1232</v>
      </c>
      <c r="M28" s="239"/>
      <c r="N28" s="243"/>
      <c r="O28" s="244"/>
      <c r="P28" s="245"/>
      <c r="Q28" s="348"/>
      <c r="R28" s="26"/>
      <c r="S28" s="304"/>
      <c r="T28" s="305"/>
      <c r="U28" s="304"/>
      <c r="V28" s="306"/>
    </row>
    <row r="29" spans="1:30" s="119" customFormat="1" ht="24.9" hidden="1" customHeight="1">
      <c r="A29" s="296">
        <v>1</v>
      </c>
      <c r="B29" s="207" t="s">
        <v>1027</v>
      </c>
      <c r="C29" s="297" t="s">
        <v>1028</v>
      </c>
      <c r="D29" s="207" t="s">
        <v>235</v>
      </c>
      <c r="E29" s="298">
        <v>1</v>
      </c>
      <c r="F29" s="207" t="s">
        <v>236</v>
      </c>
      <c r="G29" s="208"/>
      <c r="H29" s="208"/>
      <c r="I29" s="299"/>
      <c r="J29" s="218"/>
      <c r="K29" s="208">
        <v>546</v>
      </c>
      <c r="L29" s="208"/>
      <c r="M29" s="208" t="s">
        <v>1003</v>
      </c>
      <c r="N29" s="295" t="s">
        <v>1029</v>
      </c>
      <c r="O29" s="209"/>
      <c r="P29" s="209"/>
      <c r="Q29" s="347"/>
      <c r="R29" s="26"/>
      <c r="S29" s="27"/>
      <c r="T29" s="301"/>
      <c r="U29" s="27"/>
      <c r="V29" s="118"/>
    </row>
    <row r="30" spans="1:30" s="119" customFormat="1" ht="24.9" hidden="1" customHeight="1">
      <c r="A30" s="296">
        <v>2</v>
      </c>
      <c r="B30" s="207" t="s">
        <v>1027</v>
      </c>
      <c r="C30" s="297" t="s">
        <v>1030</v>
      </c>
      <c r="D30" s="207" t="s">
        <v>235</v>
      </c>
      <c r="E30" s="298">
        <v>1</v>
      </c>
      <c r="F30" s="207" t="s">
        <v>236</v>
      </c>
      <c r="G30" s="208"/>
      <c r="H30" s="208"/>
      <c r="I30" s="299"/>
      <c r="J30" s="218"/>
      <c r="K30" s="208">
        <v>546</v>
      </c>
      <c r="L30" s="208"/>
      <c r="M30" s="208" t="s">
        <v>1003</v>
      </c>
      <c r="N30" s="295" t="s">
        <v>1031</v>
      </c>
      <c r="O30" s="209"/>
      <c r="P30" s="209"/>
      <c r="Q30" s="347"/>
      <c r="R30" s="302"/>
      <c r="S30" s="27"/>
      <c r="T30" s="301"/>
      <c r="U30" s="27"/>
      <c r="V30" s="118"/>
    </row>
    <row r="31" spans="1:30" s="307" customFormat="1" ht="24.9" hidden="1" customHeight="1">
      <c r="A31" s="234"/>
      <c r="B31" s="235"/>
      <c r="C31" s="236"/>
      <c r="D31" s="237"/>
      <c r="E31" s="238">
        <f t="shared" ref="E31" si="8">SUM(E29:E30)</f>
        <v>2</v>
      </c>
      <c r="F31" s="237"/>
      <c r="G31" s="239">
        <v>200</v>
      </c>
      <c r="H31" s="444">
        <v>138</v>
      </c>
      <c r="I31" s="445">
        <v>120</v>
      </c>
      <c r="J31" s="241">
        <f>ROUND(I31*H31*G31/1000000,3)</f>
        <v>3.3119999999999998</v>
      </c>
      <c r="K31" s="242">
        <f t="shared" ref="K31" si="9">SUM(K29:K30)</f>
        <v>1092</v>
      </c>
      <c r="L31" s="239">
        <f>K31+140</f>
        <v>1232</v>
      </c>
      <c r="M31" s="239"/>
      <c r="N31" s="243"/>
      <c r="O31" s="244"/>
      <c r="P31" s="245"/>
      <c r="Q31" s="348"/>
      <c r="R31" s="26"/>
      <c r="S31" s="304"/>
      <c r="T31" s="305"/>
      <c r="U31" s="304"/>
      <c r="V31" s="306"/>
    </row>
    <row r="32" spans="1:30" s="119" customFormat="1" ht="24.9" hidden="1" customHeight="1">
      <c r="A32" s="296">
        <v>1</v>
      </c>
      <c r="B32" s="207" t="s">
        <v>1032</v>
      </c>
      <c r="C32" s="297" t="s">
        <v>1033</v>
      </c>
      <c r="D32" s="207" t="s">
        <v>235</v>
      </c>
      <c r="E32" s="298">
        <v>1</v>
      </c>
      <c r="F32" s="207" t="s">
        <v>236</v>
      </c>
      <c r="G32" s="208"/>
      <c r="H32" s="208"/>
      <c r="I32" s="299"/>
      <c r="J32" s="218"/>
      <c r="K32" s="208">
        <v>546</v>
      </c>
      <c r="L32" s="208"/>
      <c r="M32" s="208" t="s">
        <v>1003</v>
      </c>
      <c r="N32" s="295" t="s">
        <v>1034</v>
      </c>
      <c r="O32" s="209"/>
      <c r="P32" s="209"/>
      <c r="Q32" s="347"/>
      <c r="R32" s="26"/>
      <c r="S32" s="27"/>
      <c r="T32" s="301"/>
      <c r="U32" s="27"/>
      <c r="V32" s="118"/>
    </row>
    <row r="33" spans="1:22" s="119" customFormat="1" ht="24.9" hidden="1" customHeight="1">
      <c r="A33" s="296">
        <v>2</v>
      </c>
      <c r="B33" s="207" t="s">
        <v>1032</v>
      </c>
      <c r="C33" s="297" t="s">
        <v>1035</v>
      </c>
      <c r="D33" s="207" t="s">
        <v>235</v>
      </c>
      <c r="E33" s="298">
        <v>1</v>
      </c>
      <c r="F33" s="207" t="s">
        <v>236</v>
      </c>
      <c r="G33" s="208"/>
      <c r="H33" s="208"/>
      <c r="I33" s="299"/>
      <c r="J33" s="218"/>
      <c r="K33" s="208">
        <v>546</v>
      </c>
      <c r="L33" s="208"/>
      <c r="M33" s="208" t="s">
        <v>1003</v>
      </c>
      <c r="N33" s="295" t="s">
        <v>1036</v>
      </c>
      <c r="O33" s="209"/>
      <c r="P33" s="209"/>
      <c r="Q33" s="347"/>
      <c r="R33" s="302"/>
      <c r="S33" s="27"/>
      <c r="T33" s="301"/>
      <c r="U33" s="27"/>
      <c r="V33" s="118"/>
    </row>
    <row r="34" spans="1:22" s="307" customFormat="1" ht="24.9" hidden="1" customHeight="1">
      <c r="A34" s="234"/>
      <c r="B34" s="235"/>
      <c r="C34" s="236"/>
      <c r="D34" s="237"/>
      <c r="E34" s="238">
        <f t="shared" ref="E34" si="10">SUM(E32:E33)</f>
        <v>2</v>
      </c>
      <c r="F34" s="237"/>
      <c r="G34" s="239">
        <v>200</v>
      </c>
      <c r="H34" s="444">
        <v>138</v>
      </c>
      <c r="I34" s="445">
        <v>120</v>
      </c>
      <c r="J34" s="241">
        <f>ROUND(I34*H34*G34/1000000,3)</f>
        <v>3.3119999999999998</v>
      </c>
      <c r="K34" s="242">
        <f t="shared" ref="K34" si="11">SUM(K32:K33)</f>
        <v>1092</v>
      </c>
      <c r="L34" s="239">
        <f>K34+140</f>
        <v>1232</v>
      </c>
      <c r="M34" s="239"/>
      <c r="N34" s="243"/>
      <c r="O34" s="244"/>
      <c r="P34" s="245"/>
      <c r="Q34" s="348"/>
      <c r="R34" s="26"/>
      <c r="S34" s="304"/>
      <c r="T34" s="305"/>
      <c r="U34" s="304"/>
      <c r="V34" s="306"/>
    </row>
    <row r="35" spans="1:22" s="119" customFormat="1" ht="24.9" hidden="1" customHeight="1">
      <c r="A35" s="296">
        <v>1</v>
      </c>
      <c r="B35" s="207" t="s">
        <v>1037</v>
      </c>
      <c r="C35" s="297" t="s">
        <v>1038</v>
      </c>
      <c r="D35" s="207" t="s">
        <v>235</v>
      </c>
      <c r="E35" s="298">
        <v>1</v>
      </c>
      <c r="F35" s="207" t="s">
        <v>236</v>
      </c>
      <c r="G35" s="208"/>
      <c r="H35" s="208"/>
      <c r="I35" s="299"/>
      <c r="J35" s="218"/>
      <c r="K35" s="208">
        <v>546</v>
      </c>
      <c r="L35" s="208"/>
      <c r="M35" s="208" t="s">
        <v>1003</v>
      </c>
      <c r="N35" s="295" t="s">
        <v>1039</v>
      </c>
      <c r="O35" s="209"/>
      <c r="P35" s="209"/>
      <c r="Q35" s="347"/>
      <c r="R35" s="26"/>
      <c r="S35" s="27"/>
      <c r="T35" s="301"/>
      <c r="U35" s="27"/>
      <c r="V35" s="118"/>
    </row>
    <row r="36" spans="1:22" s="119" customFormat="1" ht="24.9" hidden="1" customHeight="1">
      <c r="A36" s="296">
        <v>2</v>
      </c>
      <c r="B36" s="207" t="s">
        <v>1037</v>
      </c>
      <c r="C36" s="297" t="s">
        <v>1040</v>
      </c>
      <c r="D36" s="207" t="s">
        <v>235</v>
      </c>
      <c r="E36" s="298">
        <v>1</v>
      </c>
      <c r="F36" s="207" t="s">
        <v>236</v>
      </c>
      <c r="G36" s="208"/>
      <c r="H36" s="208"/>
      <c r="I36" s="299"/>
      <c r="J36" s="218"/>
      <c r="K36" s="208">
        <v>546</v>
      </c>
      <c r="L36" s="208"/>
      <c r="M36" s="208" t="s">
        <v>1003</v>
      </c>
      <c r="N36" s="295" t="s">
        <v>1041</v>
      </c>
      <c r="O36" s="209"/>
      <c r="P36" s="209"/>
      <c r="Q36" s="347"/>
      <c r="R36" s="302"/>
      <c r="S36" s="27"/>
      <c r="T36" s="301"/>
      <c r="U36" s="27"/>
      <c r="V36" s="118"/>
    </row>
    <row r="37" spans="1:22" s="307" customFormat="1" ht="24.9" hidden="1" customHeight="1">
      <c r="A37" s="234"/>
      <c r="B37" s="235"/>
      <c r="C37" s="236"/>
      <c r="D37" s="237"/>
      <c r="E37" s="238">
        <f t="shared" ref="E37" si="12">SUM(E35:E36)</f>
        <v>2</v>
      </c>
      <c r="F37" s="237"/>
      <c r="G37" s="239">
        <v>200</v>
      </c>
      <c r="H37" s="444">
        <v>138</v>
      </c>
      <c r="I37" s="445">
        <v>120</v>
      </c>
      <c r="J37" s="241">
        <f>ROUND(I37*H37*G37/1000000,3)</f>
        <v>3.3119999999999998</v>
      </c>
      <c r="K37" s="242">
        <f t="shared" ref="K37" si="13">SUM(K35:K36)</f>
        <v>1092</v>
      </c>
      <c r="L37" s="239">
        <f>K37+140</f>
        <v>1232</v>
      </c>
      <c r="M37" s="239"/>
      <c r="N37" s="243"/>
      <c r="O37" s="244"/>
      <c r="P37" s="245"/>
      <c r="Q37" s="348"/>
      <c r="R37" s="26"/>
      <c r="S37" s="304"/>
      <c r="T37" s="305"/>
      <c r="U37" s="304"/>
      <c r="V37" s="306"/>
    </row>
    <row r="38" spans="1:22" s="119" customFormat="1" ht="24.9" hidden="1" customHeight="1">
      <c r="A38" s="296">
        <v>1</v>
      </c>
      <c r="B38" s="207" t="s">
        <v>1042</v>
      </c>
      <c r="C38" s="297" t="s">
        <v>1043</v>
      </c>
      <c r="D38" s="207" t="s">
        <v>235</v>
      </c>
      <c r="E38" s="298">
        <v>1</v>
      </c>
      <c r="F38" s="207" t="s">
        <v>236</v>
      </c>
      <c r="G38" s="208"/>
      <c r="H38" s="208"/>
      <c r="I38" s="299"/>
      <c r="J38" s="218"/>
      <c r="K38" s="208">
        <v>546</v>
      </c>
      <c r="L38" s="208"/>
      <c r="M38" s="208" t="s">
        <v>1003</v>
      </c>
      <c r="N38" s="295" t="s">
        <v>1044</v>
      </c>
      <c r="O38" s="209"/>
      <c r="P38" s="209"/>
      <c r="Q38" s="347"/>
      <c r="R38" s="26"/>
      <c r="S38" s="27"/>
      <c r="T38" s="301"/>
      <c r="U38" s="27"/>
      <c r="V38" s="118"/>
    </row>
    <row r="39" spans="1:22" s="119" customFormat="1" ht="24.9" hidden="1" customHeight="1">
      <c r="A39" s="296">
        <v>2</v>
      </c>
      <c r="B39" s="207" t="s">
        <v>1042</v>
      </c>
      <c r="C39" s="297" t="s">
        <v>1045</v>
      </c>
      <c r="D39" s="207" t="s">
        <v>235</v>
      </c>
      <c r="E39" s="298">
        <v>1</v>
      </c>
      <c r="F39" s="207" t="s">
        <v>236</v>
      </c>
      <c r="G39" s="208"/>
      <c r="H39" s="208"/>
      <c r="I39" s="299"/>
      <c r="J39" s="218"/>
      <c r="K39" s="208">
        <v>546</v>
      </c>
      <c r="L39" s="208"/>
      <c r="M39" s="208" t="s">
        <v>1003</v>
      </c>
      <c r="N39" s="295" t="s">
        <v>1046</v>
      </c>
      <c r="O39" s="209"/>
      <c r="P39" s="209"/>
      <c r="Q39" s="347"/>
      <c r="R39" s="302"/>
      <c r="S39" s="27"/>
      <c r="T39" s="301"/>
      <c r="U39" s="27"/>
      <c r="V39" s="118"/>
    </row>
    <row r="40" spans="1:22" s="307" customFormat="1" ht="24.9" hidden="1" customHeight="1">
      <c r="A40" s="234"/>
      <c r="B40" s="235"/>
      <c r="C40" s="236"/>
      <c r="D40" s="237"/>
      <c r="E40" s="238">
        <f t="shared" ref="E40" si="14">SUM(E38:E39)</f>
        <v>2</v>
      </c>
      <c r="F40" s="237"/>
      <c r="G40" s="239">
        <v>200</v>
      </c>
      <c r="H40" s="444">
        <v>138</v>
      </c>
      <c r="I40" s="445">
        <v>120</v>
      </c>
      <c r="J40" s="241">
        <f>ROUND(I40*H40*G40/1000000,3)</f>
        <v>3.3119999999999998</v>
      </c>
      <c r="K40" s="242">
        <f t="shared" ref="K40" si="15">SUM(K38:K39)</f>
        <v>1092</v>
      </c>
      <c r="L40" s="239">
        <f>K40+140</f>
        <v>1232</v>
      </c>
      <c r="M40" s="239"/>
      <c r="N40" s="243"/>
      <c r="O40" s="244"/>
      <c r="P40" s="245"/>
      <c r="Q40" s="348"/>
      <c r="R40" s="26"/>
      <c r="S40" s="304"/>
      <c r="T40" s="305"/>
      <c r="U40" s="304"/>
      <c r="V40" s="306"/>
    </row>
    <row r="41" spans="1:22" s="119" customFormat="1" ht="24.9" hidden="1" customHeight="1">
      <c r="A41" s="296">
        <v>1</v>
      </c>
      <c r="B41" s="207" t="s">
        <v>1047</v>
      </c>
      <c r="C41" s="297" t="s">
        <v>1048</v>
      </c>
      <c r="D41" s="207" t="s">
        <v>235</v>
      </c>
      <c r="E41" s="298">
        <v>1</v>
      </c>
      <c r="F41" s="207" t="s">
        <v>236</v>
      </c>
      <c r="G41" s="208"/>
      <c r="H41" s="208"/>
      <c r="I41" s="299"/>
      <c r="J41" s="218"/>
      <c r="K41" s="208">
        <v>546</v>
      </c>
      <c r="L41" s="208"/>
      <c r="M41" s="208" t="s">
        <v>1003</v>
      </c>
      <c r="N41" s="295" t="s">
        <v>1049</v>
      </c>
      <c r="O41" s="209"/>
      <c r="P41" s="209"/>
      <c r="Q41" s="347"/>
      <c r="R41" s="26"/>
      <c r="S41" s="27"/>
      <c r="T41" s="301"/>
      <c r="U41" s="27"/>
      <c r="V41" s="118"/>
    </row>
    <row r="42" spans="1:22" s="119" customFormat="1" ht="24.9" hidden="1" customHeight="1">
      <c r="A42" s="296">
        <v>2</v>
      </c>
      <c r="B42" s="207" t="s">
        <v>1047</v>
      </c>
      <c r="C42" s="297" t="s">
        <v>1050</v>
      </c>
      <c r="D42" s="207" t="s">
        <v>235</v>
      </c>
      <c r="E42" s="298">
        <v>1</v>
      </c>
      <c r="F42" s="207" t="s">
        <v>236</v>
      </c>
      <c r="G42" s="208"/>
      <c r="H42" s="208"/>
      <c r="I42" s="299"/>
      <c r="J42" s="218"/>
      <c r="K42" s="208">
        <v>546</v>
      </c>
      <c r="L42" s="208"/>
      <c r="M42" s="208" t="s">
        <v>1003</v>
      </c>
      <c r="N42" s="295" t="s">
        <v>1051</v>
      </c>
      <c r="O42" s="209"/>
      <c r="P42" s="209"/>
      <c r="Q42" s="347"/>
      <c r="R42" s="302"/>
      <c r="S42" s="27"/>
      <c r="T42" s="301"/>
      <c r="U42" s="27"/>
      <c r="V42" s="118"/>
    </row>
    <row r="43" spans="1:22" s="307" customFormat="1" ht="24.9" hidden="1" customHeight="1">
      <c r="A43" s="234"/>
      <c r="B43" s="235"/>
      <c r="C43" s="236"/>
      <c r="D43" s="237"/>
      <c r="E43" s="238">
        <f t="shared" ref="E43" si="16">SUM(E41:E42)</f>
        <v>2</v>
      </c>
      <c r="F43" s="237"/>
      <c r="G43" s="239">
        <v>200</v>
      </c>
      <c r="H43" s="444">
        <v>138</v>
      </c>
      <c r="I43" s="445">
        <v>120</v>
      </c>
      <c r="J43" s="241">
        <f>ROUND(I43*H43*G43/1000000,3)</f>
        <v>3.3119999999999998</v>
      </c>
      <c r="K43" s="242">
        <f t="shared" ref="K43" si="17">SUM(K41:K42)</f>
        <v>1092</v>
      </c>
      <c r="L43" s="239">
        <f>K43+140</f>
        <v>1232</v>
      </c>
      <c r="M43" s="239"/>
      <c r="N43" s="243"/>
      <c r="O43" s="244"/>
      <c r="P43" s="245"/>
      <c r="Q43" s="348"/>
      <c r="R43" s="26"/>
      <c r="S43" s="304"/>
      <c r="T43" s="305"/>
      <c r="U43" s="304"/>
      <c r="V43" s="306"/>
    </row>
    <row r="44" spans="1:22" s="119" customFormat="1" ht="24.9" hidden="1" customHeight="1">
      <c r="A44" s="296">
        <v>1</v>
      </c>
      <c r="B44" s="207" t="s">
        <v>1052</v>
      </c>
      <c r="C44" s="297" t="s">
        <v>1053</v>
      </c>
      <c r="D44" s="207" t="s">
        <v>235</v>
      </c>
      <c r="E44" s="298">
        <v>1</v>
      </c>
      <c r="F44" s="207" t="s">
        <v>236</v>
      </c>
      <c r="G44" s="208"/>
      <c r="H44" s="208"/>
      <c r="I44" s="299"/>
      <c r="J44" s="218"/>
      <c r="K44" s="208">
        <v>546</v>
      </c>
      <c r="L44" s="208"/>
      <c r="M44" s="208" t="s">
        <v>1003</v>
      </c>
      <c r="N44" s="295" t="s">
        <v>1054</v>
      </c>
      <c r="O44" s="209"/>
      <c r="P44" s="209"/>
      <c r="Q44" s="347"/>
      <c r="R44" s="26"/>
      <c r="S44" s="27"/>
      <c r="T44" s="301"/>
      <c r="U44" s="27"/>
      <c r="V44" s="118"/>
    </row>
    <row r="45" spans="1:22" s="119" customFormat="1" ht="24.9" hidden="1" customHeight="1">
      <c r="A45" s="296">
        <v>2</v>
      </c>
      <c r="B45" s="207" t="s">
        <v>1052</v>
      </c>
      <c r="C45" s="297" t="s">
        <v>1055</v>
      </c>
      <c r="D45" s="207" t="s">
        <v>235</v>
      </c>
      <c r="E45" s="298">
        <v>1</v>
      </c>
      <c r="F45" s="207" t="s">
        <v>236</v>
      </c>
      <c r="G45" s="208"/>
      <c r="H45" s="208"/>
      <c r="I45" s="299"/>
      <c r="J45" s="218"/>
      <c r="K45" s="208">
        <v>546</v>
      </c>
      <c r="L45" s="208"/>
      <c r="M45" s="208" t="s">
        <v>1003</v>
      </c>
      <c r="N45" s="295" t="s">
        <v>1056</v>
      </c>
      <c r="O45" s="209"/>
      <c r="P45" s="209"/>
      <c r="Q45" s="347"/>
      <c r="R45" s="302"/>
      <c r="S45" s="27"/>
      <c r="T45" s="301"/>
      <c r="U45" s="27"/>
      <c r="V45" s="118"/>
    </row>
    <row r="46" spans="1:22" s="307" customFormat="1" ht="24.9" hidden="1" customHeight="1">
      <c r="A46" s="234"/>
      <c r="B46" s="235"/>
      <c r="C46" s="236"/>
      <c r="D46" s="237"/>
      <c r="E46" s="238">
        <f t="shared" ref="E46" si="18">SUM(E44:E45)</f>
        <v>2</v>
      </c>
      <c r="F46" s="237"/>
      <c r="G46" s="239">
        <v>200</v>
      </c>
      <c r="H46" s="444">
        <v>138</v>
      </c>
      <c r="I46" s="445">
        <v>120</v>
      </c>
      <c r="J46" s="241">
        <f>ROUND(I46*H46*G46/1000000,3)</f>
        <v>3.3119999999999998</v>
      </c>
      <c r="K46" s="242">
        <f t="shared" ref="K46" si="19">SUM(K44:K45)</f>
        <v>1092</v>
      </c>
      <c r="L46" s="239">
        <f>K46+140</f>
        <v>1232</v>
      </c>
      <c r="M46" s="239"/>
      <c r="N46" s="243"/>
      <c r="O46" s="244"/>
      <c r="P46" s="245"/>
      <c r="Q46" s="348"/>
      <c r="R46" s="26"/>
      <c r="S46" s="304"/>
      <c r="T46" s="305"/>
      <c r="U46" s="304"/>
      <c r="V46" s="306"/>
    </row>
    <row r="47" spans="1:22" s="119" customFormat="1" ht="24.9" hidden="1" customHeight="1">
      <c r="A47" s="296">
        <v>1</v>
      </c>
      <c r="B47" s="207" t="s">
        <v>1057</v>
      </c>
      <c r="C47" s="297" t="s">
        <v>1058</v>
      </c>
      <c r="D47" s="207" t="s">
        <v>235</v>
      </c>
      <c r="E47" s="298">
        <v>1</v>
      </c>
      <c r="F47" s="207" t="s">
        <v>236</v>
      </c>
      <c r="G47" s="208"/>
      <c r="H47" s="208"/>
      <c r="I47" s="299"/>
      <c r="J47" s="218"/>
      <c r="K47" s="208">
        <v>546</v>
      </c>
      <c r="L47" s="208"/>
      <c r="M47" s="208" t="s">
        <v>1003</v>
      </c>
      <c r="N47" s="295" t="s">
        <v>1059</v>
      </c>
      <c r="O47" s="209"/>
      <c r="P47" s="209"/>
      <c r="Q47" s="347"/>
      <c r="R47" s="26"/>
      <c r="S47" s="27"/>
      <c r="T47" s="301"/>
      <c r="U47" s="27"/>
      <c r="V47" s="118"/>
    </row>
    <row r="48" spans="1:22" s="119" customFormat="1" ht="24.9" hidden="1" customHeight="1">
      <c r="A48" s="296">
        <v>2</v>
      </c>
      <c r="B48" s="207" t="s">
        <v>1057</v>
      </c>
      <c r="C48" s="297" t="s">
        <v>1060</v>
      </c>
      <c r="D48" s="207" t="s">
        <v>235</v>
      </c>
      <c r="E48" s="298">
        <v>1</v>
      </c>
      <c r="F48" s="207" t="s">
        <v>236</v>
      </c>
      <c r="G48" s="208"/>
      <c r="H48" s="208"/>
      <c r="I48" s="299"/>
      <c r="J48" s="218"/>
      <c r="K48" s="208">
        <v>546</v>
      </c>
      <c r="L48" s="208"/>
      <c r="M48" s="208" t="s">
        <v>1003</v>
      </c>
      <c r="N48" s="295" t="s">
        <v>1061</v>
      </c>
      <c r="O48" s="209"/>
      <c r="P48" s="209"/>
      <c r="Q48" s="347"/>
      <c r="R48" s="302"/>
      <c r="S48" s="27"/>
      <c r="T48" s="301"/>
      <c r="U48" s="27"/>
      <c r="V48" s="118"/>
    </row>
    <row r="49" spans="1:30" s="307" customFormat="1" ht="24.9" hidden="1" customHeight="1">
      <c r="A49" s="234"/>
      <c r="B49" s="235"/>
      <c r="C49" s="236"/>
      <c r="D49" s="237"/>
      <c r="E49" s="238">
        <f t="shared" ref="E49" si="20">SUM(E47:E48)</f>
        <v>2</v>
      </c>
      <c r="F49" s="237"/>
      <c r="G49" s="239">
        <v>200</v>
      </c>
      <c r="H49" s="444">
        <v>138</v>
      </c>
      <c r="I49" s="445">
        <v>120</v>
      </c>
      <c r="J49" s="241">
        <f>ROUND(I49*H49*G49/1000000,3)</f>
        <v>3.3119999999999998</v>
      </c>
      <c r="K49" s="242">
        <f>SUM(K47:K48)</f>
        <v>1092</v>
      </c>
      <c r="L49" s="239">
        <f>K49+140</f>
        <v>1232</v>
      </c>
      <c r="M49" s="239"/>
      <c r="N49" s="243"/>
      <c r="O49" s="244"/>
      <c r="P49" s="245"/>
      <c r="Q49" s="348"/>
      <c r="R49" s="26"/>
      <c r="S49" s="304"/>
      <c r="T49" s="305"/>
      <c r="U49" s="304"/>
      <c r="V49" s="306"/>
    </row>
    <row r="50" spans="1:30" s="119" customFormat="1" ht="24.9" hidden="1" customHeight="1">
      <c r="A50" s="296">
        <v>1</v>
      </c>
      <c r="B50" s="207" t="s">
        <v>1062</v>
      </c>
      <c r="C50" s="297" t="s">
        <v>1063</v>
      </c>
      <c r="D50" s="207" t="s">
        <v>241</v>
      </c>
      <c r="E50" s="298">
        <v>1</v>
      </c>
      <c r="F50" s="207" t="s">
        <v>236</v>
      </c>
      <c r="G50" s="208"/>
      <c r="H50" s="208"/>
      <c r="I50" s="299"/>
      <c r="J50" s="218"/>
      <c r="K50" s="208">
        <v>150</v>
      </c>
      <c r="L50" s="208"/>
      <c r="M50" s="208" t="s">
        <v>1064</v>
      </c>
      <c r="N50" s="295" t="s">
        <v>1065</v>
      </c>
      <c r="O50" s="209"/>
      <c r="P50" s="209"/>
      <c r="Q50" s="347"/>
      <c r="R50" s="302"/>
      <c r="S50" s="27"/>
      <c r="T50" s="301"/>
      <c r="U50" s="27"/>
      <c r="V50" s="118"/>
    </row>
    <row r="51" spans="1:30" s="119" customFormat="1" ht="24.9" hidden="1" customHeight="1">
      <c r="A51" s="296">
        <v>2</v>
      </c>
      <c r="B51" s="207" t="s">
        <v>1062</v>
      </c>
      <c r="C51" s="297" t="s">
        <v>1066</v>
      </c>
      <c r="D51" s="207" t="s">
        <v>235</v>
      </c>
      <c r="E51" s="298">
        <v>1</v>
      </c>
      <c r="F51" s="207" t="s">
        <v>236</v>
      </c>
      <c r="G51" s="208"/>
      <c r="H51" s="208"/>
      <c r="I51" s="299"/>
      <c r="J51" s="218"/>
      <c r="K51" s="208">
        <v>150</v>
      </c>
      <c r="L51" s="208"/>
      <c r="M51" s="208" t="s">
        <v>1064</v>
      </c>
      <c r="N51" s="295" t="s">
        <v>1067</v>
      </c>
      <c r="O51" s="209"/>
      <c r="P51" s="209"/>
      <c r="Q51" s="347"/>
      <c r="R51" s="26"/>
      <c r="S51" s="27"/>
      <c r="T51" s="301"/>
      <c r="U51" s="27"/>
      <c r="V51" s="118"/>
    </row>
    <row r="52" spans="1:30" s="119" customFormat="1" ht="24.9" hidden="1" customHeight="1">
      <c r="A52" s="296">
        <v>3</v>
      </c>
      <c r="B52" s="207" t="s">
        <v>1062</v>
      </c>
      <c r="C52" s="297" t="s">
        <v>1068</v>
      </c>
      <c r="D52" s="207" t="s">
        <v>235</v>
      </c>
      <c r="E52" s="298">
        <v>1</v>
      </c>
      <c r="F52" s="207" t="s">
        <v>236</v>
      </c>
      <c r="G52" s="208"/>
      <c r="H52" s="208"/>
      <c r="I52" s="299"/>
      <c r="J52" s="218"/>
      <c r="K52" s="208">
        <v>150</v>
      </c>
      <c r="L52" s="208"/>
      <c r="M52" s="208" t="s">
        <v>1064</v>
      </c>
      <c r="N52" s="295" t="s">
        <v>1069</v>
      </c>
      <c r="O52" s="209"/>
      <c r="P52" s="209"/>
      <c r="Q52" s="347"/>
      <c r="R52" s="302"/>
      <c r="S52" s="27"/>
      <c r="T52" s="301"/>
      <c r="U52" s="27"/>
      <c r="V52" s="118"/>
      <c r="Y52" s="119">
        <f t="shared" ref="Y52:AD52" si="21">Y23</f>
        <v>85</v>
      </c>
      <c r="Z52" s="119">
        <f t="shared" si="21"/>
        <v>60</v>
      </c>
      <c r="AA52" s="119">
        <f t="shared" si="21"/>
        <v>120</v>
      </c>
      <c r="AB52" s="119">
        <f t="shared" si="21"/>
        <v>0.61199999999999999</v>
      </c>
      <c r="AC52" s="119">
        <f t="shared" si="21"/>
        <v>0</v>
      </c>
      <c r="AD52" s="119">
        <f t="shared" si="21"/>
        <v>0</v>
      </c>
    </row>
    <row r="53" spans="1:30" s="119" customFormat="1" ht="24.9" hidden="1" customHeight="1">
      <c r="A53" s="296">
        <v>4</v>
      </c>
      <c r="B53" s="207" t="s">
        <v>1062</v>
      </c>
      <c r="C53" s="297" t="s">
        <v>1070</v>
      </c>
      <c r="D53" s="207" t="s">
        <v>235</v>
      </c>
      <c r="E53" s="298">
        <v>1</v>
      </c>
      <c r="F53" s="207" t="s">
        <v>236</v>
      </c>
      <c r="G53" s="208"/>
      <c r="H53" s="208"/>
      <c r="I53" s="299"/>
      <c r="J53" s="218"/>
      <c r="K53" s="208">
        <v>150</v>
      </c>
      <c r="L53" s="208"/>
      <c r="M53" s="208" t="s">
        <v>1064</v>
      </c>
      <c r="N53" s="295" t="s">
        <v>1071</v>
      </c>
      <c r="O53" s="209"/>
      <c r="P53" s="209"/>
      <c r="Q53" s="347"/>
      <c r="R53" s="26"/>
      <c r="S53" s="27"/>
      <c r="T53" s="301"/>
      <c r="U53" s="27"/>
      <c r="V53" s="118"/>
    </row>
    <row r="54" spans="1:30" s="119" customFormat="1" ht="24.9" hidden="1" customHeight="1">
      <c r="A54" s="296">
        <v>5</v>
      </c>
      <c r="B54" s="207" t="s">
        <v>1062</v>
      </c>
      <c r="C54" s="297" t="s">
        <v>1072</v>
      </c>
      <c r="D54" s="207" t="s">
        <v>241</v>
      </c>
      <c r="E54" s="298">
        <v>1</v>
      </c>
      <c r="F54" s="207" t="s">
        <v>236</v>
      </c>
      <c r="G54" s="208"/>
      <c r="H54" s="208"/>
      <c r="I54" s="299"/>
      <c r="J54" s="218"/>
      <c r="K54" s="208">
        <v>150</v>
      </c>
      <c r="L54" s="208"/>
      <c r="M54" s="208" t="s">
        <v>1064</v>
      </c>
      <c r="N54" s="295" t="s">
        <v>1073</v>
      </c>
      <c r="O54" s="209"/>
      <c r="P54" s="209"/>
      <c r="Q54" s="347"/>
      <c r="R54" s="302"/>
      <c r="S54" s="27"/>
      <c r="T54" s="301"/>
      <c r="U54" s="27"/>
      <c r="V54" s="118"/>
    </row>
    <row r="55" spans="1:30" s="119" customFormat="1" ht="24.9" hidden="1" customHeight="1">
      <c r="A55" s="296">
        <v>6</v>
      </c>
      <c r="B55" s="207" t="s">
        <v>1062</v>
      </c>
      <c r="C55" s="297" t="s">
        <v>1074</v>
      </c>
      <c r="D55" s="207" t="s">
        <v>235</v>
      </c>
      <c r="E55" s="298">
        <v>1</v>
      </c>
      <c r="F55" s="207" t="s">
        <v>236</v>
      </c>
      <c r="G55" s="208"/>
      <c r="H55" s="208"/>
      <c r="I55" s="299"/>
      <c r="J55" s="218"/>
      <c r="K55" s="208">
        <v>150</v>
      </c>
      <c r="L55" s="208"/>
      <c r="M55" s="208" t="s">
        <v>1064</v>
      </c>
      <c r="N55" s="295" t="s">
        <v>1075</v>
      </c>
      <c r="O55" s="209"/>
      <c r="P55" s="209"/>
      <c r="Q55" s="347"/>
      <c r="R55" s="26"/>
      <c r="S55" s="27"/>
      <c r="T55" s="301"/>
      <c r="U55" s="27"/>
      <c r="V55" s="118"/>
      <c r="Y55" s="119">
        <v>85</v>
      </c>
      <c r="Z55" s="119">
        <v>60</v>
      </c>
      <c r="AA55" s="119">
        <v>120</v>
      </c>
      <c r="AB55" s="119">
        <f>ROUND(AA55*Z55*Y55/1000000,3)</f>
        <v>0.61199999999999999</v>
      </c>
      <c r="AC55" s="119">
        <f>SUM(AC50:AC51)</f>
        <v>0</v>
      </c>
      <c r="AD55" s="119">
        <f>SUM(AD50:AD51)</f>
        <v>0</v>
      </c>
    </row>
    <row r="56" spans="1:30" s="119" customFormat="1" ht="24.9" hidden="1" customHeight="1">
      <c r="A56" s="296">
        <v>7</v>
      </c>
      <c r="B56" s="207" t="s">
        <v>1062</v>
      </c>
      <c r="C56" s="297" t="s">
        <v>1076</v>
      </c>
      <c r="D56" s="207" t="s">
        <v>235</v>
      </c>
      <c r="E56" s="298">
        <v>1</v>
      </c>
      <c r="F56" s="207" t="s">
        <v>236</v>
      </c>
      <c r="G56" s="208"/>
      <c r="H56" s="208"/>
      <c r="I56" s="299"/>
      <c r="J56" s="218"/>
      <c r="K56" s="208">
        <v>150</v>
      </c>
      <c r="L56" s="208"/>
      <c r="M56" s="208" t="s">
        <v>1064</v>
      </c>
      <c r="N56" s="295" t="s">
        <v>1077</v>
      </c>
      <c r="O56" s="209"/>
      <c r="P56" s="209"/>
      <c r="Q56" s="347"/>
      <c r="R56" s="302"/>
      <c r="S56" s="27"/>
      <c r="T56" s="301"/>
      <c r="U56" s="27"/>
      <c r="V56" s="118"/>
    </row>
    <row r="57" spans="1:30" s="119" customFormat="1" ht="24.9" hidden="1" customHeight="1">
      <c r="A57" s="296">
        <v>8</v>
      </c>
      <c r="B57" s="207" t="s">
        <v>1062</v>
      </c>
      <c r="C57" s="297" t="s">
        <v>1078</v>
      </c>
      <c r="D57" s="207" t="s">
        <v>235</v>
      </c>
      <c r="E57" s="298">
        <v>1</v>
      </c>
      <c r="F57" s="207" t="s">
        <v>236</v>
      </c>
      <c r="G57" s="208"/>
      <c r="H57" s="208"/>
      <c r="I57" s="299"/>
      <c r="J57" s="218"/>
      <c r="K57" s="208">
        <v>150</v>
      </c>
      <c r="L57" s="208"/>
      <c r="M57" s="208" t="s">
        <v>1064</v>
      </c>
      <c r="N57" s="295" t="s">
        <v>1079</v>
      </c>
      <c r="O57" s="209"/>
      <c r="P57" s="209"/>
      <c r="Q57" s="347"/>
      <c r="R57" s="26"/>
      <c r="S57" s="27"/>
      <c r="T57" s="301"/>
      <c r="U57" s="27"/>
      <c r="V57" s="118"/>
    </row>
    <row r="58" spans="1:30" s="307" customFormat="1" ht="24.9" hidden="1" customHeight="1">
      <c r="A58" s="234"/>
      <c r="B58" s="235"/>
      <c r="C58" s="236"/>
      <c r="D58" s="237"/>
      <c r="E58" s="238">
        <f>SUM(E50:E57)</f>
        <v>8</v>
      </c>
      <c r="F58" s="237"/>
      <c r="G58" s="239">
        <v>280</v>
      </c>
      <c r="H58" s="239">
        <v>230</v>
      </c>
      <c r="I58" s="240">
        <v>210</v>
      </c>
      <c r="J58" s="241">
        <f>ROUND(I58*H58*G58/1000000,3)</f>
        <v>13.523999999999999</v>
      </c>
      <c r="K58" s="242">
        <f>SUM(K50:K57)</f>
        <v>1200</v>
      </c>
      <c r="L58" s="239">
        <f>K58+140</f>
        <v>1340</v>
      </c>
      <c r="M58" s="239"/>
      <c r="N58" s="243"/>
      <c r="O58" s="244"/>
      <c r="P58" s="245"/>
      <c r="Q58" s="348"/>
      <c r="R58" s="302"/>
      <c r="S58" s="304"/>
      <c r="T58" s="305"/>
      <c r="U58" s="304"/>
      <c r="V58" s="306"/>
    </row>
    <row r="59" spans="1:30" s="119" customFormat="1" ht="24.9" hidden="1" customHeight="1">
      <c r="A59" s="296">
        <v>1</v>
      </c>
      <c r="B59" s="207" t="s">
        <v>1080</v>
      </c>
      <c r="C59" s="297" t="s">
        <v>1081</v>
      </c>
      <c r="D59" s="207" t="s">
        <v>235</v>
      </c>
      <c r="E59" s="298">
        <v>1</v>
      </c>
      <c r="F59" s="207" t="s">
        <v>236</v>
      </c>
      <c r="G59" s="208"/>
      <c r="H59" s="208"/>
      <c r="I59" s="299"/>
      <c r="J59" s="218"/>
      <c r="K59" s="208">
        <v>150</v>
      </c>
      <c r="L59" s="208"/>
      <c r="M59" s="208" t="s">
        <v>1064</v>
      </c>
      <c r="N59" s="295" t="s">
        <v>1082</v>
      </c>
      <c r="O59" s="209"/>
      <c r="P59" s="209"/>
      <c r="Q59" s="347"/>
      <c r="R59" s="302"/>
      <c r="S59" s="27"/>
      <c r="T59" s="301"/>
      <c r="U59" s="27"/>
      <c r="V59" s="118"/>
    </row>
    <row r="60" spans="1:30" s="119" customFormat="1" ht="24.9" hidden="1" customHeight="1">
      <c r="A60" s="296">
        <v>2</v>
      </c>
      <c r="B60" s="207" t="s">
        <v>1080</v>
      </c>
      <c r="C60" s="297" t="s">
        <v>1083</v>
      </c>
      <c r="D60" s="207" t="s">
        <v>235</v>
      </c>
      <c r="E60" s="298">
        <v>1</v>
      </c>
      <c r="F60" s="207" t="s">
        <v>236</v>
      </c>
      <c r="G60" s="208"/>
      <c r="H60" s="208"/>
      <c r="I60" s="299"/>
      <c r="J60" s="218"/>
      <c r="K60" s="208">
        <v>150</v>
      </c>
      <c r="L60" s="208"/>
      <c r="M60" s="208" t="s">
        <v>1064</v>
      </c>
      <c r="N60" s="295" t="s">
        <v>1084</v>
      </c>
      <c r="O60" s="209"/>
      <c r="P60" s="209"/>
      <c r="Q60" s="347"/>
      <c r="R60" s="26"/>
      <c r="S60" s="27"/>
      <c r="T60" s="301"/>
      <c r="U60" s="27"/>
      <c r="V60" s="118"/>
    </row>
    <row r="61" spans="1:30" s="119" customFormat="1" ht="24.9" hidden="1" customHeight="1">
      <c r="A61" s="296">
        <v>3</v>
      </c>
      <c r="B61" s="207" t="s">
        <v>1080</v>
      </c>
      <c r="C61" s="297" t="s">
        <v>1085</v>
      </c>
      <c r="D61" s="207" t="s">
        <v>235</v>
      </c>
      <c r="E61" s="298">
        <v>1</v>
      </c>
      <c r="F61" s="207" t="s">
        <v>236</v>
      </c>
      <c r="G61" s="208"/>
      <c r="H61" s="208"/>
      <c r="I61" s="299"/>
      <c r="J61" s="218"/>
      <c r="K61" s="208">
        <v>150</v>
      </c>
      <c r="L61" s="208"/>
      <c r="M61" s="208" t="s">
        <v>1064</v>
      </c>
      <c r="N61" s="295" t="s">
        <v>1086</v>
      </c>
      <c r="O61" s="209"/>
      <c r="P61" s="209"/>
      <c r="Q61" s="347"/>
      <c r="R61" s="302"/>
      <c r="S61" s="27"/>
      <c r="T61" s="301"/>
      <c r="U61" s="27"/>
      <c r="V61" s="118"/>
    </row>
    <row r="62" spans="1:30" s="119" customFormat="1" ht="24.9" hidden="1" customHeight="1">
      <c r="A62" s="296">
        <v>4</v>
      </c>
      <c r="B62" s="207" t="s">
        <v>1080</v>
      </c>
      <c r="C62" s="297" t="s">
        <v>1087</v>
      </c>
      <c r="D62" s="207" t="s">
        <v>235</v>
      </c>
      <c r="E62" s="298">
        <v>1</v>
      </c>
      <c r="F62" s="207" t="s">
        <v>236</v>
      </c>
      <c r="G62" s="208"/>
      <c r="H62" s="208"/>
      <c r="I62" s="299"/>
      <c r="J62" s="218"/>
      <c r="K62" s="208">
        <v>150</v>
      </c>
      <c r="L62" s="208"/>
      <c r="M62" s="208" t="s">
        <v>1064</v>
      </c>
      <c r="N62" s="295" t="s">
        <v>1088</v>
      </c>
      <c r="O62" s="209"/>
      <c r="P62" s="209"/>
      <c r="Q62" s="347"/>
      <c r="R62" s="26"/>
      <c r="S62" s="27"/>
      <c r="T62" s="301"/>
      <c r="U62" s="27"/>
      <c r="V62" s="118"/>
    </row>
    <row r="63" spans="1:30" s="119" customFormat="1" ht="24.9" hidden="1" customHeight="1">
      <c r="A63" s="296">
        <v>5</v>
      </c>
      <c r="B63" s="207" t="s">
        <v>1080</v>
      </c>
      <c r="C63" s="297" t="s">
        <v>1089</v>
      </c>
      <c r="D63" s="207" t="s">
        <v>235</v>
      </c>
      <c r="E63" s="298">
        <v>1</v>
      </c>
      <c r="F63" s="207" t="s">
        <v>236</v>
      </c>
      <c r="G63" s="208"/>
      <c r="H63" s="208"/>
      <c r="I63" s="299"/>
      <c r="J63" s="218"/>
      <c r="K63" s="208">
        <v>150</v>
      </c>
      <c r="L63" s="208"/>
      <c r="M63" s="208" t="s">
        <v>1064</v>
      </c>
      <c r="N63" s="295" t="s">
        <v>1090</v>
      </c>
      <c r="O63" s="209"/>
      <c r="P63" s="209"/>
      <c r="Q63" s="347"/>
      <c r="R63" s="302"/>
      <c r="S63" s="27"/>
      <c r="T63" s="301"/>
      <c r="U63" s="27"/>
      <c r="V63" s="118"/>
    </row>
    <row r="64" spans="1:30" s="119" customFormat="1" ht="24.9" hidden="1" customHeight="1">
      <c r="A64" s="296">
        <v>6</v>
      </c>
      <c r="B64" s="207" t="s">
        <v>1080</v>
      </c>
      <c r="C64" s="297" t="s">
        <v>1091</v>
      </c>
      <c r="D64" s="207" t="s">
        <v>235</v>
      </c>
      <c r="E64" s="298">
        <v>1</v>
      </c>
      <c r="F64" s="207" t="s">
        <v>236</v>
      </c>
      <c r="G64" s="208"/>
      <c r="H64" s="208"/>
      <c r="I64" s="299"/>
      <c r="J64" s="218"/>
      <c r="K64" s="208">
        <v>150</v>
      </c>
      <c r="L64" s="208"/>
      <c r="M64" s="208" t="s">
        <v>1064</v>
      </c>
      <c r="N64" s="295" t="s">
        <v>1092</v>
      </c>
      <c r="O64" s="209"/>
      <c r="P64" s="209"/>
      <c r="Q64" s="347"/>
      <c r="R64" s="26"/>
      <c r="S64" s="27"/>
      <c r="T64" s="301"/>
      <c r="U64" s="27"/>
      <c r="V64" s="118"/>
    </row>
    <row r="65" spans="1:22" s="119" customFormat="1" ht="24.9" hidden="1" customHeight="1">
      <c r="A65" s="296">
        <v>7</v>
      </c>
      <c r="B65" s="207" t="s">
        <v>1080</v>
      </c>
      <c r="C65" s="297" t="s">
        <v>1093</v>
      </c>
      <c r="D65" s="207" t="s">
        <v>235</v>
      </c>
      <c r="E65" s="298">
        <v>1</v>
      </c>
      <c r="F65" s="207" t="s">
        <v>236</v>
      </c>
      <c r="G65" s="208"/>
      <c r="H65" s="208"/>
      <c r="I65" s="299"/>
      <c r="J65" s="218"/>
      <c r="K65" s="208">
        <v>150</v>
      </c>
      <c r="L65" s="208"/>
      <c r="M65" s="208" t="s">
        <v>1064</v>
      </c>
      <c r="N65" s="295" t="s">
        <v>1094</v>
      </c>
      <c r="O65" s="209"/>
      <c r="P65" s="209"/>
      <c r="Q65" s="347"/>
      <c r="R65" s="302"/>
      <c r="S65" s="27"/>
      <c r="T65" s="301"/>
      <c r="U65" s="27"/>
      <c r="V65" s="118"/>
    </row>
    <row r="66" spans="1:22" s="119" customFormat="1" ht="24.9" hidden="1" customHeight="1">
      <c r="A66" s="296">
        <v>8</v>
      </c>
      <c r="B66" s="207" t="s">
        <v>1080</v>
      </c>
      <c r="C66" s="297" t="s">
        <v>1095</v>
      </c>
      <c r="D66" s="207" t="s">
        <v>235</v>
      </c>
      <c r="E66" s="298">
        <v>1</v>
      </c>
      <c r="F66" s="207" t="s">
        <v>236</v>
      </c>
      <c r="G66" s="208"/>
      <c r="H66" s="208"/>
      <c r="I66" s="299"/>
      <c r="J66" s="218"/>
      <c r="K66" s="208">
        <v>150</v>
      </c>
      <c r="L66" s="208"/>
      <c r="M66" s="208" t="s">
        <v>1064</v>
      </c>
      <c r="N66" s="295" t="s">
        <v>1096</v>
      </c>
      <c r="O66" s="209"/>
      <c r="P66" s="209"/>
      <c r="Q66" s="347"/>
      <c r="R66" s="26"/>
      <c r="S66" s="27"/>
      <c r="T66" s="301"/>
      <c r="U66" s="27"/>
      <c r="V66" s="118"/>
    </row>
    <row r="67" spans="1:22" s="307" customFormat="1" ht="24.9" hidden="1" customHeight="1">
      <c r="A67" s="234"/>
      <c r="B67" s="235"/>
      <c r="C67" s="236"/>
      <c r="D67" s="237"/>
      <c r="E67" s="238">
        <f>SUM(E59:E66)</f>
        <v>8</v>
      </c>
      <c r="F67" s="237"/>
      <c r="G67" s="239">
        <v>280</v>
      </c>
      <c r="H67" s="239">
        <v>230</v>
      </c>
      <c r="I67" s="240">
        <v>210</v>
      </c>
      <c r="J67" s="241">
        <f>ROUND(I67*H67*G67/1000000,3)</f>
        <v>13.523999999999999</v>
      </c>
      <c r="K67" s="242">
        <f>SUM(K59:K66)</f>
        <v>1200</v>
      </c>
      <c r="L67" s="239">
        <f>K67+140</f>
        <v>1340</v>
      </c>
      <c r="M67" s="239"/>
      <c r="N67" s="243"/>
      <c r="O67" s="244"/>
      <c r="P67" s="245"/>
      <c r="Q67" s="348"/>
      <c r="R67" s="302"/>
      <c r="S67" s="304"/>
      <c r="T67" s="305"/>
      <c r="U67" s="304"/>
      <c r="V67" s="306"/>
    </row>
    <row r="68" spans="1:22" s="119" customFormat="1" ht="24.9" hidden="1" customHeight="1">
      <c r="A68" s="296">
        <v>1</v>
      </c>
      <c r="B68" s="207" t="s">
        <v>1097</v>
      </c>
      <c r="C68" s="297" t="s">
        <v>1098</v>
      </c>
      <c r="D68" s="207" t="s">
        <v>235</v>
      </c>
      <c r="E68" s="298">
        <v>1</v>
      </c>
      <c r="F68" s="207" t="s">
        <v>236</v>
      </c>
      <c r="G68" s="208"/>
      <c r="H68" s="208"/>
      <c r="I68" s="299"/>
      <c r="J68" s="218"/>
      <c r="K68" s="208">
        <v>150</v>
      </c>
      <c r="L68" s="208"/>
      <c r="M68" s="208" t="s">
        <v>1064</v>
      </c>
      <c r="N68" s="295" t="s">
        <v>1099</v>
      </c>
      <c r="O68" s="209"/>
      <c r="P68" s="209"/>
      <c r="Q68" s="347"/>
      <c r="R68" s="302"/>
      <c r="S68" s="27"/>
      <c r="T68" s="301"/>
      <c r="U68" s="27"/>
      <c r="V68" s="118"/>
    </row>
    <row r="69" spans="1:22" s="119" customFormat="1" ht="24.9" hidden="1" customHeight="1">
      <c r="A69" s="296">
        <v>2</v>
      </c>
      <c r="B69" s="207" t="s">
        <v>1097</v>
      </c>
      <c r="C69" s="297" t="s">
        <v>1100</v>
      </c>
      <c r="D69" s="207" t="s">
        <v>235</v>
      </c>
      <c r="E69" s="298">
        <v>1</v>
      </c>
      <c r="F69" s="207" t="s">
        <v>236</v>
      </c>
      <c r="G69" s="208"/>
      <c r="H69" s="208"/>
      <c r="I69" s="299"/>
      <c r="J69" s="218"/>
      <c r="K69" s="208">
        <v>150</v>
      </c>
      <c r="L69" s="208"/>
      <c r="M69" s="208" t="s">
        <v>1064</v>
      </c>
      <c r="N69" s="295" t="s">
        <v>1101</v>
      </c>
      <c r="O69" s="209"/>
      <c r="P69" s="209"/>
      <c r="Q69" s="347"/>
      <c r="R69" s="26"/>
      <c r="S69" s="27"/>
      <c r="T69" s="301"/>
      <c r="U69" s="27"/>
      <c r="V69" s="118"/>
    </row>
    <row r="70" spans="1:22" s="119" customFormat="1" ht="24.9" hidden="1" customHeight="1">
      <c r="A70" s="296">
        <v>3</v>
      </c>
      <c r="B70" s="207" t="s">
        <v>1097</v>
      </c>
      <c r="C70" s="297" t="s">
        <v>1102</v>
      </c>
      <c r="D70" s="207" t="s">
        <v>235</v>
      </c>
      <c r="E70" s="298">
        <v>1</v>
      </c>
      <c r="F70" s="207" t="s">
        <v>236</v>
      </c>
      <c r="G70" s="208"/>
      <c r="H70" s="208"/>
      <c r="I70" s="299"/>
      <c r="J70" s="218"/>
      <c r="K70" s="208">
        <v>150</v>
      </c>
      <c r="L70" s="208"/>
      <c r="M70" s="208" t="s">
        <v>1064</v>
      </c>
      <c r="N70" s="295" t="s">
        <v>1103</v>
      </c>
      <c r="O70" s="209"/>
      <c r="P70" s="209"/>
      <c r="Q70" s="347"/>
      <c r="R70" s="302"/>
      <c r="S70" s="27"/>
      <c r="T70" s="301"/>
      <c r="U70" s="27"/>
      <c r="V70" s="118"/>
    </row>
    <row r="71" spans="1:22" s="119" customFormat="1" ht="24.9" hidden="1" customHeight="1">
      <c r="A71" s="296">
        <v>4</v>
      </c>
      <c r="B71" s="207" t="s">
        <v>1097</v>
      </c>
      <c r="C71" s="297" t="s">
        <v>1104</v>
      </c>
      <c r="D71" s="207" t="s">
        <v>235</v>
      </c>
      <c r="E71" s="298">
        <v>1</v>
      </c>
      <c r="F71" s="207" t="s">
        <v>236</v>
      </c>
      <c r="G71" s="208"/>
      <c r="H71" s="208"/>
      <c r="I71" s="299"/>
      <c r="J71" s="218"/>
      <c r="K71" s="208">
        <v>150</v>
      </c>
      <c r="L71" s="208"/>
      <c r="M71" s="208" t="s">
        <v>1064</v>
      </c>
      <c r="N71" s="295" t="s">
        <v>1105</v>
      </c>
      <c r="O71" s="209"/>
      <c r="P71" s="209"/>
      <c r="Q71" s="347"/>
      <c r="R71" s="26"/>
      <c r="S71" s="27"/>
      <c r="T71" s="301"/>
      <c r="U71" s="27"/>
      <c r="V71" s="118"/>
    </row>
    <row r="72" spans="1:22" s="119" customFormat="1" ht="24.9" hidden="1" customHeight="1">
      <c r="A72" s="296">
        <v>5</v>
      </c>
      <c r="B72" s="207" t="s">
        <v>1097</v>
      </c>
      <c r="C72" s="297" t="s">
        <v>1106</v>
      </c>
      <c r="D72" s="207" t="s">
        <v>235</v>
      </c>
      <c r="E72" s="298">
        <v>1</v>
      </c>
      <c r="F72" s="207" t="s">
        <v>236</v>
      </c>
      <c r="G72" s="208"/>
      <c r="H72" s="208"/>
      <c r="I72" s="299"/>
      <c r="J72" s="218"/>
      <c r="K72" s="208">
        <v>150</v>
      </c>
      <c r="L72" s="208"/>
      <c r="M72" s="208" t="s">
        <v>1064</v>
      </c>
      <c r="N72" s="295" t="s">
        <v>1107</v>
      </c>
      <c r="O72" s="209"/>
      <c r="P72" s="209"/>
      <c r="Q72" s="347"/>
      <c r="R72" s="302"/>
      <c r="S72" s="27"/>
      <c r="T72" s="301"/>
      <c r="U72" s="27"/>
      <c r="V72" s="118"/>
    </row>
    <row r="73" spans="1:22" s="119" customFormat="1" ht="24.9" hidden="1" customHeight="1">
      <c r="A73" s="296">
        <v>6</v>
      </c>
      <c r="B73" s="207" t="s">
        <v>1097</v>
      </c>
      <c r="C73" s="297" t="s">
        <v>1108</v>
      </c>
      <c r="D73" s="207" t="s">
        <v>235</v>
      </c>
      <c r="E73" s="298">
        <v>1</v>
      </c>
      <c r="F73" s="207" t="s">
        <v>236</v>
      </c>
      <c r="G73" s="208"/>
      <c r="H73" s="208"/>
      <c r="I73" s="299"/>
      <c r="J73" s="218"/>
      <c r="K73" s="208">
        <v>150</v>
      </c>
      <c r="L73" s="208"/>
      <c r="M73" s="208" t="s">
        <v>1064</v>
      </c>
      <c r="N73" s="295" t="s">
        <v>1109</v>
      </c>
      <c r="O73" s="209"/>
      <c r="P73" s="209"/>
      <c r="Q73" s="347"/>
      <c r="R73" s="26"/>
      <c r="S73" s="27"/>
      <c r="T73" s="301"/>
      <c r="U73" s="27"/>
      <c r="V73" s="118"/>
    </row>
    <row r="74" spans="1:22" s="119" customFormat="1" ht="24.9" hidden="1" customHeight="1">
      <c r="A74" s="296">
        <v>7</v>
      </c>
      <c r="B74" s="207" t="s">
        <v>1097</v>
      </c>
      <c r="C74" s="297" t="s">
        <v>1110</v>
      </c>
      <c r="D74" s="207" t="s">
        <v>235</v>
      </c>
      <c r="E74" s="298">
        <v>1</v>
      </c>
      <c r="F74" s="207" t="s">
        <v>236</v>
      </c>
      <c r="G74" s="208"/>
      <c r="H74" s="208"/>
      <c r="I74" s="299"/>
      <c r="J74" s="218"/>
      <c r="K74" s="208">
        <v>150</v>
      </c>
      <c r="L74" s="208"/>
      <c r="M74" s="208" t="s">
        <v>1064</v>
      </c>
      <c r="N74" s="295" t="s">
        <v>1111</v>
      </c>
      <c r="O74" s="209"/>
      <c r="P74" s="209"/>
      <c r="Q74" s="347"/>
      <c r="R74" s="302"/>
      <c r="S74" s="27"/>
      <c r="T74" s="301"/>
      <c r="U74" s="27"/>
      <c r="V74" s="118"/>
    </row>
    <row r="75" spans="1:22" s="119" customFormat="1" ht="24.75" hidden="1" customHeight="1">
      <c r="A75" s="296">
        <v>8</v>
      </c>
      <c r="B75" s="207" t="s">
        <v>1097</v>
      </c>
      <c r="C75" s="297" t="s">
        <v>1112</v>
      </c>
      <c r="D75" s="207" t="s">
        <v>235</v>
      </c>
      <c r="E75" s="298">
        <v>1</v>
      </c>
      <c r="F75" s="207" t="s">
        <v>236</v>
      </c>
      <c r="G75" s="208"/>
      <c r="H75" s="208"/>
      <c r="I75" s="299"/>
      <c r="J75" s="218"/>
      <c r="K75" s="208">
        <v>150</v>
      </c>
      <c r="L75" s="208"/>
      <c r="M75" s="208" t="s">
        <v>1064</v>
      </c>
      <c r="N75" s="295" t="s">
        <v>1113</v>
      </c>
      <c r="O75" s="209"/>
      <c r="P75" s="209"/>
      <c r="Q75" s="347"/>
      <c r="R75" s="26"/>
      <c r="S75" s="27"/>
      <c r="T75" s="301"/>
      <c r="U75" s="27"/>
      <c r="V75" s="118"/>
    </row>
    <row r="76" spans="1:22" s="119" customFormat="1" ht="24.75" hidden="1" customHeight="1">
      <c r="A76" s="296">
        <v>9</v>
      </c>
      <c r="B76" s="207" t="s">
        <v>1097</v>
      </c>
      <c r="C76" s="425" t="s">
        <v>1114</v>
      </c>
      <c r="D76" s="207" t="s">
        <v>235</v>
      </c>
      <c r="E76" s="298">
        <v>24</v>
      </c>
      <c r="F76" s="207" t="s">
        <v>236</v>
      </c>
      <c r="G76" s="208"/>
      <c r="H76" s="208"/>
      <c r="I76" s="299"/>
      <c r="J76" s="218"/>
      <c r="K76" s="208">
        <v>240</v>
      </c>
      <c r="L76" s="208"/>
      <c r="M76" s="208"/>
      <c r="N76" s="295"/>
      <c r="O76" s="209"/>
      <c r="P76" s="209"/>
      <c r="Q76" s="347"/>
      <c r="R76" s="26"/>
      <c r="S76" s="27"/>
      <c r="T76" s="301"/>
      <c r="U76" s="27"/>
      <c r="V76" s="118"/>
    </row>
    <row r="77" spans="1:22" s="119" customFormat="1" ht="24.75" hidden="1" customHeight="1">
      <c r="A77" s="296">
        <v>10</v>
      </c>
      <c r="B77" s="207" t="s">
        <v>1097</v>
      </c>
      <c r="C77" s="425" t="s">
        <v>1115</v>
      </c>
      <c r="D77" s="207" t="s">
        <v>235</v>
      </c>
      <c r="E77" s="298">
        <v>24</v>
      </c>
      <c r="F77" s="207" t="s">
        <v>236</v>
      </c>
      <c r="G77" s="208"/>
      <c r="H77" s="208"/>
      <c r="I77" s="299"/>
      <c r="J77" s="218"/>
      <c r="K77" s="208">
        <f>8*24</f>
        <v>192</v>
      </c>
      <c r="L77" s="208"/>
      <c r="M77" s="208"/>
      <c r="N77" s="295"/>
      <c r="O77" s="209"/>
      <c r="P77" s="209"/>
      <c r="Q77" s="347"/>
      <c r="R77" s="26"/>
      <c r="S77" s="27"/>
      <c r="T77" s="301"/>
      <c r="U77" s="27"/>
      <c r="V77" s="118"/>
    </row>
    <row r="78" spans="1:22" s="119" customFormat="1" ht="24.75" hidden="1" customHeight="1">
      <c r="A78" s="296">
        <v>11</v>
      </c>
      <c r="B78" s="207" t="s">
        <v>1097</v>
      </c>
      <c r="C78" s="425" t="s">
        <v>1116</v>
      </c>
      <c r="D78" s="207" t="s">
        <v>235</v>
      </c>
      <c r="E78" s="298">
        <v>24</v>
      </c>
      <c r="F78" s="207" t="s">
        <v>236</v>
      </c>
      <c r="G78" s="208"/>
      <c r="H78" s="208"/>
      <c r="I78" s="299"/>
      <c r="J78" s="218"/>
      <c r="K78" s="208">
        <v>50</v>
      </c>
      <c r="L78" s="208"/>
      <c r="M78" s="208"/>
      <c r="N78" s="295"/>
      <c r="O78" s="209"/>
      <c r="P78" s="209"/>
      <c r="Q78" s="347"/>
      <c r="R78" s="26"/>
      <c r="S78" s="27"/>
      <c r="T78" s="301"/>
      <c r="U78" s="27"/>
      <c r="V78" s="118"/>
    </row>
    <row r="79" spans="1:22" s="119" customFormat="1" ht="24.75" hidden="1" customHeight="1">
      <c r="A79" s="296">
        <v>12</v>
      </c>
      <c r="B79" s="207" t="s">
        <v>1097</v>
      </c>
      <c r="C79" s="425" t="s">
        <v>1117</v>
      </c>
      <c r="D79" s="207" t="s">
        <v>235</v>
      </c>
      <c r="E79" s="298">
        <v>24</v>
      </c>
      <c r="F79" s="207" t="s">
        <v>236</v>
      </c>
      <c r="G79" s="208"/>
      <c r="H79" s="208"/>
      <c r="I79" s="299"/>
      <c r="J79" s="218"/>
      <c r="K79" s="208">
        <v>50</v>
      </c>
      <c r="L79" s="208"/>
      <c r="M79" s="208"/>
      <c r="N79" s="295"/>
      <c r="O79" s="209"/>
      <c r="P79" s="209"/>
      <c r="Q79" s="347"/>
      <c r="R79" s="26"/>
      <c r="S79" s="27"/>
      <c r="T79" s="301"/>
      <c r="U79" s="27"/>
      <c r="V79" s="118"/>
    </row>
    <row r="80" spans="1:22" s="119" customFormat="1" ht="24.75" hidden="1" customHeight="1">
      <c r="A80" s="296">
        <v>13</v>
      </c>
      <c r="B80" s="207" t="s">
        <v>1097</v>
      </c>
      <c r="C80" s="425" t="s">
        <v>1118</v>
      </c>
      <c r="D80" s="207" t="s">
        <v>235</v>
      </c>
      <c r="E80" s="298">
        <v>24</v>
      </c>
      <c r="F80" s="207" t="s">
        <v>236</v>
      </c>
      <c r="G80" s="208"/>
      <c r="H80" s="208"/>
      <c r="I80" s="299"/>
      <c r="J80" s="218"/>
      <c r="K80" s="208">
        <v>50</v>
      </c>
      <c r="L80" s="208"/>
      <c r="M80" s="208"/>
      <c r="N80" s="295"/>
      <c r="O80" s="209"/>
      <c r="P80" s="209"/>
      <c r="Q80" s="347"/>
      <c r="R80" s="26"/>
      <c r="S80" s="27"/>
      <c r="T80" s="301"/>
      <c r="U80" s="27"/>
      <c r="V80" s="118"/>
    </row>
    <row r="81" spans="1:22" s="119" customFormat="1" ht="24.75" hidden="1" customHeight="1">
      <c r="A81" s="296">
        <v>14</v>
      </c>
      <c r="B81" s="207" t="s">
        <v>1097</v>
      </c>
      <c r="C81" s="425" t="s">
        <v>1119</v>
      </c>
      <c r="D81" s="207" t="s">
        <v>235</v>
      </c>
      <c r="E81" s="298">
        <v>24</v>
      </c>
      <c r="F81" s="207" t="s">
        <v>236</v>
      </c>
      <c r="G81" s="208"/>
      <c r="H81" s="208"/>
      <c r="I81" s="299"/>
      <c r="J81" s="218"/>
      <c r="K81" s="208">
        <v>10</v>
      </c>
      <c r="L81" s="208"/>
      <c r="M81" s="208"/>
      <c r="N81" s="295"/>
      <c r="O81" s="209"/>
      <c r="P81" s="209"/>
      <c r="Q81" s="347"/>
      <c r="R81" s="26"/>
      <c r="S81" s="27"/>
      <c r="T81" s="301"/>
      <c r="U81" s="27"/>
      <c r="V81" s="118"/>
    </row>
    <row r="82" spans="1:22" s="307" customFormat="1" ht="24.9" hidden="1" customHeight="1">
      <c r="A82" s="234"/>
      <c r="B82" s="235"/>
      <c r="C82" s="236"/>
      <c r="D82" s="237"/>
      <c r="E82" s="238">
        <f>SUM(E68:E81)</f>
        <v>152</v>
      </c>
      <c r="F82" s="237"/>
      <c r="G82" s="239">
        <v>280</v>
      </c>
      <c r="H82" s="239">
        <v>230</v>
      </c>
      <c r="I82" s="240">
        <v>255</v>
      </c>
      <c r="J82" s="241">
        <f>ROUND(I82*H82*G82/1000000,3)</f>
        <v>16.422000000000001</v>
      </c>
      <c r="K82" s="242">
        <f>SUM(K68:K81)</f>
        <v>1792</v>
      </c>
      <c r="L82" s="239">
        <f>K82+140</f>
        <v>1932</v>
      </c>
      <c r="M82" s="239"/>
      <c r="N82" s="243"/>
      <c r="O82" s="244"/>
      <c r="P82" s="245"/>
      <c r="Q82" s="348"/>
      <c r="R82" s="302"/>
      <c r="S82" s="304"/>
      <c r="T82" s="305"/>
      <c r="U82" s="304"/>
      <c r="V82" s="306"/>
    </row>
    <row r="83" spans="1:22" s="119" customFormat="1" ht="24.9" hidden="1" customHeight="1">
      <c r="A83" s="296">
        <v>1</v>
      </c>
      <c r="B83" s="207" t="s">
        <v>1120</v>
      </c>
      <c r="C83" s="303" t="s">
        <v>1121</v>
      </c>
      <c r="D83" s="207" t="s">
        <v>235</v>
      </c>
      <c r="E83" s="298">
        <v>1</v>
      </c>
      <c r="F83" s="207" t="s">
        <v>236</v>
      </c>
      <c r="G83" s="208"/>
      <c r="H83" s="208"/>
      <c r="I83" s="299"/>
      <c r="J83" s="218"/>
      <c r="K83" s="208">
        <f>210</f>
        <v>210</v>
      </c>
      <c r="L83" s="208"/>
      <c r="M83" s="208" t="s">
        <v>1122</v>
      </c>
      <c r="N83" s="295" t="s">
        <v>1123</v>
      </c>
      <c r="O83" s="209"/>
      <c r="P83" s="209"/>
      <c r="Q83" s="347"/>
      <c r="R83" s="26"/>
      <c r="S83" s="27"/>
      <c r="T83" s="301"/>
      <c r="U83" s="27"/>
      <c r="V83" s="118"/>
    </row>
    <row r="84" spans="1:22" s="119" customFormat="1" ht="24.9" hidden="1" customHeight="1">
      <c r="A84" s="296">
        <v>2</v>
      </c>
      <c r="B84" s="207" t="s">
        <v>1120</v>
      </c>
      <c r="C84" s="303" t="s">
        <v>1124</v>
      </c>
      <c r="D84" s="207" t="s">
        <v>235</v>
      </c>
      <c r="E84" s="298">
        <v>1</v>
      </c>
      <c r="F84" s="207" t="s">
        <v>236</v>
      </c>
      <c r="G84" s="208"/>
      <c r="H84" s="208"/>
      <c r="I84" s="299"/>
      <c r="J84" s="218"/>
      <c r="K84" s="208">
        <f>210</f>
        <v>210</v>
      </c>
      <c r="L84" s="208"/>
      <c r="M84" s="208" t="s">
        <v>1122</v>
      </c>
      <c r="N84" s="295" t="s">
        <v>1125</v>
      </c>
      <c r="O84" s="209"/>
      <c r="P84" s="209"/>
      <c r="Q84" s="347"/>
      <c r="R84" s="302"/>
      <c r="S84" s="27"/>
      <c r="T84" s="301"/>
      <c r="U84" s="27"/>
      <c r="V84" s="118"/>
    </row>
    <row r="85" spans="1:22" s="119" customFormat="1" ht="24.9" hidden="1" customHeight="1">
      <c r="A85" s="296">
        <v>3</v>
      </c>
      <c r="B85" s="207" t="s">
        <v>1120</v>
      </c>
      <c r="C85" s="303" t="s">
        <v>1126</v>
      </c>
      <c r="D85" s="207" t="s">
        <v>235</v>
      </c>
      <c r="E85" s="298">
        <v>1</v>
      </c>
      <c r="F85" s="207" t="s">
        <v>236</v>
      </c>
      <c r="G85" s="208"/>
      <c r="H85" s="208"/>
      <c r="I85" s="299"/>
      <c r="J85" s="218"/>
      <c r="K85" s="208">
        <f>210</f>
        <v>210</v>
      </c>
      <c r="L85" s="208"/>
      <c r="M85" s="208" t="s">
        <v>1122</v>
      </c>
      <c r="N85" s="295" t="s">
        <v>1127</v>
      </c>
      <c r="O85" s="209"/>
      <c r="P85" s="209"/>
      <c r="Q85" s="347"/>
      <c r="R85" s="26"/>
      <c r="S85" s="27"/>
      <c r="T85" s="301"/>
      <c r="U85" s="27"/>
      <c r="V85" s="118"/>
    </row>
    <row r="86" spans="1:22" s="119" customFormat="1" ht="24.9" hidden="1" customHeight="1">
      <c r="A86" s="296">
        <v>4</v>
      </c>
      <c r="B86" s="207" t="s">
        <v>1120</v>
      </c>
      <c r="C86" s="303" t="s">
        <v>1128</v>
      </c>
      <c r="D86" s="207" t="s">
        <v>235</v>
      </c>
      <c r="E86" s="298">
        <v>1</v>
      </c>
      <c r="F86" s="207" t="s">
        <v>236</v>
      </c>
      <c r="G86" s="208"/>
      <c r="H86" s="208"/>
      <c r="I86" s="299"/>
      <c r="J86" s="218"/>
      <c r="K86" s="208">
        <f>210</f>
        <v>210</v>
      </c>
      <c r="L86" s="208"/>
      <c r="M86" s="208" t="s">
        <v>1122</v>
      </c>
      <c r="N86" s="295" t="s">
        <v>1129</v>
      </c>
      <c r="O86" s="209"/>
      <c r="P86" s="209"/>
      <c r="Q86" s="347"/>
      <c r="R86" s="302"/>
      <c r="S86" s="27"/>
      <c r="T86" s="301"/>
      <c r="U86" s="27"/>
      <c r="V86" s="118"/>
    </row>
    <row r="87" spans="1:22" s="119" customFormat="1" ht="24.9" hidden="1" customHeight="1">
      <c r="A87" s="296">
        <v>5</v>
      </c>
      <c r="B87" s="207" t="s">
        <v>1120</v>
      </c>
      <c r="C87" s="303" t="s">
        <v>1130</v>
      </c>
      <c r="D87" s="207" t="s">
        <v>235</v>
      </c>
      <c r="E87" s="298">
        <v>1</v>
      </c>
      <c r="F87" s="207" t="s">
        <v>236</v>
      </c>
      <c r="G87" s="208"/>
      <c r="H87" s="208"/>
      <c r="I87" s="299"/>
      <c r="J87" s="218"/>
      <c r="K87" s="208">
        <f>210</f>
        <v>210</v>
      </c>
      <c r="L87" s="208"/>
      <c r="M87" s="208" t="s">
        <v>1122</v>
      </c>
      <c r="N87" s="295" t="s">
        <v>1131</v>
      </c>
      <c r="O87" s="209"/>
      <c r="P87" s="209"/>
      <c r="Q87" s="347"/>
      <c r="R87" s="26"/>
      <c r="S87" s="27"/>
      <c r="T87" s="301"/>
      <c r="U87" s="27"/>
      <c r="V87" s="118"/>
    </row>
    <row r="88" spans="1:22" s="119" customFormat="1" ht="24.75" hidden="1" customHeight="1">
      <c r="A88" s="296">
        <v>6</v>
      </c>
      <c r="B88" s="207" t="s">
        <v>1120</v>
      </c>
      <c r="C88" s="303" t="s">
        <v>1132</v>
      </c>
      <c r="D88" s="207" t="s">
        <v>235</v>
      </c>
      <c r="E88" s="298">
        <v>1</v>
      </c>
      <c r="F88" s="207" t="s">
        <v>236</v>
      </c>
      <c r="G88" s="208"/>
      <c r="H88" s="208"/>
      <c r="I88" s="299"/>
      <c r="J88" s="218"/>
      <c r="K88" s="208">
        <f>210</f>
        <v>210</v>
      </c>
      <c r="L88" s="208"/>
      <c r="M88" s="208" t="s">
        <v>1122</v>
      </c>
      <c r="N88" s="295" t="s">
        <v>1133</v>
      </c>
      <c r="O88" s="209"/>
      <c r="P88" s="209"/>
      <c r="Q88" s="347"/>
      <c r="R88" s="302"/>
      <c r="S88" s="27"/>
      <c r="T88" s="301"/>
      <c r="U88" s="27"/>
      <c r="V88" s="118"/>
    </row>
    <row r="89" spans="1:22" s="307" customFormat="1" ht="24.9" hidden="1" customHeight="1">
      <c r="A89" s="234"/>
      <c r="B89" s="235"/>
      <c r="C89" s="246"/>
      <c r="D89" s="237"/>
      <c r="E89" s="238">
        <f>SUM(E83:E88)</f>
        <v>6</v>
      </c>
      <c r="F89" s="237"/>
      <c r="G89" s="239">
        <v>244</v>
      </c>
      <c r="H89" s="239">
        <v>165</v>
      </c>
      <c r="I89" s="240">
        <v>150</v>
      </c>
      <c r="J89" s="241">
        <f>ROUND(I89*H89*G89/1000000,3)</f>
        <v>6.0389999999999997</v>
      </c>
      <c r="K89" s="242">
        <f>SUM(K83:K88)</f>
        <v>1260</v>
      </c>
      <c r="L89" s="239">
        <f>K89+100</f>
        <v>1360</v>
      </c>
      <c r="M89" s="239"/>
      <c r="N89" s="243"/>
      <c r="O89" s="245"/>
      <c r="P89" s="245"/>
      <c r="Q89" s="348"/>
      <c r="R89" s="26"/>
      <c r="S89" s="304"/>
      <c r="T89" s="305"/>
      <c r="U89" s="304"/>
      <c r="V89" s="306"/>
    </row>
    <row r="90" spans="1:22" s="119" customFormat="1" ht="24.9" hidden="1" customHeight="1">
      <c r="A90" s="296">
        <v>7</v>
      </c>
      <c r="B90" s="207" t="s">
        <v>1134</v>
      </c>
      <c r="C90" s="303" t="s">
        <v>1135</v>
      </c>
      <c r="D90" s="207" t="s">
        <v>235</v>
      </c>
      <c r="E90" s="298">
        <v>1</v>
      </c>
      <c r="F90" s="207" t="s">
        <v>236</v>
      </c>
      <c r="G90" s="208"/>
      <c r="H90" s="208"/>
      <c r="I90" s="299"/>
      <c r="J90" s="218"/>
      <c r="K90" s="208">
        <f>210</f>
        <v>210</v>
      </c>
      <c r="L90" s="208"/>
      <c r="M90" s="208" t="s">
        <v>1122</v>
      </c>
      <c r="N90" s="295" t="s">
        <v>1136</v>
      </c>
      <c r="O90" s="209"/>
      <c r="P90" s="209"/>
      <c r="Q90" s="347"/>
      <c r="R90" s="26"/>
      <c r="S90" s="27"/>
      <c r="T90" s="301"/>
      <c r="U90" s="27"/>
      <c r="V90" s="118"/>
    </row>
    <row r="91" spans="1:22" s="119" customFormat="1" ht="24.9" hidden="1" customHeight="1">
      <c r="A91" s="296">
        <v>8</v>
      </c>
      <c r="B91" s="207" t="s">
        <v>1134</v>
      </c>
      <c r="C91" s="303" t="s">
        <v>1137</v>
      </c>
      <c r="D91" s="207" t="s">
        <v>235</v>
      </c>
      <c r="E91" s="298">
        <v>1</v>
      </c>
      <c r="F91" s="207" t="s">
        <v>236</v>
      </c>
      <c r="G91" s="208"/>
      <c r="H91" s="208"/>
      <c r="I91" s="299"/>
      <c r="J91" s="218"/>
      <c r="K91" s="208">
        <f>210</f>
        <v>210</v>
      </c>
      <c r="L91" s="208"/>
      <c r="M91" s="208" t="s">
        <v>1122</v>
      </c>
      <c r="N91" s="295" t="s">
        <v>1138</v>
      </c>
      <c r="O91" s="209"/>
      <c r="P91" s="209"/>
      <c r="Q91" s="347"/>
      <c r="R91" s="302"/>
      <c r="S91" s="27"/>
      <c r="T91" s="301"/>
      <c r="U91" s="27"/>
      <c r="V91" s="118"/>
    </row>
    <row r="92" spans="1:22" s="119" customFormat="1" ht="24.9" hidden="1" customHeight="1">
      <c r="A92" s="296">
        <v>9</v>
      </c>
      <c r="B92" s="207" t="s">
        <v>1134</v>
      </c>
      <c r="C92" s="303" t="s">
        <v>1139</v>
      </c>
      <c r="D92" s="207" t="s">
        <v>235</v>
      </c>
      <c r="E92" s="298">
        <v>1</v>
      </c>
      <c r="F92" s="207" t="s">
        <v>236</v>
      </c>
      <c r="G92" s="208"/>
      <c r="H92" s="208"/>
      <c r="I92" s="299"/>
      <c r="J92" s="218"/>
      <c r="K92" s="208">
        <f>210</f>
        <v>210</v>
      </c>
      <c r="L92" s="208"/>
      <c r="M92" s="208" t="s">
        <v>1122</v>
      </c>
      <c r="N92" s="295" t="s">
        <v>1140</v>
      </c>
      <c r="O92" s="209"/>
      <c r="P92" s="209"/>
      <c r="Q92" s="347"/>
      <c r="R92" s="26"/>
      <c r="S92" s="27"/>
      <c r="T92" s="301"/>
      <c r="U92" s="27"/>
      <c r="V92" s="118"/>
    </row>
    <row r="93" spans="1:22" s="119" customFormat="1" ht="24.9" hidden="1" customHeight="1">
      <c r="A93" s="296">
        <v>10</v>
      </c>
      <c r="B93" s="207" t="s">
        <v>1134</v>
      </c>
      <c r="C93" s="303" t="s">
        <v>1141</v>
      </c>
      <c r="D93" s="207" t="s">
        <v>235</v>
      </c>
      <c r="E93" s="298">
        <v>1</v>
      </c>
      <c r="F93" s="207" t="s">
        <v>236</v>
      </c>
      <c r="G93" s="208"/>
      <c r="H93" s="208"/>
      <c r="I93" s="299"/>
      <c r="J93" s="218"/>
      <c r="K93" s="208">
        <f>210</f>
        <v>210</v>
      </c>
      <c r="L93" s="208"/>
      <c r="M93" s="208" t="s">
        <v>1122</v>
      </c>
      <c r="N93" s="295" t="s">
        <v>1142</v>
      </c>
      <c r="O93" s="209"/>
      <c r="P93" s="209"/>
      <c r="Q93" s="347"/>
      <c r="R93" s="302"/>
      <c r="S93" s="27"/>
      <c r="T93" s="301"/>
      <c r="U93" s="27"/>
      <c r="V93" s="118"/>
    </row>
    <row r="94" spans="1:22" s="119" customFormat="1" ht="24.9" hidden="1" customHeight="1">
      <c r="A94" s="296">
        <v>11</v>
      </c>
      <c r="B94" s="207" t="s">
        <v>1134</v>
      </c>
      <c r="C94" s="303" t="s">
        <v>1143</v>
      </c>
      <c r="D94" s="207" t="s">
        <v>235</v>
      </c>
      <c r="E94" s="298">
        <v>1</v>
      </c>
      <c r="F94" s="207" t="s">
        <v>236</v>
      </c>
      <c r="G94" s="208"/>
      <c r="H94" s="208"/>
      <c r="I94" s="299"/>
      <c r="J94" s="218"/>
      <c r="K94" s="208">
        <f>210</f>
        <v>210</v>
      </c>
      <c r="L94" s="208"/>
      <c r="M94" s="208" t="s">
        <v>1122</v>
      </c>
      <c r="N94" s="295" t="s">
        <v>1144</v>
      </c>
      <c r="O94" s="209"/>
      <c r="P94" s="209"/>
      <c r="Q94" s="347"/>
      <c r="R94" s="26"/>
      <c r="S94" s="27"/>
      <c r="T94" s="301"/>
      <c r="U94" s="27"/>
      <c r="V94" s="118"/>
    </row>
    <row r="95" spans="1:22" s="119" customFormat="1" ht="24.9" hidden="1" customHeight="1">
      <c r="A95" s="296">
        <v>12</v>
      </c>
      <c r="B95" s="207" t="s">
        <v>1134</v>
      </c>
      <c r="C95" s="303" t="s">
        <v>1145</v>
      </c>
      <c r="D95" s="207" t="s">
        <v>235</v>
      </c>
      <c r="E95" s="298">
        <v>1</v>
      </c>
      <c r="F95" s="207" t="s">
        <v>236</v>
      </c>
      <c r="G95" s="208"/>
      <c r="H95" s="208"/>
      <c r="I95" s="299"/>
      <c r="J95" s="218"/>
      <c r="K95" s="208">
        <f>210</f>
        <v>210</v>
      </c>
      <c r="L95" s="208"/>
      <c r="M95" s="208" t="s">
        <v>1122</v>
      </c>
      <c r="N95" s="295" t="s">
        <v>1146</v>
      </c>
      <c r="O95" s="209"/>
      <c r="P95" s="209"/>
      <c r="Q95" s="347"/>
      <c r="R95" s="302"/>
      <c r="S95" s="27"/>
      <c r="T95" s="301"/>
      <c r="U95" s="27"/>
      <c r="V95" s="118"/>
    </row>
    <row r="96" spans="1:22" s="307" customFormat="1" ht="24.9" hidden="1" customHeight="1">
      <c r="A96" s="234"/>
      <c r="B96" s="235"/>
      <c r="C96" s="246"/>
      <c r="D96" s="237"/>
      <c r="E96" s="238">
        <f>SUM(E90:E95)</f>
        <v>6</v>
      </c>
      <c r="F96" s="237"/>
      <c r="G96" s="239">
        <v>244</v>
      </c>
      <c r="H96" s="239">
        <v>165</v>
      </c>
      <c r="I96" s="240">
        <v>150</v>
      </c>
      <c r="J96" s="241">
        <f>ROUND(I96*H96*G96/1000000,3)</f>
        <v>6.0389999999999997</v>
      </c>
      <c r="K96" s="242">
        <f>SUM(K90:K95)</f>
        <v>1260</v>
      </c>
      <c r="L96" s="239">
        <f>K96+100</f>
        <v>1360</v>
      </c>
      <c r="M96" s="239"/>
      <c r="N96" s="243"/>
      <c r="O96" s="245"/>
      <c r="P96" s="245"/>
      <c r="Q96" s="348"/>
      <c r="R96" s="26"/>
      <c r="S96" s="304"/>
      <c r="T96" s="305"/>
      <c r="U96" s="304"/>
      <c r="V96" s="306"/>
    </row>
    <row r="97" spans="1:22" s="119" customFormat="1" ht="24.9" hidden="1" customHeight="1">
      <c r="A97" s="296">
        <v>13</v>
      </c>
      <c r="B97" s="207" t="s">
        <v>1147</v>
      </c>
      <c r="C97" s="303" t="s">
        <v>1148</v>
      </c>
      <c r="D97" s="207" t="s">
        <v>235</v>
      </c>
      <c r="E97" s="298">
        <v>1</v>
      </c>
      <c r="F97" s="207" t="s">
        <v>236</v>
      </c>
      <c r="G97" s="208"/>
      <c r="H97" s="208"/>
      <c r="I97" s="299"/>
      <c r="J97" s="218"/>
      <c r="K97" s="208">
        <f>210</f>
        <v>210</v>
      </c>
      <c r="L97" s="208"/>
      <c r="M97" s="208" t="s">
        <v>1122</v>
      </c>
      <c r="N97" s="295" t="s">
        <v>1149</v>
      </c>
      <c r="O97" s="209"/>
      <c r="P97" s="209"/>
      <c r="Q97" s="347"/>
      <c r="R97" s="26"/>
      <c r="S97" s="27"/>
      <c r="T97" s="301"/>
      <c r="U97" s="27"/>
      <c r="V97" s="118"/>
    </row>
    <row r="98" spans="1:22" s="119" customFormat="1" ht="24.9" hidden="1" customHeight="1">
      <c r="A98" s="296">
        <v>14</v>
      </c>
      <c r="B98" s="207" t="s">
        <v>1147</v>
      </c>
      <c r="C98" s="303" t="s">
        <v>1150</v>
      </c>
      <c r="D98" s="207" t="s">
        <v>235</v>
      </c>
      <c r="E98" s="298">
        <v>1</v>
      </c>
      <c r="F98" s="207" t="s">
        <v>236</v>
      </c>
      <c r="G98" s="208"/>
      <c r="H98" s="208"/>
      <c r="I98" s="299"/>
      <c r="J98" s="218"/>
      <c r="K98" s="208">
        <f>210</f>
        <v>210</v>
      </c>
      <c r="L98" s="208"/>
      <c r="M98" s="208" t="s">
        <v>1122</v>
      </c>
      <c r="N98" s="295" t="s">
        <v>1151</v>
      </c>
      <c r="O98" s="209"/>
      <c r="P98" s="209"/>
      <c r="Q98" s="347"/>
      <c r="R98" s="302"/>
      <c r="S98" s="27"/>
      <c r="T98" s="301"/>
      <c r="U98" s="27"/>
      <c r="V98" s="118"/>
    </row>
    <row r="99" spans="1:22" s="119" customFormat="1" ht="24.9" hidden="1" customHeight="1">
      <c r="A99" s="296">
        <v>15</v>
      </c>
      <c r="B99" s="207" t="s">
        <v>1147</v>
      </c>
      <c r="C99" s="303" t="s">
        <v>1152</v>
      </c>
      <c r="D99" s="207" t="s">
        <v>235</v>
      </c>
      <c r="E99" s="298">
        <v>1</v>
      </c>
      <c r="F99" s="207" t="s">
        <v>236</v>
      </c>
      <c r="G99" s="208"/>
      <c r="H99" s="208"/>
      <c r="I99" s="299"/>
      <c r="J99" s="218"/>
      <c r="K99" s="208">
        <f>210</f>
        <v>210</v>
      </c>
      <c r="L99" s="208"/>
      <c r="M99" s="208" t="s">
        <v>1122</v>
      </c>
      <c r="N99" s="295" t="s">
        <v>1153</v>
      </c>
      <c r="O99" s="209"/>
      <c r="P99" s="209"/>
      <c r="Q99" s="347"/>
      <c r="R99" s="26"/>
      <c r="S99" s="27"/>
      <c r="T99" s="301"/>
      <c r="U99" s="27"/>
      <c r="V99" s="118"/>
    </row>
    <row r="100" spans="1:22" s="119" customFormat="1" ht="24.9" hidden="1" customHeight="1">
      <c r="A100" s="296">
        <v>16</v>
      </c>
      <c r="B100" s="207" t="s">
        <v>1147</v>
      </c>
      <c r="C100" s="303" t="s">
        <v>1154</v>
      </c>
      <c r="D100" s="207" t="s">
        <v>235</v>
      </c>
      <c r="E100" s="298">
        <v>1</v>
      </c>
      <c r="F100" s="207" t="s">
        <v>236</v>
      </c>
      <c r="G100" s="208"/>
      <c r="H100" s="208"/>
      <c r="I100" s="299"/>
      <c r="J100" s="218"/>
      <c r="K100" s="208">
        <f>210</f>
        <v>210</v>
      </c>
      <c r="L100" s="208"/>
      <c r="M100" s="208" t="s">
        <v>1122</v>
      </c>
      <c r="N100" s="295" t="s">
        <v>1155</v>
      </c>
      <c r="O100" s="209"/>
      <c r="P100" s="209"/>
      <c r="Q100" s="347"/>
      <c r="R100" s="302"/>
      <c r="S100" s="27"/>
      <c r="T100" s="301"/>
      <c r="U100" s="27"/>
      <c r="V100" s="118"/>
    </row>
    <row r="101" spans="1:22" s="119" customFormat="1" ht="24.9" hidden="1" customHeight="1">
      <c r="A101" s="296">
        <v>17</v>
      </c>
      <c r="B101" s="207" t="s">
        <v>1147</v>
      </c>
      <c r="C101" s="303" t="s">
        <v>1156</v>
      </c>
      <c r="D101" s="207" t="s">
        <v>235</v>
      </c>
      <c r="E101" s="298">
        <v>1</v>
      </c>
      <c r="F101" s="207" t="s">
        <v>236</v>
      </c>
      <c r="G101" s="208"/>
      <c r="H101" s="208"/>
      <c r="I101" s="299"/>
      <c r="J101" s="218"/>
      <c r="K101" s="208">
        <f>210</f>
        <v>210</v>
      </c>
      <c r="L101" s="208"/>
      <c r="M101" s="208" t="s">
        <v>1122</v>
      </c>
      <c r="N101" s="295" t="s">
        <v>1157</v>
      </c>
      <c r="O101" s="209"/>
      <c r="P101" s="209"/>
      <c r="Q101" s="347"/>
      <c r="R101" s="26"/>
      <c r="S101" s="27"/>
      <c r="T101" s="301"/>
      <c r="U101" s="27"/>
      <c r="V101" s="118"/>
    </row>
    <row r="102" spans="1:22" s="119" customFormat="1" ht="24.9" hidden="1" customHeight="1">
      <c r="A102" s="296">
        <v>18</v>
      </c>
      <c r="B102" s="207" t="s">
        <v>1147</v>
      </c>
      <c r="C102" s="303" t="s">
        <v>1158</v>
      </c>
      <c r="D102" s="207" t="s">
        <v>235</v>
      </c>
      <c r="E102" s="298">
        <v>1</v>
      </c>
      <c r="F102" s="207" t="s">
        <v>236</v>
      </c>
      <c r="G102" s="208"/>
      <c r="H102" s="208"/>
      <c r="I102" s="299"/>
      <c r="J102" s="218"/>
      <c r="K102" s="208">
        <f>210</f>
        <v>210</v>
      </c>
      <c r="L102" s="208"/>
      <c r="M102" s="208" t="s">
        <v>1122</v>
      </c>
      <c r="N102" s="295" t="s">
        <v>1159</v>
      </c>
      <c r="O102" s="209"/>
      <c r="P102" s="209"/>
      <c r="Q102" s="347"/>
      <c r="R102" s="302"/>
      <c r="S102" s="27"/>
      <c r="T102" s="301"/>
      <c r="U102" s="27"/>
      <c r="V102" s="118"/>
    </row>
    <row r="103" spans="1:22" s="307" customFormat="1" ht="24.9" hidden="1" customHeight="1">
      <c r="A103" s="234"/>
      <c r="B103" s="235"/>
      <c r="C103" s="246"/>
      <c r="D103" s="237"/>
      <c r="E103" s="238">
        <f>SUM(E97:E102)</f>
        <v>6</v>
      </c>
      <c r="F103" s="237"/>
      <c r="G103" s="239">
        <v>244</v>
      </c>
      <c r="H103" s="239">
        <v>165</v>
      </c>
      <c r="I103" s="240">
        <v>150</v>
      </c>
      <c r="J103" s="241">
        <f>ROUND(I103*H103*G103/1000000,3)</f>
        <v>6.0389999999999997</v>
      </c>
      <c r="K103" s="242">
        <f>SUM(K97:K102)</f>
        <v>1260</v>
      </c>
      <c r="L103" s="239">
        <f>K103+100</f>
        <v>1360</v>
      </c>
      <c r="M103" s="239"/>
      <c r="N103" s="243"/>
      <c r="O103" s="245"/>
      <c r="P103" s="245"/>
      <c r="Q103" s="348"/>
      <c r="R103" s="26"/>
      <c r="S103" s="304"/>
      <c r="T103" s="305"/>
      <c r="U103" s="304"/>
      <c r="V103" s="306"/>
    </row>
    <row r="104" spans="1:22" s="119" customFormat="1" ht="24.9" hidden="1" customHeight="1">
      <c r="A104" s="296">
        <v>19</v>
      </c>
      <c r="B104" s="207" t="s">
        <v>1160</v>
      </c>
      <c r="C104" s="303" t="s">
        <v>1161</v>
      </c>
      <c r="D104" s="207" t="s">
        <v>235</v>
      </c>
      <c r="E104" s="298">
        <v>1</v>
      </c>
      <c r="F104" s="207" t="s">
        <v>236</v>
      </c>
      <c r="G104" s="208"/>
      <c r="H104" s="208"/>
      <c r="I104" s="299"/>
      <c r="J104" s="218"/>
      <c r="K104" s="208">
        <f>210</f>
        <v>210</v>
      </c>
      <c r="L104" s="208"/>
      <c r="M104" s="208" t="s">
        <v>1122</v>
      </c>
      <c r="N104" s="295" t="s">
        <v>1162</v>
      </c>
      <c r="O104" s="209"/>
      <c r="P104" s="209"/>
      <c r="Q104" s="347"/>
      <c r="R104" s="26"/>
      <c r="S104" s="27"/>
      <c r="T104" s="301"/>
      <c r="U104" s="27"/>
      <c r="V104" s="118"/>
    </row>
    <row r="105" spans="1:22" s="119" customFormat="1" ht="24.9" hidden="1" customHeight="1">
      <c r="A105" s="296">
        <v>20</v>
      </c>
      <c r="B105" s="207" t="s">
        <v>1160</v>
      </c>
      <c r="C105" s="303" t="s">
        <v>1163</v>
      </c>
      <c r="D105" s="207" t="s">
        <v>235</v>
      </c>
      <c r="E105" s="298">
        <v>1</v>
      </c>
      <c r="F105" s="207" t="s">
        <v>236</v>
      </c>
      <c r="G105" s="208"/>
      <c r="H105" s="208"/>
      <c r="I105" s="299"/>
      <c r="J105" s="218"/>
      <c r="K105" s="208">
        <f>210</f>
        <v>210</v>
      </c>
      <c r="L105" s="208"/>
      <c r="M105" s="208" t="s">
        <v>1122</v>
      </c>
      <c r="N105" s="295" t="s">
        <v>1164</v>
      </c>
      <c r="O105" s="209"/>
      <c r="P105" s="209"/>
      <c r="Q105" s="347"/>
      <c r="R105" s="302"/>
      <c r="S105" s="27"/>
      <c r="T105" s="301"/>
      <c r="U105" s="27"/>
      <c r="V105" s="118"/>
    </row>
    <row r="106" spans="1:22" s="119" customFormat="1" ht="24.9" hidden="1" customHeight="1">
      <c r="A106" s="296">
        <v>21</v>
      </c>
      <c r="B106" s="207" t="s">
        <v>1160</v>
      </c>
      <c r="C106" s="303" t="s">
        <v>1165</v>
      </c>
      <c r="D106" s="207" t="s">
        <v>235</v>
      </c>
      <c r="E106" s="298">
        <v>1</v>
      </c>
      <c r="F106" s="207" t="s">
        <v>236</v>
      </c>
      <c r="G106" s="208"/>
      <c r="H106" s="208"/>
      <c r="I106" s="299"/>
      <c r="J106" s="218"/>
      <c r="K106" s="208">
        <f>210</f>
        <v>210</v>
      </c>
      <c r="L106" s="208"/>
      <c r="M106" s="208" t="s">
        <v>1122</v>
      </c>
      <c r="N106" s="295" t="s">
        <v>1166</v>
      </c>
      <c r="O106" s="209"/>
      <c r="P106" s="209"/>
      <c r="Q106" s="347"/>
      <c r="R106" s="26"/>
      <c r="S106" s="27"/>
      <c r="T106" s="301"/>
      <c r="U106" s="27"/>
      <c r="V106" s="118"/>
    </row>
    <row r="107" spans="1:22" s="119" customFormat="1" ht="24.9" hidden="1" customHeight="1">
      <c r="A107" s="296">
        <v>22</v>
      </c>
      <c r="B107" s="207" t="s">
        <v>1160</v>
      </c>
      <c r="C107" s="303" t="s">
        <v>1167</v>
      </c>
      <c r="D107" s="207" t="s">
        <v>235</v>
      </c>
      <c r="E107" s="298">
        <v>1</v>
      </c>
      <c r="F107" s="207" t="s">
        <v>236</v>
      </c>
      <c r="G107" s="208"/>
      <c r="H107" s="208"/>
      <c r="I107" s="299"/>
      <c r="J107" s="218"/>
      <c r="K107" s="208">
        <f>210</f>
        <v>210</v>
      </c>
      <c r="L107" s="208"/>
      <c r="M107" s="208" t="s">
        <v>1122</v>
      </c>
      <c r="N107" s="295" t="s">
        <v>1168</v>
      </c>
      <c r="O107" s="209"/>
      <c r="P107" s="209"/>
      <c r="Q107" s="347"/>
      <c r="R107" s="302"/>
      <c r="S107" s="27"/>
      <c r="T107" s="301"/>
      <c r="U107" s="27"/>
      <c r="V107" s="118"/>
    </row>
    <row r="108" spans="1:22" s="119" customFormat="1" ht="24.9" hidden="1" customHeight="1">
      <c r="A108" s="296">
        <v>23</v>
      </c>
      <c r="B108" s="207" t="s">
        <v>1160</v>
      </c>
      <c r="C108" s="303" t="s">
        <v>1169</v>
      </c>
      <c r="D108" s="207" t="s">
        <v>235</v>
      </c>
      <c r="E108" s="298">
        <v>1</v>
      </c>
      <c r="F108" s="207" t="s">
        <v>236</v>
      </c>
      <c r="G108" s="208"/>
      <c r="H108" s="208"/>
      <c r="I108" s="299"/>
      <c r="J108" s="218"/>
      <c r="K108" s="208">
        <f>210</f>
        <v>210</v>
      </c>
      <c r="L108" s="208"/>
      <c r="M108" s="208" t="s">
        <v>1122</v>
      </c>
      <c r="N108" s="295" t="s">
        <v>1170</v>
      </c>
      <c r="O108" s="209"/>
      <c r="P108" s="209"/>
      <c r="Q108" s="347"/>
      <c r="R108" s="26"/>
      <c r="S108" s="27"/>
      <c r="T108" s="301"/>
      <c r="U108" s="27"/>
      <c r="V108" s="118"/>
    </row>
    <row r="109" spans="1:22" s="119" customFormat="1" ht="24.9" hidden="1" customHeight="1">
      <c r="A109" s="296">
        <v>24</v>
      </c>
      <c r="B109" s="207" t="s">
        <v>1160</v>
      </c>
      <c r="C109" s="303" t="s">
        <v>1171</v>
      </c>
      <c r="D109" s="207" t="s">
        <v>235</v>
      </c>
      <c r="E109" s="298">
        <v>1</v>
      </c>
      <c r="F109" s="207" t="s">
        <v>236</v>
      </c>
      <c r="G109" s="208"/>
      <c r="H109" s="208"/>
      <c r="I109" s="299"/>
      <c r="J109" s="218"/>
      <c r="K109" s="208">
        <f>210</f>
        <v>210</v>
      </c>
      <c r="L109" s="208"/>
      <c r="M109" s="208" t="s">
        <v>1122</v>
      </c>
      <c r="N109" s="295" t="s">
        <v>1172</v>
      </c>
      <c r="O109" s="209"/>
      <c r="P109" s="209"/>
      <c r="Q109" s="347"/>
      <c r="R109" s="302"/>
      <c r="S109" s="27"/>
      <c r="T109" s="301"/>
      <c r="U109" s="27"/>
      <c r="V109" s="118"/>
    </row>
    <row r="110" spans="1:22" s="307" customFormat="1" ht="24.9" hidden="1" customHeight="1">
      <c r="A110" s="234"/>
      <c r="B110" s="235"/>
      <c r="C110" s="246"/>
      <c r="D110" s="237"/>
      <c r="E110" s="238">
        <f>SUM(E104:E109)</f>
        <v>6</v>
      </c>
      <c r="F110" s="237"/>
      <c r="G110" s="239">
        <v>250</v>
      </c>
      <c r="H110" s="239">
        <v>185</v>
      </c>
      <c r="I110" s="240">
        <v>150</v>
      </c>
      <c r="J110" s="241">
        <f>ROUND(I110*H110*G110/1000000,3)</f>
        <v>6.9379999999999997</v>
      </c>
      <c r="K110" s="242">
        <f>SUM(K104:K109)</f>
        <v>1260</v>
      </c>
      <c r="L110" s="239">
        <f>K110+100</f>
        <v>1360</v>
      </c>
      <c r="M110" s="239"/>
      <c r="N110" s="243"/>
      <c r="O110" s="245"/>
      <c r="P110" s="245"/>
      <c r="Q110" s="348"/>
      <c r="R110" s="26"/>
      <c r="S110" s="304"/>
      <c r="T110" s="305"/>
      <c r="U110" s="304"/>
      <c r="V110" s="306"/>
    </row>
    <row r="111" spans="1:22" s="119" customFormat="1" ht="24.9" hidden="1" customHeight="1">
      <c r="A111" s="296">
        <v>1</v>
      </c>
      <c r="B111" s="207" t="s">
        <v>1173</v>
      </c>
      <c r="C111" s="303" t="s">
        <v>1174</v>
      </c>
      <c r="D111" s="207" t="s">
        <v>235</v>
      </c>
      <c r="E111" s="298">
        <v>1</v>
      </c>
      <c r="F111" s="207" t="s">
        <v>236</v>
      </c>
      <c r="G111" s="208"/>
      <c r="H111" s="208"/>
      <c r="I111" s="299"/>
      <c r="J111" s="218"/>
      <c r="K111" s="208">
        <v>600</v>
      </c>
      <c r="L111" s="208"/>
      <c r="M111" s="208" t="s">
        <v>1175</v>
      </c>
      <c r="N111" s="295" t="s">
        <v>1176</v>
      </c>
      <c r="O111" s="209"/>
      <c r="P111" s="25"/>
      <c r="Q111" s="347"/>
      <c r="R111" s="302"/>
      <c r="S111" s="27"/>
      <c r="T111" s="301"/>
      <c r="U111" s="27"/>
      <c r="V111" s="118"/>
    </row>
    <row r="112" spans="1:22" s="119" customFormat="1" ht="24.9" hidden="1" customHeight="1">
      <c r="A112" s="296">
        <v>2</v>
      </c>
      <c r="B112" s="207" t="s">
        <v>1173</v>
      </c>
      <c r="C112" s="303" t="s">
        <v>1177</v>
      </c>
      <c r="D112" s="207" t="s">
        <v>235</v>
      </c>
      <c r="E112" s="298">
        <v>1</v>
      </c>
      <c r="F112" s="207" t="s">
        <v>236</v>
      </c>
      <c r="G112" s="208"/>
      <c r="H112" s="208"/>
      <c r="I112" s="299"/>
      <c r="J112" s="218"/>
      <c r="K112" s="208">
        <v>600</v>
      </c>
      <c r="L112" s="208"/>
      <c r="M112" s="208" t="s">
        <v>1175</v>
      </c>
      <c r="N112" s="295" t="s">
        <v>1178</v>
      </c>
      <c r="O112" s="209"/>
      <c r="P112" s="25"/>
      <c r="Q112" s="347"/>
      <c r="R112" s="26"/>
      <c r="S112" s="27"/>
      <c r="T112" s="301"/>
      <c r="U112" s="27"/>
      <c r="V112" s="118"/>
    </row>
    <row r="113" spans="1:22" s="307" customFormat="1" ht="24.9" hidden="1" customHeight="1">
      <c r="A113" s="234"/>
      <c r="B113" s="235"/>
      <c r="C113" s="246"/>
      <c r="D113" s="237"/>
      <c r="E113" s="238">
        <f>SUM(E111:E112)</f>
        <v>2</v>
      </c>
      <c r="F113" s="237"/>
      <c r="G113" s="239">
        <v>250</v>
      </c>
      <c r="H113" s="239">
        <v>185</v>
      </c>
      <c r="I113" s="240">
        <v>110</v>
      </c>
      <c r="J113" s="241">
        <f>ROUND(I113*H113*G113/1000000,3)</f>
        <v>5.0880000000000001</v>
      </c>
      <c r="K113" s="242">
        <f>SUM(K111:K112)</f>
        <v>1200</v>
      </c>
      <c r="L113" s="239">
        <f>K113+100</f>
        <v>1300</v>
      </c>
      <c r="M113" s="239"/>
      <c r="N113" s="243"/>
      <c r="O113" s="244"/>
      <c r="P113" s="245"/>
      <c r="Q113" s="348"/>
      <c r="R113" s="302"/>
      <c r="S113" s="304"/>
      <c r="T113" s="305"/>
      <c r="U113" s="304"/>
      <c r="V113" s="306"/>
    </row>
    <row r="114" spans="1:22" s="119" customFormat="1" ht="24.9" hidden="1" customHeight="1">
      <c r="A114" s="296">
        <v>1</v>
      </c>
      <c r="B114" s="207" t="s">
        <v>1179</v>
      </c>
      <c r="C114" s="303" t="s">
        <v>1180</v>
      </c>
      <c r="D114" s="207" t="s">
        <v>235</v>
      </c>
      <c r="E114" s="298">
        <v>1</v>
      </c>
      <c r="F114" s="207" t="s">
        <v>236</v>
      </c>
      <c r="G114" s="208"/>
      <c r="H114" s="208"/>
      <c r="I114" s="299"/>
      <c r="J114" s="218"/>
      <c r="K114" s="208">
        <v>600</v>
      </c>
      <c r="L114" s="208"/>
      <c r="M114" s="208" t="s">
        <v>1175</v>
      </c>
      <c r="N114" s="295" t="s">
        <v>1181</v>
      </c>
      <c r="O114" s="209"/>
      <c r="P114" s="25"/>
      <c r="Q114" s="347"/>
      <c r="R114" s="302"/>
      <c r="S114" s="27"/>
      <c r="T114" s="301"/>
      <c r="U114" s="27"/>
      <c r="V114" s="118"/>
    </row>
    <row r="115" spans="1:22" s="119" customFormat="1" ht="24.9" hidden="1" customHeight="1">
      <c r="A115" s="296">
        <v>2</v>
      </c>
      <c r="B115" s="207" t="s">
        <v>1179</v>
      </c>
      <c r="C115" s="303" t="s">
        <v>1182</v>
      </c>
      <c r="D115" s="207" t="s">
        <v>235</v>
      </c>
      <c r="E115" s="298">
        <v>1</v>
      </c>
      <c r="F115" s="207" t="s">
        <v>236</v>
      </c>
      <c r="G115" s="208"/>
      <c r="H115" s="208"/>
      <c r="I115" s="299"/>
      <c r="J115" s="218"/>
      <c r="K115" s="208">
        <v>600</v>
      </c>
      <c r="L115" s="208"/>
      <c r="M115" s="208" t="s">
        <v>1175</v>
      </c>
      <c r="N115" s="295" t="s">
        <v>1183</v>
      </c>
      <c r="O115" s="209"/>
      <c r="P115" s="25"/>
      <c r="Q115" s="347"/>
      <c r="R115" s="26"/>
      <c r="S115" s="27"/>
      <c r="T115" s="301"/>
      <c r="U115" s="27"/>
      <c r="V115" s="118"/>
    </row>
    <row r="116" spans="1:22" s="307" customFormat="1" ht="24.9" hidden="1" customHeight="1">
      <c r="A116" s="234"/>
      <c r="B116" s="235"/>
      <c r="C116" s="246"/>
      <c r="D116" s="237"/>
      <c r="E116" s="238">
        <f>SUM(E114:E115)</f>
        <v>2</v>
      </c>
      <c r="F116" s="237"/>
      <c r="G116" s="239">
        <v>250</v>
      </c>
      <c r="H116" s="239">
        <v>185</v>
      </c>
      <c r="I116" s="240">
        <v>110</v>
      </c>
      <c r="J116" s="241">
        <f>ROUND(I116*H116*G116/1000000,3)</f>
        <v>5.0880000000000001</v>
      </c>
      <c r="K116" s="242">
        <f>SUM(K114:K115)</f>
        <v>1200</v>
      </c>
      <c r="L116" s="239">
        <f>K116+100</f>
        <v>1300</v>
      </c>
      <c r="M116" s="239"/>
      <c r="N116" s="243"/>
      <c r="O116" s="244"/>
      <c r="P116" s="245"/>
      <c r="Q116" s="348"/>
      <c r="R116" s="302"/>
      <c r="S116" s="304"/>
      <c r="T116" s="305"/>
      <c r="U116" s="304"/>
      <c r="V116" s="306"/>
    </row>
    <row r="117" spans="1:22" s="119" customFormat="1" ht="24.9" hidden="1" customHeight="1">
      <c r="A117" s="296">
        <v>1</v>
      </c>
      <c r="B117" s="207" t="s">
        <v>1184</v>
      </c>
      <c r="C117" s="303" t="s">
        <v>1185</v>
      </c>
      <c r="D117" s="207" t="s">
        <v>235</v>
      </c>
      <c r="E117" s="298">
        <v>1</v>
      </c>
      <c r="F117" s="207" t="s">
        <v>236</v>
      </c>
      <c r="G117" s="208"/>
      <c r="H117" s="208"/>
      <c r="I117" s="299"/>
      <c r="J117" s="218"/>
      <c r="K117" s="208">
        <v>2020</v>
      </c>
      <c r="L117" s="208"/>
      <c r="M117" s="376" t="s">
        <v>1186</v>
      </c>
      <c r="N117" s="295" t="s">
        <v>1187</v>
      </c>
      <c r="O117" s="209"/>
      <c r="P117" s="25"/>
      <c r="Q117" s="347"/>
      <c r="R117" s="26"/>
      <c r="S117" s="27"/>
      <c r="T117" s="301"/>
      <c r="U117" s="27"/>
      <c r="V117" s="118"/>
    </row>
    <row r="118" spans="1:22" s="307" customFormat="1" ht="24.75" hidden="1" customHeight="1">
      <c r="A118" s="234"/>
      <c r="B118" s="235"/>
      <c r="C118" s="246"/>
      <c r="D118" s="237"/>
      <c r="E118" s="238">
        <f>SUM(E115:E115)</f>
        <v>1</v>
      </c>
      <c r="F118" s="237"/>
      <c r="G118" s="239">
        <v>370</v>
      </c>
      <c r="H118" s="239">
        <v>190</v>
      </c>
      <c r="I118" s="240">
        <v>210</v>
      </c>
      <c r="J118" s="241">
        <f>ROUND(I118*H118*G118/1000000,3)</f>
        <v>14.763</v>
      </c>
      <c r="K118" s="242">
        <f>SUM(K117)</f>
        <v>2020</v>
      </c>
      <c r="L118" s="239">
        <f>K118+140</f>
        <v>2160</v>
      </c>
      <c r="M118" s="239"/>
      <c r="N118" s="243"/>
      <c r="O118" s="244"/>
      <c r="P118" s="245"/>
      <c r="Q118" s="348"/>
      <c r="R118" s="26"/>
      <c r="S118" s="304"/>
      <c r="T118" s="305"/>
      <c r="U118" s="304"/>
      <c r="V118" s="306"/>
    </row>
    <row r="119" spans="1:22" s="119" customFormat="1" ht="24.9" hidden="1" customHeight="1">
      <c r="A119" s="296">
        <v>2</v>
      </c>
      <c r="B119" s="207" t="s">
        <v>1188</v>
      </c>
      <c r="C119" s="303" t="s">
        <v>1189</v>
      </c>
      <c r="D119" s="207" t="s">
        <v>235</v>
      </c>
      <c r="E119" s="298">
        <v>1</v>
      </c>
      <c r="F119" s="207" t="s">
        <v>236</v>
      </c>
      <c r="G119" s="208"/>
      <c r="H119" s="208"/>
      <c r="I119" s="299"/>
      <c r="J119" s="218"/>
      <c r="K119" s="208">
        <v>2020</v>
      </c>
      <c r="L119" s="208"/>
      <c r="M119" s="376" t="s">
        <v>1186</v>
      </c>
      <c r="N119" s="295" t="s">
        <v>1190</v>
      </c>
      <c r="O119" s="209"/>
      <c r="P119" s="25"/>
      <c r="Q119" s="347"/>
      <c r="R119" s="302"/>
      <c r="S119" s="27"/>
      <c r="T119" s="301"/>
      <c r="U119" s="27"/>
      <c r="V119" s="118"/>
    </row>
    <row r="120" spans="1:22" s="307" customFormat="1" ht="24.75" hidden="1" customHeight="1">
      <c r="A120" s="234"/>
      <c r="B120" s="235"/>
      <c r="C120" s="246"/>
      <c r="D120" s="237"/>
      <c r="E120" s="238">
        <f>SUM(E117:E117)</f>
        <v>1</v>
      </c>
      <c r="F120" s="237"/>
      <c r="G120" s="239">
        <v>370</v>
      </c>
      <c r="H120" s="239">
        <v>190</v>
      </c>
      <c r="I120" s="240">
        <v>210</v>
      </c>
      <c r="J120" s="241">
        <f>ROUND(I120*H120*G120/1000000,3)</f>
        <v>14.763</v>
      </c>
      <c r="K120" s="242">
        <f>SUM(K117:K119)</f>
        <v>6060</v>
      </c>
      <c r="L120" s="239">
        <f>K120+140</f>
        <v>6200</v>
      </c>
      <c r="M120" s="239"/>
      <c r="N120" s="243"/>
      <c r="O120" s="244"/>
      <c r="P120" s="245"/>
      <c r="Q120" s="348"/>
      <c r="R120" s="26"/>
      <c r="S120" s="304"/>
      <c r="T120" s="305"/>
      <c r="U120" s="304"/>
      <c r="V120" s="306"/>
    </row>
    <row r="121" spans="1:22" s="119" customFormat="1" ht="24.9" hidden="1" customHeight="1">
      <c r="A121" s="296">
        <v>1</v>
      </c>
      <c r="B121" s="207" t="s">
        <v>1191</v>
      </c>
      <c r="C121" s="440" t="s">
        <v>1192</v>
      </c>
      <c r="D121" s="207" t="s">
        <v>235</v>
      </c>
      <c r="E121" s="298">
        <v>12</v>
      </c>
      <c r="F121" s="207" t="s">
        <v>236</v>
      </c>
      <c r="G121" s="429"/>
      <c r="H121" s="208"/>
      <c r="I121" s="441"/>
      <c r="J121" s="441"/>
      <c r="K121" s="208">
        <f>50*12</f>
        <v>600</v>
      </c>
      <c r="L121" s="208"/>
      <c r="M121" s="207"/>
      <c r="N121" s="295"/>
      <c r="O121" s="209"/>
      <c r="P121" s="25"/>
      <c r="Q121" s="347"/>
      <c r="R121" s="302"/>
      <c r="S121" s="27"/>
      <c r="T121" s="301"/>
      <c r="U121" s="27"/>
      <c r="V121" s="118"/>
    </row>
    <row r="122" spans="1:22" s="307" customFormat="1" ht="24.9" hidden="1" customHeight="1">
      <c r="A122" s="234"/>
      <c r="B122" s="235"/>
      <c r="C122" s="246"/>
      <c r="D122" s="237"/>
      <c r="E122" s="238">
        <f>SUM(E121)</f>
        <v>12</v>
      </c>
      <c r="F122" s="237"/>
      <c r="G122" s="239">
        <v>136</v>
      </c>
      <c r="H122" s="239">
        <v>106</v>
      </c>
      <c r="I122" s="240">
        <v>101</v>
      </c>
      <c r="J122" s="241">
        <f>ROUND(I122*H122*G122/1000000,3)</f>
        <v>1.456</v>
      </c>
      <c r="K122" s="242">
        <f>SUM(K121)</f>
        <v>600</v>
      </c>
      <c r="L122" s="239">
        <f>K122+140</f>
        <v>740</v>
      </c>
      <c r="M122" s="239"/>
      <c r="N122" s="243"/>
      <c r="O122" s="244"/>
      <c r="P122" s="245"/>
      <c r="Q122" s="348"/>
      <c r="R122" s="302"/>
      <c r="S122" s="304"/>
      <c r="T122" s="305"/>
      <c r="U122" s="304"/>
      <c r="V122" s="306"/>
    </row>
    <row r="123" spans="1:22" s="119" customFormat="1" ht="24.9" hidden="1" customHeight="1">
      <c r="A123" s="296">
        <v>1</v>
      </c>
      <c r="B123" s="207" t="s">
        <v>1193</v>
      </c>
      <c r="C123" s="440" t="s">
        <v>1192</v>
      </c>
      <c r="D123" s="207" t="s">
        <v>235</v>
      </c>
      <c r="E123" s="298">
        <v>12</v>
      </c>
      <c r="F123" s="207" t="s">
        <v>236</v>
      </c>
      <c r="G123" s="429"/>
      <c r="H123" s="208"/>
      <c r="I123" s="441"/>
      <c r="J123" s="441"/>
      <c r="K123" s="208">
        <f>50*12</f>
        <v>600</v>
      </c>
      <c r="L123" s="208"/>
      <c r="M123" s="207"/>
      <c r="N123" s="295"/>
      <c r="O123" s="209"/>
      <c r="P123" s="25"/>
      <c r="Q123" s="347"/>
      <c r="R123" s="302"/>
      <c r="S123" s="27"/>
      <c r="T123" s="301"/>
      <c r="U123" s="27"/>
      <c r="V123" s="118"/>
    </row>
    <row r="124" spans="1:22" s="307" customFormat="1" ht="24.9" hidden="1" customHeight="1">
      <c r="A124" s="234"/>
      <c r="B124" s="235"/>
      <c r="C124" s="246"/>
      <c r="D124" s="237"/>
      <c r="E124" s="238">
        <f>SUM(E123)</f>
        <v>12</v>
      </c>
      <c r="F124" s="237"/>
      <c r="G124" s="239">
        <v>136</v>
      </c>
      <c r="H124" s="239">
        <v>106</v>
      </c>
      <c r="I124" s="240">
        <v>101</v>
      </c>
      <c r="J124" s="241">
        <f>ROUND(I124*H124*G124/1000000,3)</f>
        <v>1.456</v>
      </c>
      <c r="K124" s="242">
        <f>SUM(K123)</f>
        <v>600</v>
      </c>
      <c r="L124" s="239">
        <f>K124+140</f>
        <v>740</v>
      </c>
      <c r="M124" s="239"/>
      <c r="N124" s="243"/>
      <c r="O124" s="244"/>
      <c r="P124" s="245"/>
      <c r="Q124" s="348"/>
      <c r="R124" s="302"/>
      <c r="S124" s="304"/>
      <c r="T124" s="305"/>
      <c r="U124" s="304"/>
      <c r="V124" s="306"/>
    </row>
    <row r="125" spans="1:22" s="119" customFormat="1" ht="24.9" hidden="1" customHeight="1">
      <c r="A125" s="296">
        <v>1</v>
      </c>
      <c r="B125" s="207" t="s">
        <v>1194</v>
      </c>
      <c r="C125" s="440" t="s">
        <v>1192</v>
      </c>
      <c r="D125" s="207" t="s">
        <v>235</v>
      </c>
      <c r="E125" s="298">
        <v>12</v>
      </c>
      <c r="F125" s="207" t="s">
        <v>236</v>
      </c>
      <c r="G125" s="429"/>
      <c r="H125" s="208"/>
      <c r="I125" s="441"/>
      <c r="J125" s="441"/>
      <c r="K125" s="208">
        <f>50*12</f>
        <v>600</v>
      </c>
      <c r="L125" s="208"/>
      <c r="M125" s="207"/>
      <c r="N125" s="295"/>
      <c r="O125" s="209"/>
      <c r="P125" s="25"/>
      <c r="Q125" s="347"/>
      <c r="R125" s="302"/>
      <c r="S125" s="27"/>
      <c r="T125" s="301"/>
      <c r="U125" s="27"/>
      <c r="V125" s="118"/>
    </row>
    <row r="126" spans="1:22" s="307" customFormat="1" ht="24.9" hidden="1" customHeight="1">
      <c r="A126" s="234"/>
      <c r="B126" s="235"/>
      <c r="C126" s="246"/>
      <c r="D126" s="237"/>
      <c r="E126" s="238">
        <f>SUM(E125)</f>
        <v>12</v>
      </c>
      <c r="F126" s="237"/>
      <c r="G126" s="239">
        <v>136</v>
      </c>
      <c r="H126" s="239">
        <v>106</v>
      </c>
      <c r="I126" s="240">
        <v>101</v>
      </c>
      <c r="J126" s="241">
        <f>ROUND(I126*H126*G126/1000000,3)</f>
        <v>1.456</v>
      </c>
      <c r="K126" s="242">
        <f>SUM(K125)</f>
        <v>600</v>
      </c>
      <c r="L126" s="239">
        <f>K126+140</f>
        <v>740</v>
      </c>
      <c r="M126" s="239"/>
      <c r="N126" s="243"/>
      <c r="O126" s="244"/>
      <c r="P126" s="245"/>
      <c r="Q126" s="348"/>
      <c r="R126" s="302"/>
      <c r="S126" s="304"/>
      <c r="T126" s="305"/>
      <c r="U126" s="304"/>
      <c r="V126" s="306"/>
    </row>
    <row r="127" spans="1:22" s="119" customFormat="1" ht="24.9" hidden="1" customHeight="1">
      <c r="A127" s="296">
        <v>1</v>
      </c>
      <c r="B127" s="207" t="s">
        <v>1195</v>
      </c>
      <c r="C127" s="440" t="s">
        <v>1192</v>
      </c>
      <c r="D127" s="207" t="s">
        <v>235</v>
      </c>
      <c r="E127" s="298">
        <v>12</v>
      </c>
      <c r="F127" s="207" t="s">
        <v>236</v>
      </c>
      <c r="G127" s="429"/>
      <c r="H127" s="208"/>
      <c r="I127" s="441"/>
      <c r="J127" s="441"/>
      <c r="K127" s="208">
        <f>50*12</f>
        <v>600</v>
      </c>
      <c r="L127" s="208"/>
      <c r="M127" s="207"/>
      <c r="N127" s="295"/>
      <c r="O127" s="209"/>
      <c r="P127" s="25"/>
      <c r="Q127" s="347"/>
      <c r="R127" s="302"/>
      <c r="S127" s="27"/>
      <c r="T127" s="301"/>
      <c r="U127" s="27"/>
      <c r="V127" s="118"/>
    </row>
    <row r="128" spans="1:22" s="307" customFormat="1" ht="24.9" hidden="1" customHeight="1">
      <c r="A128" s="234"/>
      <c r="B128" s="235"/>
      <c r="C128" s="246"/>
      <c r="D128" s="237"/>
      <c r="E128" s="238">
        <f>SUM(E127)</f>
        <v>12</v>
      </c>
      <c r="F128" s="237"/>
      <c r="G128" s="239">
        <v>136</v>
      </c>
      <c r="H128" s="239">
        <v>106</v>
      </c>
      <c r="I128" s="240">
        <v>101</v>
      </c>
      <c r="J128" s="241">
        <f>ROUND(I128*H128*G128/1000000,3)</f>
        <v>1.456</v>
      </c>
      <c r="K128" s="242">
        <f>SUM(K127)</f>
        <v>600</v>
      </c>
      <c r="L128" s="239">
        <f>K128+140</f>
        <v>740</v>
      </c>
      <c r="M128" s="239"/>
      <c r="N128" s="243"/>
      <c r="O128" s="244"/>
      <c r="P128" s="245"/>
      <c r="Q128" s="348"/>
      <c r="R128" s="302"/>
      <c r="S128" s="304"/>
      <c r="T128" s="305"/>
      <c r="U128" s="304"/>
      <c r="V128" s="306"/>
    </row>
    <row r="129" spans="1:22" s="119" customFormat="1" ht="24.9" hidden="1" customHeight="1">
      <c r="A129" s="296">
        <v>1</v>
      </c>
      <c r="B129" s="207" t="s">
        <v>1196</v>
      </c>
      <c r="C129" s="440" t="s">
        <v>1197</v>
      </c>
      <c r="D129" s="207" t="s">
        <v>235</v>
      </c>
      <c r="E129" s="298">
        <v>12</v>
      </c>
      <c r="F129" s="207" t="s">
        <v>236</v>
      </c>
      <c r="G129" s="429"/>
      <c r="H129" s="208"/>
      <c r="I129" s="441"/>
      <c r="J129" s="441"/>
      <c r="K129" s="208">
        <f>50*12</f>
        <v>600</v>
      </c>
      <c r="L129" s="208"/>
      <c r="M129" s="207"/>
      <c r="N129" s="295"/>
      <c r="O129" s="209"/>
      <c r="P129" s="25"/>
      <c r="Q129" s="347"/>
      <c r="R129" s="302"/>
      <c r="S129" s="27"/>
      <c r="T129" s="301"/>
      <c r="U129" s="27"/>
      <c r="V129" s="118"/>
    </row>
    <row r="130" spans="1:22" s="307" customFormat="1" ht="24.9" hidden="1" customHeight="1">
      <c r="A130" s="234"/>
      <c r="B130" s="235"/>
      <c r="C130" s="246"/>
      <c r="D130" s="237"/>
      <c r="E130" s="238">
        <f>SUM(E129)</f>
        <v>12</v>
      </c>
      <c r="F130" s="237"/>
      <c r="G130" s="239">
        <v>136</v>
      </c>
      <c r="H130" s="239">
        <v>106</v>
      </c>
      <c r="I130" s="240">
        <v>101</v>
      </c>
      <c r="J130" s="241">
        <f>ROUND(I130*H130*G130/1000000,3)</f>
        <v>1.456</v>
      </c>
      <c r="K130" s="242">
        <f>SUM(K129)</f>
        <v>600</v>
      </c>
      <c r="L130" s="239">
        <f>K130+140</f>
        <v>740</v>
      </c>
      <c r="M130" s="239"/>
      <c r="N130" s="243"/>
      <c r="O130" s="244"/>
      <c r="P130" s="245"/>
      <c r="Q130" s="348"/>
      <c r="R130" s="302"/>
      <c r="S130" s="304"/>
      <c r="T130" s="305"/>
      <c r="U130" s="304"/>
      <c r="V130" s="306"/>
    </row>
    <row r="131" spans="1:22" s="119" customFormat="1" ht="24.9" hidden="1" customHeight="1">
      <c r="A131" s="296">
        <v>1</v>
      </c>
      <c r="B131" s="207" t="s">
        <v>1198</v>
      </c>
      <c r="C131" s="440" t="s">
        <v>1197</v>
      </c>
      <c r="D131" s="207" t="s">
        <v>235</v>
      </c>
      <c r="E131" s="298">
        <v>12</v>
      </c>
      <c r="F131" s="207" t="s">
        <v>236</v>
      </c>
      <c r="G131" s="429"/>
      <c r="H131" s="208"/>
      <c r="I131" s="441"/>
      <c r="J131" s="441"/>
      <c r="K131" s="208">
        <f>50*12</f>
        <v>600</v>
      </c>
      <c r="L131" s="208"/>
      <c r="M131" s="207"/>
      <c r="N131" s="295"/>
      <c r="O131" s="209"/>
      <c r="P131" s="25"/>
      <c r="Q131" s="347"/>
      <c r="R131" s="302"/>
      <c r="S131" s="27"/>
      <c r="T131" s="301"/>
      <c r="U131" s="27"/>
      <c r="V131" s="118"/>
    </row>
    <row r="132" spans="1:22" s="307" customFormat="1" ht="24.9" hidden="1" customHeight="1">
      <c r="A132" s="234"/>
      <c r="B132" s="235"/>
      <c r="C132" s="246"/>
      <c r="D132" s="237"/>
      <c r="E132" s="238">
        <f>SUM(E131)</f>
        <v>12</v>
      </c>
      <c r="F132" s="237"/>
      <c r="G132" s="239">
        <v>136</v>
      </c>
      <c r="H132" s="239">
        <v>106</v>
      </c>
      <c r="I132" s="240">
        <v>101</v>
      </c>
      <c r="J132" s="241">
        <f>ROUND(I132*H132*G132/1000000,3)</f>
        <v>1.456</v>
      </c>
      <c r="K132" s="242">
        <f>SUM(K131)</f>
        <v>600</v>
      </c>
      <c r="L132" s="239">
        <f>K132+140</f>
        <v>740</v>
      </c>
      <c r="M132" s="239"/>
      <c r="N132" s="243"/>
      <c r="O132" s="244"/>
      <c r="P132" s="245"/>
      <c r="Q132" s="348"/>
      <c r="R132" s="302"/>
      <c r="S132" s="304"/>
      <c r="T132" s="305"/>
      <c r="U132" s="304"/>
      <c r="V132" s="306"/>
    </row>
    <row r="133" spans="1:22" s="119" customFormat="1" ht="24.9" hidden="1" customHeight="1">
      <c r="A133" s="296">
        <v>1</v>
      </c>
      <c r="B133" s="207" t="s">
        <v>1199</v>
      </c>
      <c r="C133" s="440" t="s">
        <v>1197</v>
      </c>
      <c r="D133" s="207" t="s">
        <v>235</v>
      </c>
      <c r="E133" s="298">
        <v>12</v>
      </c>
      <c r="F133" s="207" t="s">
        <v>236</v>
      </c>
      <c r="G133" s="429"/>
      <c r="H133" s="208"/>
      <c r="I133" s="441"/>
      <c r="J133" s="441"/>
      <c r="K133" s="208">
        <f>50*12</f>
        <v>600</v>
      </c>
      <c r="L133" s="208"/>
      <c r="M133" s="207"/>
      <c r="N133" s="295"/>
      <c r="O133" s="209"/>
      <c r="P133" s="25"/>
      <c r="Q133" s="347"/>
      <c r="R133" s="302"/>
      <c r="S133" s="27"/>
      <c r="T133" s="301"/>
      <c r="U133" s="27"/>
      <c r="V133" s="118"/>
    </row>
    <row r="134" spans="1:22" s="307" customFormat="1" ht="24.9" hidden="1" customHeight="1">
      <c r="A134" s="234"/>
      <c r="B134" s="235"/>
      <c r="C134" s="246"/>
      <c r="D134" s="237"/>
      <c r="E134" s="238">
        <f>SUM(E133)</f>
        <v>12</v>
      </c>
      <c r="F134" s="237"/>
      <c r="G134" s="239">
        <v>136</v>
      </c>
      <c r="H134" s="239">
        <v>106</v>
      </c>
      <c r="I134" s="240">
        <v>101</v>
      </c>
      <c r="J134" s="241">
        <f>ROUND(I134*H134*G134/1000000,3)</f>
        <v>1.456</v>
      </c>
      <c r="K134" s="242">
        <f>SUM(K133)</f>
        <v>600</v>
      </c>
      <c r="L134" s="239">
        <f>K134+140</f>
        <v>740</v>
      </c>
      <c r="M134" s="239"/>
      <c r="N134" s="243"/>
      <c r="O134" s="244"/>
      <c r="P134" s="245"/>
      <c r="Q134" s="348"/>
      <c r="R134" s="302"/>
      <c r="S134" s="304"/>
      <c r="T134" s="305"/>
      <c r="U134" s="304"/>
      <c r="V134" s="306"/>
    </row>
    <row r="135" spans="1:22" s="119" customFormat="1" ht="24.9" hidden="1" customHeight="1">
      <c r="A135" s="296">
        <v>1</v>
      </c>
      <c r="B135" s="207" t="s">
        <v>1200</v>
      </c>
      <c r="C135" s="440" t="s">
        <v>1197</v>
      </c>
      <c r="D135" s="207" t="s">
        <v>235</v>
      </c>
      <c r="E135" s="298">
        <v>12</v>
      </c>
      <c r="F135" s="207" t="s">
        <v>236</v>
      </c>
      <c r="G135" s="429"/>
      <c r="H135" s="208"/>
      <c r="I135" s="441"/>
      <c r="J135" s="441"/>
      <c r="K135" s="208">
        <f>50*12</f>
        <v>600</v>
      </c>
      <c r="L135" s="208"/>
      <c r="M135" s="207"/>
      <c r="N135" s="295"/>
      <c r="O135" s="209"/>
      <c r="P135" s="25"/>
      <c r="Q135" s="347"/>
      <c r="R135" s="302"/>
      <c r="S135" s="27"/>
      <c r="T135" s="301"/>
      <c r="U135" s="27"/>
      <c r="V135" s="118"/>
    </row>
    <row r="136" spans="1:22" s="307" customFormat="1" ht="24.9" hidden="1" customHeight="1">
      <c r="A136" s="234"/>
      <c r="B136" s="235"/>
      <c r="C136" s="246"/>
      <c r="D136" s="237"/>
      <c r="E136" s="238">
        <f>SUM(E135)</f>
        <v>12</v>
      </c>
      <c r="F136" s="237"/>
      <c r="G136" s="239">
        <v>136</v>
      </c>
      <c r="H136" s="239">
        <v>106</v>
      </c>
      <c r="I136" s="240">
        <v>101</v>
      </c>
      <c r="J136" s="241">
        <f>ROUND(I136*H136*G136/1000000,3)</f>
        <v>1.456</v>
      </c>
      <c r="K136" s="242">
        <f>SUM(K135)</f>
        <v>600</v>
      </c>
      <c r="L136" s="239">
        <f>K136+140</f>
        <v>740</v>
      </c>
      <c r="M136" s="239"/>
      <c r="N136" s="243"/>
      <c r="O136" s="244"/>
      <c r="P136" s="245"/>
      <c r="Q136" s="348"/>
      <c r="R136" s="302"/>
      <c r="S136" s="304"/>
      <c r="T136" s="305"/>
      <c r="U136" s="304"/>
      <c r="V136" s="306"/>
    </row>
    <row r="137" spans="1:22" s="119" customFormat="1" ht="24.9" hidden="1" customHeight="1">
      <c r="A137" s="296">
        <v>1</v>
      </c>
      <c r="B137" s="207" t="s">
        <v>1201</v>
      </c>
      <c r="C137" s="440" t="s">
        <v>1202</v>
      </c>
      <c r="D137" s="207" t="s">
        <v>235</v>
      </c>
      <c r="E137" s="298">
        <v>24</v>
      </c>
      <c r="F137" s="207" t="s">
        <v>236</v>
      </c>
      <c r="G137" s="429"/>
      <c r="H137" s="208"/>
      <c r="I137" s="429"/>
      <c r="J137" s="429"/>
      <c r="K137" s="208">
        <v>360</v>
      </c>
      <c r="L137" s="208"/>
      <c r="M137" s="207"/>
      <c r="N137" s="295"/>
      <c r="O137" s="209"/>
      <c r="P137" s="25"/>
      <c r="Q137" s="347"/>
      <c r="R137" s="26"/>
      <c r="S137" s="27"/>
      <c r="T137" s="301"/>
      <c r="U137" s="27"/>
      <c r="V137" s="118"/>
    </row>
    <row r="138" spans="1:22" s="119" customFormat="1" ht="24.9" hidden="1" customHeight="1">
      <c r="A138" s="296">
        <v>2</v>
      </c>
      <c r="B138" s="207" t="s">
        <v>1201</v>
      </c>
      <c r="C138" s="440" t="s">
        <v>1203</v>
      </c>
      <c r="D138" s="207" t="s">
        <v>235</v>
      </c>
      <c r="E138" s="298">
        <v>1</v>
      </c>
      <c r="F138" s="207" t="s">
        <v>236</v>
      </c>
      <c r="G138" s="429"/>
      <c r="H138" s="208"/>
      <c r="I138" s="429"/>
      <c r="J138" s="429"/>
      <c r="K138" s="208">
        <v>10</v>
      </c>
      <c r="L138" s="208"/>
      <c r="M138" s="207"/>
      <c r="N138" s="295"/>
      <c r="O138" s="209"/>
      <c r="P138" s="25"/>
      <c r="Q138" s="347"/>
      <c r="R138" s="302"/>
      <c r="S138" s="27"/>
      <c r="T138" s="301"/>
      <c r="U138" s="27"/>
      <c r="V138" s="118"/>
    </row>
    <row r="139" spans="1:22" s="119" customFormat="1" ht="24.9" hidden="1" customHeight="1">
      <c r="A139" s="296">
        <v>3</v>
      </c>
      <c r="B139" s="207" t="s">
        <v>1201</v>
      </c>
      <c r="C139" s="440" t="s">
        <v>1204</v>
      </c>
      <c r="D139" s="207" t="s">
        <v>235</v>
      </c>
      <c r="E139" s="298">
        <v>3</v>
      </c>
      <c r="F139" s="207" t="s">
        <v>236</v>
      </c>
      <c r="G139" s="429"/>
      <c r="H139" s="208"/>
      <c r="I139" s="429"/>
      <c r="J139" s="429"/>
      <c r="K139" s="208">
        <v>30</v>
      </c>
      <c r="L139" s="208"/>
      <c r="M139" s="207"/>
      <c r="N139" s="295"/>
      <c r="O139" s="209"/>
      <c r="P139" s="25"/>
      <c r="Q139" s="347"/>
      <c r="R139" s="26"/>
      <c r="S139" s="27"/>
      <c r="T139" s="301"/>
      <c r="U139" s="27"/>
      <c r="V139" s="118"/>
    </row>
    <row r="140" spans="1:22" s="119" customFormat="1" ht="24.9" hidden="1" customHeight="1">
      <c r="A140" s="296">
        <v>4</v>
      </c>
      <c r="B140" s="207" t="s">
        <v>1201</v>
      </c>
      <c r="C140" s="440" t="s">
        <v>1205</v>
      </c>
      <c r="D140" s="207" t="s">
        <v>235</v>
      </c>
      <c r="E140" s="298">
        <v>1</v>
      </c>
      <c r="F140" s="207" t="s">
        <v>236</v>
      </c>
      <c r="G140" s="429"/>
      <c r="H140" s="208"/>
      <c r="I140" s="429"/>
      <c r="J140" s="429"/>
      <c r="K140" s="208">
        <v>10</v>
      </c>
      <c r="L140" s="208"/>
      <c r="M140" s="207"/>
      <c r="N140" s="295"/>
      <c r="O140" s="209"/>
      <c r="P140" s="25"/>
      <c r="Q140" s="347"/>
      <c r="R140" s="302"/>
      <c r="S140" s="27"/>
      <c r="T140" s="301"/>
      <c r="U140" s="27"/>
      <c r="V140" s="118"/>
    </row>
    <row r="141" spans="1:22" s="119" customFormat="1" ht="24.9" hidden="1" customHeight="1">
      <c r="A141" s="296">
        <v>5</v>
      </c>
      <c r="B141" s="207" t="s">
        <v>1201</v>
      </c>
      <c r="C141" s="440" t="s">
        <v>1206</v>
      </c>
      <c r="D141" s="207" t="s">
        <v>235</v>
      </c>
      <c r="E141" s="298">
        <v>1</v>
      </c>
      <c r="F141" s="207" t="s">
        <v>236</v>
      </c>
      <c r="G141" s="429"/>
      <c r="H141" s="208"/>
      <c r="I141" s="429"/>
      <c r="J141" s="429"/>
      <c r="K141" s="208">
        <v>10</v>
      </c>
      <c r="L141" s="208"/>
      <c r="M141" s="207"/>
      <c r="N141" s="295"/>
      <c r="O141" s="209"/>
      <c r="P141" s="25"/>
      <c r="Q141" s="347"/>
      <c r="R141" s="26"/>
      <c r="S141" s="27"/>
      <c r="T141" s="301"/>
      <c r="U141" s="27"/>
      <c r="V141" s="118"/>
    </row>
    <row r="142" spans="1:22" s="119" customFormat="1" ht="24.9" hidden="1" customHeight="1">
      <c r="A142" s="296">
        <v>6</v>
      </c>
      <c r="B142" s="207" t="s">
        <v>1201</v>
      </c>
      <c r="C142" s="440" t="s">
        <v>1207</v>
      </c>
      <c r="D142" s="207" t="s">
        <v>235</v>
      </c>
      <c r="E142" s="298">
        <v>2</v>
      </c>
      <c r="F142" s="207" t="s">
        <v>236</v>
      </c>
      <c r="G142" s="429"/>
      <c r="H142" s="208"/>
      <c r="I142" s="429"/>
      <c r="J142" s="429"/>
      <c r="K142" s="208">
        <v>20</v>
      </c>
      <c r="L142" s="208"/>
      <c r="M142" s="207"/>
      <c r="N142" s="295"/>
      <c r="O142" s="209"/>
      <c r="P142" s="25"/>
      <c r="Q142" s="347"/>
      <c r="R142" s="302"/>
      <c r="S142" s="27"/>
      <c r="T142" s="301"/>
      <c r="U142" s="27"/>
      <c r="V142" s="118"/>
    </row>
    <row r="143" spans="1:22" s="119" customFormat="1" ht="24.9" hidden="1" customHeight="1">
      <c r="A143" s="296">
        <v>7</v>
      </c>
      <c r="B143" s="207" t="s">
        <v>1201</v>
      </c>
      <c r="C143" s="440" t="s">
        <v>1208</v>
      </c>
      <c r="D143" s="207" t="s">
        <v>235</v>
      </c>
      <c r="E143" s="298">
        <v>2</v>
      </c>
      <c r="F143" s="207" t="s">
        <v>236</v>
      </c>
      <c r="G143" s="429"/>
      <c r="H143" s="208"/>
      <c r="I143" s="442"/>
      <c r="J143" s="442"/>
      <c r="K143" s="208">
        <v>30</v>
      </c>
      <c r="L143" s="208"/>
      <c r="M143" s="207"/>
      <c r="N143" s="295"/>
      <c r="O143" s="209"/>
      <c r="P143" s="25"/>
      <c r="Q143" s="347"/>
      <c r="R143" s="26"/>
      <c r="S143" s="27"/>
      <c r="T143" s="301"/>
      <c r="U143" s="27"/>
      <c r="V143" s="118"/>
    </row>
    <row r="144" spans="1:22" s="119" customFormat="1" ht="24.9" hidden="1" customHeight="1">
      <c r="A144" s="296">
        <v>8</v>
      </c>
      <c r="B144" s="207" t="s">
        <v>1201</v>
      </c>
      <c r="C144" s="440" t="s">
        <v>1209</v>
      </c>
      <c r="D144" s="207" t="s">
        <v>235</v>
      </c>
      <c r="E144" s="298">
        <v>2</v>
      </c>
      <c r="F144" s="207" t="s">
        <v>236</v>
      </c>
      <c r="G144" s="429"/>
      <c r="H144" s="208"/>
      <c r="I144" s="442"/>
      <c r="J144" s="442"/>
      <c r="K144" s="208">
        <v>20</v>
      </c>
      <c r="L144" s="208"/>
      <c r="M144" s="207"/>
      <c r="N144" s="295"/>
      <c r="O144" s="209"/>
      <c r="P144" s="25"/>
      <c r="Q144" s="347"/>
      <c r="R144" s="302"/>
      <c r="S144" s="27"/>
      <c r="T144" s="301"/>
      <c r="U144" s="27"/>
      <c r="V144" s="118"/>
    </row>
    <row r="145" spans="1:22" s="119" customFormat="1" ht="24.9" hidden="1" customHeight="1">
      <c r="A145" s="296">
        <v>9</v>
      </c>
      <c r="B145" s="207" t="s">
        <v>1201</v>
      </c>
      <c r="C145" s="440" t="s">
        <v>1210</v>
      </c>
      <c r="D145" s="207" t="s">
        <v>235</v>
      </c>
      <c r="E145" s="298">
        <v>24</v>
      </c>
      <c r="F145" s="207" t="s">
        <v>236</v>
      </c>
      <c r="G145" s="429"/>
      <c r="H145" s="208"/>
      <c r="I145" s="442"/>
      <c r="J145" s="442"/>
      <c r="K145" s="208">
        <v>360</v>
      </c>
      <c r="L145" s="208"/>
      <c r="M145" s="207"/>
      <c r="N145" s="295"/>
      <c r="O145" s="209"/>
      <c r="P145" s="25"/>
      <c r="Q145" s="347"/>
      <c r="R145" s="302"/>
      <c r="S145" s="27"/>
      <c r="T145" s="301"/>
      <c r="U145" s="27"/>
      <c r="V145" s="118"/>
    </row>
    <row r="146" spans="1:22" s="119" customFormat="1" ht="24.9" hidden="1" customHeight="1">
      <c r="A146" s="296">
        <v>10</v>
      </c>
      <c r="B146" s="207" t="s">
        <v>1201</v>
      </c>
      <c r="C146" s="440" t="s">
        <v>1211</v>
      </c>
      <c r="D146" s="207" t="s">
        <v>235</v>
      </c>
      <c r="E146" s="298">
        <v>1</v>
      </c>
      <c r="F146" s="207" t="s">
        <v>236</v>
      </c>
      <c r="G146" s="429"/>
      <c r="H146" s="208"/>
      <c r="I146" s="442"/>
      <c r="J146" s="442"/>
      <c r="K146" s="208">
        <v>10</v>
      </c>
      <c r="L146" s="208"/>
      <c r="M146" s="207"/>
      <c r="N146" s="295"/>
      <c r="O146" s="209"/>
      <c r="P146" s="25"/>
      <c r="Q146" s="347"/>
      <c r="R146" s="26"/>
      <c r="S146" s="27"/>
      <c r="T146" s="301"/>
      <c r="U146" s="27"/>
      <c r="V146" s="118"/>
    </row>
    <row r="147" spans="1:22" s="119" customFormat="1" ht="24.9" hidden="1" customHeight="1">
      <c r="A147" s="296">
        <v>11</v>
      </c>
      <c r="B147" s="207" t="s">
        <v>1201</v>
      </c>
      <c r="C147" s="440" t="s">
        <v>1212</v>
      </c>
      <c r="D147" s="207" t="s">
        <v>235</v>
      </c>
      <c r="E147" s="298">
        <v>3</v>
      </c>
      <c r="F147" s="207" t="s">
        <v>236</v>
      </c>
      <c r="G147" s="429"/>
      <c r="H147" s="208"/>
      <c r="I147" s="442"/>
      <c r="J147" s="442"/>
      <c r="K147" s="208">
        <v>30</v>
      </c>
      <c r="L147" s="208"/>
      <c r="M147" s="207"/>
      <c r="N147" s="295"/>
      <c r="O147" s="209"/>
      <c r="P147" s="25"/>
      <c r="Q147" s="347"/>
      <c r="R147" s="302"/>
      <c r="S147" s="27"/>
      <c r="T147" s="301"/>
      <c r="U147" s="27"/>
      <c r="V147" s="118"/>
    </row>
    <row r="148" spans="1:22" s="119" customFormat="1" ht="24.9" hidden="1" customHeight="1">
      <c r="A148" s="296">
        <v>12</v>
      </c>
      <c r="B148" s="207" t="s">
        <v>1201</v>
      </c>
      <c r="C148" s="440" t="s">
        <v>1213</v>
      </c>
      <c r="D148" s="207" t="s">
        <v>235</v>
      </c>
      <c r="E148" s="298">
        <v>1</v>
      </c>
      <c r="F148" s="207" t="s">
        <v>236</v>
      </c>
      <c r="G148" s="429"/>
      <c r="H148" s="208"/>
      <c r="I148" s="442"/>
      <c r="J148" s="442"/>
      <c r="K148" s="208">
        <v>10</v>
      </c>
      <c r="L148" s="208"/>
      <c r="M148" s="207"/>
      <c r="N148" s="295"/>
      <c r="O148" s="209"/>
      <c r="P148" s="25"/>
      <c r="Q148" s="347"/>
      <c r="R148" s="26"/>
      <c r="S148" s="27"/>
      <c r="T148" s="301"/>
      <c r="U148" s="27"/>
      <c r="V148" s="118"/>
    </row>
    <row r="149" spans="1:22" s="119" customFormat="1" ht="24.9" hidden="1" customHeight="1">
      <c r="A149" s="296">
        <v>13</v>
      </c>
      <c r="B149" s="207" t="s">
        <v>1201</v>
      </c>
      <c r="C149" s="440" t="s">
        <v>1214</v>
      </c>
      <c r="D149" s="207" t="s">
        <v>235</v>
      </c>
      <c r="E149" s="298">
        <v>1</v>
      </c>
      <c r="F149" s="207" t="s">
        <v>236</v>
      </c>
      <c r="G149" s="429"/>
      <c r="H149" s="208"/>
      <c r="I149" s="442"/>
      <c r="J149" s="442"/>
      <c r="K149" s="208">
        <v>10</v>
      </c>
      <c r="L149" s="208"/>
      <c r="M149" s="207"/>
      <c r="N149" s="295"/>
      <c r="O149" s="209"/>
      <c r="P149" s="25"/>
      <c r="Q149" s="347"/>
      <c r="R149" s="302"/>
      <c r="S149" s="27"/>
      <c r="T149" s="301"/>
      <c r="U149" s="27"/>
      <c r="V149" s="118"/>
    </row>
    <row r="150" spans="1:22" s="119" customFormat="1" ht="24.9" hidden="1" customHeight="1">
      <c r="A150" s="296">
        <v>14</v>
      </c>
      <c r="B150" s="207" t="s">
        <v>1201</v>
      </c>
      <c r="C150" s="440" t="s">
        <v>1215</v>
      </c>
      <c r="D150" s="207" t="s">
        <v>235</v>
      </c>
      <c r="E150" s="298">
        <v>2</v>
      </c>
      <c r="F150" s="207" t="s">
        <v>236</v>
      </c>
      <c r="G150" s="429"/>
      <c r="H150" s="208"/>
      <c r="I150" s="442"/>
      <c r="J150" s="442"/>
      <c r="K150" s="208">
        <v>20</v>
      </c>
      <c r="L150" s="208"/>
      <c r="M150" s="207"/>
      <c r="N150" s="295"/>
      <c r="O150" s="209"/>
      <c r="P150" s="25"/>
      <c r="Q150" s="347"/>
      <c r="R150" s="26"/>
      <c r="S150" s="27"/>
      <c r="T150" s="301"/>
      <c r="U150" s="27"/>
      <c r="V150" s="118"/>
    </row>
    <row r="151" spans="1:22" s="119" customFormat="1" ht="24.9" hidden="1" customHeight="1">
      <c r="A151" s="296">
        <v>15</v>
      </c>
      <c r="B151" s="207" t="s">
        <v>1201</v>
      </c>
      <c r="C151" s="440" t="s">
        <v>1216</v>
      </c>
      <c r="D151" s="207" t="s">
        <v>235</v>
      </c>
      <c r="E151" s="298">
        <v>2</v>
      </c>
      <c r="F151" s="207" t="s">
        <v>236</v>
      </c>
      <c r="G151" s="429"/>
      <c r="H151" s="208"/>
      <c r="I151" s="442"/>
      <c r="J151" s="442"/>
      <c r="K151" s="208">
        <v>30</v>
      </c>
      <c r="L151" s="208"/>
      <c r="M151" s="207"/>
      <c r="N151" s="295"/>
      <c r="O151" s="209"/>
      <c r="P151" s="25"/>
      <c r="Q151" s="347"/>
      <c r="R151" s="302"/>
      <c r="S151" s="27"/>
      <c r="T151" s="301"/>
      <c r="U151" s="27"/>
      <c r="V151" s="118"/>
    </row>
    <row r="152" spans="1:22" s="119" customFormat="1" ht="24.9" hidden="1" customHeight="1">
      <c r="A152" s="296">
        <v>16</v>
      </c>
      <c r="B152" s="207" t="s">
        <v>1201</v>
      </c>
      <c r="C152" s="440" t="s">
        <v>1217</v>
      </c>
      <c r="D152" s="207" t="s">
        <v>235</v>
      </c>
      <c r="E152" s="298">
        <v>2</v>
      </c>
      <c r="F152" s="207" t="s">
        <v>236</v>
      </c>
      <c r="G152" s="429"/>
      <c r="H152" s="208"/>
      <c r="I152" s="442"/>
      <c r="J152" s="442"/>
      <c r="K152" s="208">
        <v>20</v>
      </c>
      <c r="L152" s="208"/>
      <c r="M152" s="207"/>
      <c r="N152" s="295"/>
      <c r="O152" s="209"/>
      <c r="P152" s="25"/>
      <c r="Q152" s="347"/>
      <c r="R152" s="26"/>
      <c r="S152" s="27"/>
      <c r="T152" s="301"/>
      <c r="U152" s="27"/>
      <c r="V152" s="118"/>
    </row>
    <row r="153" spans="1:22" s="119" customFormat="1" ht="24.9" hidden="1" customHeight="1">
      <c r="A153" s="296">
        <v>17</v>
      </c>
      <c r="B153" s="207" t="s">
        <v>1201</v>
      </c>
      <c r="C153" s="440" t="s">
        <v>1218</v>
      </c>
      <c r="D153" s="207" t="s">
        <v>235</v>
      </c>
      <c r="E153" s="298">
        <v>8</v>
      </c>
      <c r="F153" s="207" t="s">
        <v>236</v>
      </c>
      <c r="G153" s="429"/>
      <c r="H153" s="208"/>
      <c r="I153" s="299"/>
      <c r="J153" s="218"/>
      <c r="K153" s="208">
        <v>0.8</v>
      </c>
      <c r="L153" s="208"/>
      <c r="M153" s="208"/>
      <c r="N153" s="295"/>
      <c r="O153" s="209"/>
      <c r="P153" s="25"/>
      <c r="Q153" s="347"/>
      <c r="R153" s="302"/>
      <c r="S153" s="27"/>
      <c r="T153" s="301"/>
      <c r="U153" s="27"/>
      <c r="V153" s="118"/>
    </row>
    <row r="154" spans="1:22" s="119" customFormat="1" ht="24.9" hidden="1" customHeight="1">
      <c r="A154" s="296">
        <v>18</v>
      </c>
      <c r="B154" s="207" t="s">
        <v>1201</v>
      </c>
      <c r="C154" s="440" t="s">
        <v>1219</v>
      </c>
      <c r="D154" s="207" t="s">
        <v>235</v>
      </c>
      <c r="E154" s="298">
        <v>8</v>
      </c>
      <c r="F154" s="207" t="s">
        <v>236</v>
      </c>
      <c r="G154" s="429"/>
      <c r="H154" s="208"/>
      <c r="I154" s="299"/>
      <c r="J154" s="218"/>
      <c r="K154" s="208">
        <v>2.6</v>
      </c>
      <c r="L154" s="208"/>
      <c r="M154" s="208"/>
      <c r="N154" s="295"/>
      <c r="O154" s="209"/>
      <c r="P154" s="25"/>
      <c r="Q154" s="347"/>
      <c r="R154" s="302"/>
      <c r="S154" s="27"/>
      <c r="T154" s="301"/>
      <c r="U154" s="27"/>
      <c r="V154" s="118"/>
    </row>
    <row r="155" spans="1:22" s="119" customFormat="1" ht="24.9" hidden="1" customHeight="1">
      <c r="A155" s="296">
        <v>19</v>
      </c>
      <c r="B155" s="207" t="s">
        <v>1201</v>
      </c>
      <c r="C155" s="440" t="s">
        <v>1220</v>
      </c>
      <c r="D155" s="207" t="s">
        <v>235</v>
      </c>
      <c r="E155" s="298">
        <v>128</v>
      </c>
      <c r="F155" s="207" t="s">
        <v>236</v>
      </c>
      <c r="G155" s="429"/>
      <c r="H155" s="208"/>
      <c r="I155" s="299"/>
      <c r="J155" s="218"/>
      <c r="K155" s="208">
        <v>41.6</v>
      </c>
      <c r="L155" s="208"/>
      <c r="M155" s="208"/>
      <c r="N155" s="295"/>
      <c r="O155" s="209"/>
      <c r="P155" s="25"/>
      <c r="Q155" s="347"/>
      <c r="R155" s="26"/>
      <c r="S155" s="27"/>
      <c r="T155" s="301"/>
      <c r="U155" s="27"/>
      <c r="V155" s="118"/>
    </row>
    <row r="156" spans="1:22" s="119" customFormat="1" ht="24.9" hidden="1" customHeight="1">
      <c r="A156" s="296">
        <v>20</v>
      </c>
      <c r="B156" s="207" t="s">
        <v>1201</v>
      </c>
      <c r="C156" s="440" t="s">
        <v>1221</v>
      </c>
      <c r="D156" s="207" t="s">
        <v>235</v>
      </c>
      <c r="E156" s="298">
        <v>64</v>
      </c>
      <c r="F156" s="207" t="s">
        <v>236</v>
      </c>
      <c r="G156" s="429"/>
      <c r="H156" s="208"/>
      <c r="I156" s="299"/>
      <c r="J156" s="218"/>
      <c r="K156" s="208">
        <v>20.8</v>
      </c>
      <c r="L156" s="208"/>
      <c r="M156" s="208"/>
      <c r="N156" s="295"/>
      <c r="O156" s="209"/>
      <c r="P156" s="25"/>
      <c r="Q156" s="347"/>
      <c r="R156" s="302"/>
      <c r="S156" s="27"/>
      <c r="T156" s="301"/>
      <c r="U156" s="27"/>
      <c r="V156" s="118"/>
    </row>
    <row r="157" spans="1:22" s="119" customFormat="1" ht="24.9" hidden="1" customHeight="1">
      <c r="A157" s="296">
        <v>21</v>
      </c>
      <c r="B157" s="207" t="s">
        <v>1201</v>
      </c>
      <c r="C157" s="440" t="s">
        <v>1222</v>
      </c>
      <c r="D157" s="207" t="s">
        <v>235</v>
      </c>
      <c r="E157" s="298">
        <v>768</v>
      </c>
      <c r="F157" s="207" t="s">
        <v>236</v>
      </c>
      <c r="G157" s="429"/>
      <c r="H157" s="208"/>
      <c r="I157" s="299"/>
      <c r="J157" s="218"/>
      <c r="K157" s="208">
        <v>419.32800000000003</v>
      </c>
      <c r="L157" s="208"/>
      <c r="M157" s="208"/>
      <c r="N157" s="295"/>
      <c r="O157" s="209"/>
      <c r="P157" s="25"/>
      <c r="Q157" s="347"/>
      <c r="R157" s="26"/>
      <c r="S157" s="27"/>
      <c r="T157" s="301"/>
      <c r="U157" s="27"/>
      <c r="V157" s="118"/>
    </row>
    <row r="158" spans="1:22" s="119" customFormat="1" ht="24.9" hidden="1" customHeight="1">
      <c r="A158" s="296">
        <v>22</v>
      </c>
      <c r="B158" s="207" t="s">
        <v>1201</v>
      </c>
      <c r="C158" s="440" t="s">
        <v>1223</v>
      </c>
      <c r="D158" s="207" t="s">
        <v>235</v>
      </c>
      <c r="E158" s="298">
        <v>40</v>
      </c>
      <c r="F158" s="207" t="s">
        <v>236</v>
      </c>
      <c r="G158" s="429"/>
      <c r="H158" s="208"/>
      <c r="I158" s="299"/>
      <c r="J158" s="218"/>
      <c r="K158" s="208">
        <v>67.8</v>
      </c>
      <c r="L158" s="208"/>
      <c r="M158" s="208"/>
      <c r="N158" s="295"/>
      <c r="O158" s="209"/>
      <c r="P158" s="25"/>
      <c r="Q158" s="347"/>
      <c r="R158" s="302"/>
      <c r="S158" s="27"/>
      <c r="T158" s="301"/>
      <c r="U158" s="27"/>
      <c r="V158" s="118"/>
    </row>
    <row r="159" spans="1:22" s="119" customFormat="1" ht="24.9" hidden="1" customHeight="1">
      <c r="A159" s="296">
        <v>23</v>
      </c>
      <c r="B159" s="207" t="s">
        <v>1201</v>
      </c>
      <c r="C159" s="440" t="s">
        <v>1224</v>
      </c>
      <c r="D159" s="207" t="s">
        <v>235</v>
      </c>
      <c r="E159" s="298">
        <v>32</v>
      </c>
      <c r="F159" s="207" t="s">
        <v>236</v>
      </c>
      <c r="G159" s="429"/>
      <c r="H159" s="208"/>
      <c r="I159" s="299"/>
      <c r="J159" s="218"/>
      <c r="K159" s="208">
        <v>10.4</v>
      </c>
      <c r="L159" s="208"/>
      <c r="M159" s="208"/>
      <c r="N159" s="295"/>
      <c r="O159" s="209"/>
      <c r="P159" s="25"/>
      <c r="Q159" s="347"/>
      <c r="R159" s="26"/>
      <c r="S159" s="27"/>
      <c r="T159" s="301"/>
      <c r="U159" s="27"/>
      <c r="V159" s="118"/>
    </row>
    <row r="160" spans="1:22" s="119" customFormat="1" ht="24.9" hidden="1" customHeight="1">
      <c r="A160" s="296">
        <v>24</v>
      </c>
      <c r="B160" s="207" t="s">
        <v>1201</v>
      </c>
      <c r="C160" s="440" t="s">
        <v>1225</v>
      </c>
      <c r="D160" s="207" t="s">
        <v>235</v>
      </c>
      <c r="E160" s="298">
        <v>8</v>
      </c>
      <c r="F160" s="207" t="s">
        <v>236</v>
      </c>
      <c r="G160" s="429"/>
      <c r="H160" s="208"/>
      <c r="I160" s="299"/>
      <c r="J160" s="218"/>
      <c r="K160" s="208">
        <v>0.8</v>
      </c>
      <c r="L160" s="208"/>
      <c r="M160" s="208"/>
      <c r="N160" s="295"/>
      <c r="O160" s="209"/>
      <c r="P160" s="25"/>
      <c r="Q160" s="347"/>
      <c r="R160" s="26"/>
      <c r="S160" s="27"/>
      <c r="T160" s="301"/>
      <c r="U160" s="27"/>
      <c r="V160" s="118"/>
    </row>
    <row r="161" spans="1:22" s="119" customFormat="1" ht="24.9" hidden="1" customHeight="1">
      <c r="A161" s="296">
        <v>25</v>
      </c>
      <c r="B161" s="207" t="s">
        <v>1201</v>
      </c>
      <c r="C161" s="440" t="s">
        <v>1226</v>
      </c>
      <c r="D161" s="207" t="s">
        <v>235</v>
      </c>
      <c r="E161" s="298">
        <v>8</v>
      </c>
      <c r="F161" s="207" t="s">
        <v>236</v>
      </c>
      <c r="G161" s="429"/>
      <c r="H161" s="208"/>
      <c r="I161" s="299"/>
      <c r="J161" s="218"/>
      <c r="K161" s="208">
        <v>2.6</v>
      </c>
      <c r="L161" s="208"/>
      <c r="M161" s="208"/>
      <c r="N161" s="295"/>
      <c r="O161" s="209"/>
      <c r="P161" s="25"/>
      <c r="Q161" s="347"/>
      <c r="R161" s="26"/>
      <c r="S161" s="27"/>
      <c r="T161" s="301"/>
      <c r="U161" s="27"/>
      <c r="V161" s="118"/>
    </row>
    <row r="162" spans="1:22" s="119" customFormat="1" ht="24.9" hidden="1" customHeight="1">
      <c r="A162" s="296">
        <v>26</v>
      </c>
      <c r="B162" s="207" t="s">
        <v>1201</v>
      </c>
      <c r="C162" s="440" t="s">
        <v>1227</v>
      </c>
      <c r="D162" s="207" t="s">
        <v>235</v>
      </c>
      <c r="E162" s="298">
        <v>128</v>
      </c>
      <c r="F162" s="207" t="s">
        <v>236</v>
      </c>
      <c r="G162" s="429"/>
      <c r="H162" s="208"/>
      <c r="I162" s="299"/>
      <c r="J162" s="218"/>
      <c r="K162" s="208">
        <v>41.6</v>
      </c>
      <c r="L162" s="208"/>
      <c r="M162" s="208"/>
      <c r="N162" s="295"/>
      <c r="O162" s="209"/>
      <c r="P162" s="25"/>
      <c r="Q162" s="347"/>
      <c r="R162" s="302"/>
      <c r="S162" s="27"/>
      <c r="T162" s="301"/>
      <c r="U162" s="27"/>
      <c r="V162" s="118"/>
    </row>
    <row r="163" spans="1:22" s="119" customFormat="1" ht="24.9" hidden="1" customHeight="1">
      <c r="A163" s="296">
        <v>27</v>
      </c>
      <c r="B163" s="207" t="s">
        <v>1201</v>
      </c>
      <c r="C163" s="440" t="s">
        <v>1228</v>
      </c>
      <c r="D163" s="207" t="s">
        <v>235</v>
      </c>
      <c r="E163" s="298">
        <v>64</v>
      </c>
      <c r="F163" s="207" t="s">
        <v>236</v>
      </c>
      <c r="G163" s="429"/>
      <c r="H163" s="208"/>
      <c r="I163" s="299"/>
      <c r="J163" s="218"/>
      <c r="K163" s="208">
        <v>20.8</v>
      </c>
      <c r="L163" s="208"/>
      <c r="M163" s="208"/>
      <c r="N163" s="295"/>
      <c r="O163" s="209"/>
      <c r="P163" s="25"/>
      <c r="Q163" s="347"/>
      <c r="R163" s="26"/>
      <c r="S163" s="27"/>
      <c r="T163" s="301"/>
      <c r="U163" s="27"/>
      <c r="V163" s="118"/>
    </row>
    <row r="164" spans="1:22" s="119" customFormat="1" ht="24.9" hidden="1" customHeight="1">
      <c r="A164" s="296">
        <v>28</v>
      </c>
      <c r="B164" s="207" t="s">
        <v>1201</v>
      </c>
      <c r="C164" s="440" t="s">
        <v>1229</v>
      </c>
      <c r="D164" s="207" t="s">
        <v>235</v>
      </c>
      <c r="E164" s="298">
        <v>768</v>
      </c>
      <c r="F164" s="207" t="s">
        <v>236</v>
      </c>
      <c r="G164" s="429"/>
      <c r="H164" s="208"/>
      <c r="I164" s="299"/>
      <c r="J164" s="218"/>
      <c r="K164" s="208">
        <v>419.32800000000003</v>
      </c>
      <c r="L164" s="208"/>
      <c r="M164" s="208"/>
      <c r="N164" s="295"/>
      <c r="O164" s="209"/>
      <c r="P164" s="25"/>
      <c r="Q164" s="347"/>
      <c r="R164" s="302"/>
      <c r="S164" s="27"/>
      <c r="T164" s="301"/>
      <c r="U164" s="27"/>
      <c r="V164" s="118"/>
    </row>
    <row r="165" spans="1:22" s="119" customFormat="1" ht="24.9" hidden="1" customHeight="1">
      <c r="A165" s="296">
        <v>29</v>
      </c>
      <c r="B165" s="207" t="s">
        <v>1201</v>
      </c>
      <c r="C165" s="440" t="s">
        <v>1230</v>
      </c>
      <c r="D165" s="207" t="s">
        <v>235</v>
      </c>
      <c r="E165" s="298">
        <v>40</v>
      </c>
      <c r="F165" s="207" t="s">
        <v>236</v>
      </c>
      <c r="G165" s="429"/>
      <c r="H165" s="208"/>
      <c r="I165" s="299"/>
      <c r="J165" s="218"/>
      <c r="K165" s="208">
        <v>67.8</v>
      </c>
      <c r="L165" s="208"/>
      <c r="M165" s="208"/>
      <c r="N165" s="295"/>
      <c r="O165" s="209"/>
      <c r="P165" s="25"/>
      <c r="Q165" s="347"/>
      <c r="R165" s="26"/>
      <c r="S165" s="27"/>
      <c r="T165" s="301"/>
      <c r="U165" s="27"/>
      <c r="V165" s="118"/>
    </row>
    <row r="166" spans="1:22" s="119" customFormat="1" ht="24.9" hidden="1" customHeight="1">
      <c r="A166" s="296">
        <v>30</v>
      </c>
      <c r="B166" s="207" t="s">
        <v>1201</v>
      </c>
      <c r="C166" s="440" t="s">
        <v>1231</v>
      </c>
      <c r="D166" s="207" t="s">
        <v>235</v>
      </c>
      <c r="E166" s="298">
        <v>32</v>
      </c>
      <c r="F166" s="207" t="s">
        <v>236</v>
      </c>
      <c r="G166" s="429"/>
      <c r="H166" s="208"/>
      <c r="I166" s="299"/>
      <c r="J166" s="218"/>
      <c r="K166" s="208">
        <v>10.4</v>
      </c>
      <c r="L166" s="208"/>
      <c r="M166" s="208"/>
      <c r="N166" s="295"/>
      <c r="O166" s="209"/>
      <c r="P166" s="25"/>
      <c r="Q166" s="347"/>
      <c r="R166" s="302"/>
      <c r="S166" s="27"/>
      <c r="T166" s="301"/>
      <c r="U166" s="27"/>
      <c r="V166" s="118"/>
    </row>
    <row r="167" spans="1:22" s="119" customFormat="1" ht="24.9" hidden="1" customHeight="1">
      <c r="A167" s="296">
        <v>31</v>
      </c>
      <c r="B167" s="207" t="s">
        <v>1201</v>
      </c>
      <c r="C167" s="440" t="s">
        <v>1232</v>
      </c>
      <c r="D167" s="207" t="s">
        <v>235</v>
      </c>
      <c r="E167" s="298">
        <v>2</v>
      </c>
      <c r="F167" s="207" t="s">
        <v>236</v>
      </c>
      <c r="G167" s="429"/>
      <c r="H167" s="208"/>
      <c r="I167" s="299"/>
      <c r="J167" s="218"/>
      <c r="K167" s="208">
        <v>0.2</v>
      </c>
      <c r="L167" s="208"/>
      <c r="M167" s="208"/>
      <c r="N167" s="295"/>
      <c r="O167" s="209"/>
      <c r="P167" s="25"/>
      <c r="Q167" s="347"/>
      <c r="R167" s="302"/>
      <c r="S167" s="27"/>
      <c r="T167" s="301"/>
      <c r="U167" s="27"/>
      <c r="V167" s="118"/>
    </row>
    <row r="168" spans="1:22" s="119" customFormat="1" ht="24.9" hidden="1" customHeight="1">
      <c r="A168" s="296">
        <v>32</v>
      </c>
      <c r="B168" s="207" t="s">
        <v>1201</v>
      </c>
      <c r="C168" s="440" t="s">
        <v>1233</v>
      </c>
      <c r="D168" s="207" t="s">
        <v>235</v>
      </c>
      <c r="E168" s="298">
        <v>2</v>
      </c>
      <c r="F168" s="207" t="s">
        <v>236</v>
      </c>
      <c r="G168" s="429"/>
      <c r="H168" s="208"/>
      <c r="I168" s="299"/>
      <c r="J168" s="218"/>
      <c r="K168" s="208">
        <v>0.2</v>
      </c>
      <c r="L168" s="208"/>
      <c r="M168" s="208"/>
      <c r="N168" s="295"/>
      <c r="O168" s="209"/>
      <c r="P168" s="25"/>
      <c r="Q168" s="347"/>
      <c r="R168" s="302"/>
      <c r="S168" s="27"/>
      <c r="T168" s="301"/>
      <c r="U168" s="27"/>
      <c r="V168" s="118"/>
    </row>
    <row r="169" spans="1:22" s="119" customFormat="1" ht="24.9" hidden="1" customHeight="1">
      <c r="A169" s="296">
        <v>33</v>
      </c>
      <c r="B169" s="207" t="s">
        <v>1201</v>
      </c>
      <c r="C169" s="440" t="s">
        <v>1234</v>
      </c>
      <c r="D169" s="207" t="s">
        <v>235</v>
      </c>
      <c r="E169" s="298">
        <v>32</v>
      </c>
      <c r="F169" s="207" t="s">
        <v>236</v>
      </c>
      <c r="G169" s="429"/>
      <c r="H169" s="208"/>
      <c r="I169" s="299"/>
      <c r="J169" s="218"/>
      <c r="K169" s="208">
        <v>3.2</v>
      </c>
      <c r="L169" s="208"/>
      <c r="M169" s="208"/>
      <c r="N169" s="295"/>
      <c r="O169" s="209"/>
      <c r="P169" s="25"/>
      <c r="Q169" s="347"/>
      <c r="R169" s="26"/>
      <c r="S169" s="27"/>
      <c r="T169" s="301"/>
      <c r="U169" s="27"/>
      <c r="V169" s="118"/>
    </row>
    <row r="170" spans="1:22" s="119" customFormat="1" ht="24.9" hidden="1" customHeight="1">
      <c r="A170" s="296">
        <v>34</v>
      </c>
      <c r="B170" s="207" t="s">
        <v>1201</v>
      </c>
      <c r="C170" s="440" t="s">
        <v>1235</v>
      </c>
      <c r="D170" s="207" t="s">
        <v>235</v>
      </c>
      <c r="E170" s="298">
        <v>2</v>
      </c>
      <c r="F170" s="207" t="s">
        <v>236</v>
      </c>
      <c r="G170" s="429"/>
      <c r="H170" s="208"/>
      <c r="I170" s="299"/>
      <c r="J170" s="218"/>
      <c r="K170" s="208">
        <v>0.2</v>
      </c>
      <c r="L170" s="208"/>
      <c r="M170" s="208"/>
      <c r="N170" s="295"/>
      <c r="O170" s="209"/>
      <c r="P170" s="25"/>
      <c r="Q170" s="347"/>
      <c r="R170" s="302"/>
      <c r="S170" s="27"/>
      <c r="T170" s="301"/>
      <c r="U170" s="27"/>
      <c r="V170" s="118"/>
    </row>
    <row r="171" spans="1:22" s="119" customFormat="1" ht="24.9" hidden="1" customHeight="1">
      <c r="A171" s="296">
        <v>35</v>
      </c>
      <c r="B171" s="207" t="s">
        <v>1201</v>
      </c>
      <c r="C171" s="440" t="s">
        <v>1236</v>
      </c>
      <c r="D171" s="207" t="s">
        <v>235</v>
      </c>
      <c r="E171" s="298">
        <v>96</v>
      </c>
      <c r="F171" s="207" t="s">
        <v>236</v>
      </c>
      <c r="G171" s="429"/>
      <c r="H171" s="208"/>
      <c r="I171" s="299"/>
      <c r="J171" s="218"/>
      <c r="K171" s="208">
        <v>9.6000000000000014</v>
      </c>
      <c r="L171" s="208"/>
      <c r="M171" s="208"/>
      <c r="N171" s="295"/>
      <c r="O171" s="209"/>
      <c r="P171" s="25"/>
      <c r="Q171" s="347"/>
      <c r="R171" s="26"/>
      <c r="S171" s="27"/>
      <c r="T171" s="301"/>
      <c r="U171" s="27"/>
      <c r="V171" s="118"/>
    </row>
    <row r="172" spans="1:22" s="119" customFormat="1" ht="24.9" hidden="1" customHeight="1">
      <c r="A172" s="296">
        <v>36</v>
      </c>
      <c r="B172" s="207" t="s">
        <v>1201</v>
      </c>
      <c r="C172" s="440" t="s">
        <v>1237</v>
      </c>
      <c r="D172" s="207" t="s">
        <v>235</v>
      </c>
      <c r="E172" s="298">
        <v>2</v>
      </c>
      <c r="F172" s="207" t="s">
        <v>236</v>
      </c>
      <c r="G172" s="429"/>
      <c r="H172" s="208"/>
      <c r="I172" s="299"/>
      <c r="J172" s="218"/>
      <c r="K172" s="208">
        <v>2</v>
      </c>
      <c r="L172" s="208"/>
      <c r="M172" s="208"/>
      <c r="N172" s="295"/>
      <c r="O172" s="209"/>
      <c r="P172" s="25"/>
      <c r="Q172" s="347"/>
      <c r="R172" s="302"/>
      <c r="S172" s="27"/>
      <c r="T172" s="301"/>
      <c r="U172" s="27"/>
      <c r="V172" s="118"/>
    </row>
    <row r="173" spans="1:22" s="119" customFormat="1" ht="26.4" hidden="1" customHeight="1">
      <c r="A173" s="296">
        <v>37</v>
      </c>
      <c r="B173" s="207" t="s">
        <v>1201</v>
      </c>
      <c r="C173" s="440" t="s">
        <v>1234</v>
      </c>
      <c r="D173" s="207" t="s">
        <v>235</v>
      </c>
      <c r="E173" s="298">
        <v>8</v>
      </c>
      <c r="F173" s="207" t="s">
        <v>236</v>
      </c>
      <c r="G173" s="429"/>
      <c r="H173" s="208"/>
      <c r="I173" s="299"/>
      <c r="J173" s="218"/>
      <c r="K173" s="208">
        <v>0.8</v>
      </c>
      <c r="L173" s="208"/>
      <c r="M173" s="208"/>
      <c r="N173" s="295"/>
      <c r="O173" s="209"/>
      <c r="P173" s="25"/>
      <c r="Q173" s="347"/>
      <c r="R173" s="26"/>
      <c r="S173" s="27"/>
      <c r="T173" s="301"/>
      <c r="U173" s="27"/>
      <c r="V173" s="118"/>
    </row>
    <row r="174" spans="1:22" s="119" customFormat="1" ht="24.9" hidden="1" customHeight="1">
      <c r="A174" s="296">
        <v>38</v>
      </c>
      <c r="B174" s="207" t="s">
        <v>1201</v>
      </c>
      <c r="C174" s="440" t="s">
        <v>1238</v>
      </c>
      <c r="D174" s="207" t="s">
        <v>235</v>
      </c>
      <c r="E174" s="298">
        <v>2</v>
      </c>
      <c r="F174" s="207" t="s">
        <v>236</v>
      </c>
      <c r="G174" s="429"/>
      <c r="H174" s="208"/>
      <c r="I174" s="299"/>
      <c r="J174" s="218"/>
      <c r="K174" s="208">
        <v>0.2</v>
      </c>
      <c r="L174" s="208"/>
      <c r="M174" s="208"/>
      <c r="N174" s="295"/>
      <c r="O174" s="209"/>
      <c r="P174" s="25"/>
      <c r="Q174" s="347"/>
      <c r="R174" s="26"/>
      <c r="S174" s="27"/>
      <c r="T174" s="301"/>
      <c r="U174" s="27"/>
      <c r="V174" s="118"/>
    </row>
    <row r="175" spans="1:22" s="119" customFormat="1" ht="24.9" hidden="1" customHeight="1">
      <c r="A175" s="296">
        <v>39</v>
      </c>
      <c r="B175" s="207" t="s">
        <v>1201</v>
      </c>
      <c r="C175" s="440" t="s">
        <v>1239</v>
      </c>
      <c r="D175" s="207" t="s">
        <v>235</v>
      </c>
      <c r="E175" s="298">
        <v>2</v>
      </c>
      <c r="F175" s="207" t="s">
        <v>236</v>
      </c>
      <c r="G175" s="429"/>
      <c r="H175" s="208"/>
      <c r="I175" s="299"/>
      <c r="J175" s="218"/>
      <c r="K175" s="208">
        <v>0.2</v>
      </c>
      <c r="L175" s="208"/>
      <c r="M175" s="208"/>
      <c r="N175" s="295"/>
      <c r="O175" s="209"/>
      <c r="P175" s="25"/>
      <c r="Q175" s="347"/>
      <c r="R175" s="26"/>
      <c r="S175" s="27"/>
      <c r="T175" s="301"/>
      <c r="U175" s="27"/>
      <c r="V175" s="118"/>
    </row>
    <row r="176" spans="1:22" s="119" customFormat="1" ht="24.9" hidden="1" customHeight="1">
      <c r="A176" s="296">
        <v>40</v>
      </c>
      <c r="B176" s="207" t="s">
        <v>1201</v>
      </c>
      <c r="C176" s="440" t="s">
        <v>1240</v>
      </c>
      <c r="D176" s="207" t="s">
        <v>235</v>
      </c>
      <c r="E176" s="298">
        <v>32</v>
      </c>
      <c r="F176" s="207" t="s">
        <v>236</v>
      </c>
      <c r="G176" s="429"/>
      <c r="H176" s="208"/>
      <c r="I176" s="299"/>
      <c r="J176" s="218"/>
      <c r="K176" s="208">
        <v>3.2</v>
      </c>
      <c r="L176" s="208"/>
      <c r="M176" s="208"/>
      <c r="N176" s="295"/>
      <c r="O176" s="209"/>
      <c r="P176" s="25"/>
      <c r="Q176" s="347"/>
      <c r="R176" s="302"/>
      <c r="S176" s="27"/>
      <c r="T176" s="301"/>
      <c r="U176" s="27"/>
      <c r="V176" s="118"/>
    </row>
    <row r="177" spans="1:24" s="119" customFormat="1" ht="24.9" hidden="1" customHeight="1">
      <c r="A177" s="296">
        <v>41</v>
      </c>
      <c r="B177" s="207" t="s">
        <v>1201</v>
      </c>
      <c r="C177" s="440" t="s">
        <v>1241</v>
      </c>
      <c r="D177" s="207" t="s">
        <v>235</v>
      </c>
      <c r="E177" s="298">
        <v>2</v>
      </c>
      <c r="F177" s="207" t="s">
        <v>236</v>
      </c>
      <c r="G177" s="429"/>
      <c r="H177" s="208"/>
      <c r="I177" s="299"/>
      <c r="J177" s="218"/>
      <c r="K177" s="208">
        <v>0.2</v>
      </c>
      <c r="L177" s="208"/>
      <c r="M177" s="208"/>
      <c r="N177" s="295"/>
      <c r="O177" s="209"/>
      <c r="P177" s="25"/>
      <c r="Q177" s="347"/>
      <c r="R177" s="26"/>
      <c r="S177" s="27"/>
      <c r="T177" s="301"/>
      <c r="U177" s="27"/>
      <c r="V177" s="118"/>
    </row>
    <row r="178" spans="1:24" s="119" customFormat="1" ht="24.9" hidden="1" customHeight="1">
      <c r="A178" s="296">
        <v>42</v>
      </c>
      <c r="B178" s="207" t="s">
        <v>1201</v>
      </c>
      <c r="C178" s="440" t="s">
        <v>1242</v>
      </c>
      <c r="D178" s="207" t="s">
        <v>235</v>
      </c>
      <c r="E178" s="298">
        <v>96</v>
      </c>
      <c r="F178" s="207" t="s">
        <v>236</v>
      </c>
      <c r="G178" s="429"/>
      <c r="H178" s="208"/>
      <c r="I178" s="299"/>
      <c r="J178" s="218"/>
      <c r="K178" s="208">
        <v>9.6000000000000014</v>
      </c>
      <c r="L178" s="208"/>
      <c r="M178" s="208"/>
      <c r="N178" s="295"/>
      <c r="O178" s="209"/>
      <c r="P178" s="25"/>
      <c r="Q178" s="347"/>
      <c r="R178" s="302"/>
      <c r="S178" s="27"/>
      <c r="T178" s="301"/>
      <c r="U178" s="27"/>
      <c r="V178" s="118"/>
    </row>
    <row r="179" spans="1:24" s="119" customFormat="1" ht="26.4" hidden="1" customHeight="1">
      <c r="A179" s="296">
        <v>43</v>
      </c>
      <c r="B179" s="207" t="s">
        <v>1201</v>
      </c>
      <c r="C179" s="440" t="s">
        <v>1243</v>
      </c>
      <c r="D179" s="207" t="s">
        <v>235</v>
      </c>
      <c r="E179" s="298">
        <v>2</v>
      </c>
      <c r="F179" s="207" t="s">
        <v>236</v>
      </c>
      <c r="G179" s="429"/>
      <c r="H179" s="208"/>
      <c r="I179" s="299"/>
      <c r="J179" s="218"/>
      <c r="K179" s="208">
        <v>2</v>
      </c>
      <c r="L179" s="208"/>
      <c r="M179" s="208"/>
      <c r="N179" s="295"/>
      <c r="O179" s="209"/>
      <c r="P179" s="25"/>
      <c r="Q179" s="347"/>
      <c r="R179" s="26"/>
      <c r="S179" s="27"/>
      <c r="T179" s="301"/>
      <c r="U179" s="27"/>
      <c r="V179" s="118"/>
    </row>
    <row r="180" spans="1:24" s="119" customFormat="1" ht="24.9" hidden="1" customHeight="1">
      <c r="A180" s="296">
        <v>44</v>
      </c>
      <c r="B180" s="207" t="s">
        <v>1201</v>
      </c>
      <c r="C180" s="440" t="s">
        <v>1240</v>
      </c>
      <c r="D180" s="207" t="s">
        <v>235</v>
      </c>
      <c r="E180" s="298">
        <v>8</v>
      </c>
      <c r="F180" s="207" t="s">
        <v>236</v>
      </c>
      <c r="G180" s="429"/>
      <c r="H180" s="208"/>
      <c r="I180" s="299"/>
      <c r="J180" s="218"/>
      <c r="K180" s="208">
        <v>0.8</v>
      </c>
      <c r="L180" s="208"/>
      <c r="M180" s="208"/>
      <c r="N180" s="295"/>
      <c r="O180" s="209"/>
      <c r="P180" s="25"/>
      <c r="Q180" s="347"/>
      <c r="R180" s="302"/>
      <c r="S180" s="27"/>
      <c r="T180" s="301"/>
      <c r="U180" s="27"/>
      <c r="V180" s="118"/>
    </row>
    <row r="181" spans="1:24" s="119" customFormat="1" ht="24.9" hidden="1" customHeight="1">
      <c r="A181" s="296">
        <v>45</v>
      </c>
      <c r="B181" s="207" t="s">
        <v>1201</v>
      </c>
      <c r="C181" s="303" t="s">
        <v>1244</v>
      </c>
      <c r="D181" s="207" t="s">
        <v>235</v>
      </c>
      <c r="E181" s="298">
        <v>41</v>
      </c>
      <c r="F181" s="207" t="s">
        <v>236</v>
      </c>
      <c r="G181" s="208"/>
      <c r="H181" s="208"/>
      <c r="I181" s="299"/>
      <c r="J181" s="218"/>
      <c r="K181" s="208">
        <v>12.299999999999999</v>
      </c>
      <c r="L181" s="208"/>
      <c r="M181" s="208" t="s">
        <v>1245</v>
      </c>
      <c r="N181" s="295"/>
      <c r="O181" s="209"/>
      <c r="P181" s="25"/>
      <c r="Q181" s="347"/>
      <c r="R181" s="26"/>
      <c r="S181" s="27"/>
      <c r="T181" s="301"/>
      <c r="U181" s="27"/>
      <c r="V181" s="118"/>
      <c r="W181" s="424">
        <f t="shared" ref="W181:W184" si="22">S181+T181+U181</f>
        <v>0</v>
      </c>
      <c r="X181" s="424">
        <f t="shared" ref="X181:X184" si="23">W181*1.1</f>
        <v>0</v>
      </c>
    </row>
    <row r="182" spans="1:24" s="119" customFormat="1" ht="24.9" hidden="1" customHeight="1">
      <c r="A182" s="296">
        <v>46</v>
      </c>
      <c r="B182" s="207" t="s">
        <v>1201</v>
      </c>
      <c r="C182" s="303" t="s">
        <v>1246</v>
      </c>
      <c r="D182" s="207" t="s">
        <v>235</v>
      </c>
      <c r="E182" s="298">
        <v>22</v>
      </c>
      <c r="F182" s="207" t="s">
        <v>236</v>
      </c>
      <c r="G182" s="208"/>
      <c r="H182" s="208"/>
      <c r="I182" s="299"/>
      <c r="J182" s="218"/>
      <c r="K182" s="208">
        <v>6.6</v>
      </c>
      <c r="L182" s="208"/>
      <c r="M182" s="208" t="s">
        <v>1245</v>
      </c>
      <c r="N182" s="295"/>
      <c r="O182" s="209"/>
      <c r="P182" s="25"/>
      <c r="Q182" s="347"/>
      <c r="R182" s="26"/>
      <c r="S182" s="27"/>
      <c r="T182" s="301"/>
      <c r="U182" s="27"/>
      <c r="V182" s="118"/>
      <c r="W182" s="424">
        <f t="shared" si="22"/>
        <v>0</v>
      </c>
      <c r="X182" s="424">
        <f t="shared" si="23"/>
        <v>0</v>
      </c>
    </row>
    <row r="183" spans="1:24" s="119" customFormat="1" ht="24.9" hidden="1" customHeight="1">
      <c r="A183" s="296">
        <v>47</v>
      </c>
      <c r="B183" s="207" t="s">
        <v>1201</v>
      </c>
      <c r="C183" s="303" t="s">
        <v>1244</v>
      </c>
      <c r="D183" s="207" t="s">
        <v>235</v>
      </c>
      <c r="E183" s="298">
        <v>41</v>
      </c>
      <c r="F183" s="207" t="s">
        <v>236</v>
      </c>
      <c r="G183" s="208"/>
      <c r="H183" s="208"/>
      <c r="I183" s="299"/>
      <c r="J183" s="218"/>
      <c r="K183" s="208">
        <v>12.299999999999999</v>
      </c>
      <c r="L183" s="208"/>
      <c r="M183" s="208" t="s">
        <v>1245</v>
      </c>
      <c r="N183" s="295"/>
      <c r="O183" s="209"/>
      <c r="P183" s="25"/>
      <c r="Q183" s="347"/>
      <c r="R183" s="26"/>
      <c r="S183" s="27"/>
      <c r="T183" s="301"/>
      <c r="U183" s="27"/>
      <c r="V183" s="118"/>
      <c r="W183" s="424">
        <f t="shared" si="22"/>
        <v>0</v>
      </c>
      <c r="X183" s="424">
        <f t="shared" si="23"/>
        <v>0</v>
      </c>
    </row>
    <row r="184" spans="1:24" s="119" customFormat="1" ht="24.9" hidden="1" customHeight="1">
      <c r="A184" s="296">
        <v>48</v>
      </c>
      <c r="B184" s="207" t="s">
        <v>1201</v>
      </c>
      <c r="C184" s="303" t="s">
        <v>1246</v>
      </c>
      <c r="D184" s="207" t="s">
        <v>235</v>
      </c>
      <c r="E184" s="298">
        <v>23</v>
      </c>
      <c r="F184" s="207" t="s">
        <v>236</v>
      </c>
      <c r="G184" s="208"/>
      <c r="H184" s="208"/>
      <c r="I184" s="299"/>
      <c r="J184" s="218"/>
      <c r="K184" s="208">
        <v>6.8999999999999995</v>
      </c>
      <c r="L184" s="208"/>
      <c r="M184" s="208" t="s">
        <v>1245</v>
      </c>
      <c r="N184" s="295"/>
      <c r="O184" s="209"/>
      <c r="P184" s="25"/>
      <c r="Q184" s="347"/>
      <c r="R184" s="26"/>
      <c r="S184" s="27"/>
      <c r="T184" s="301"/>
      <c r="U184" s="27"/>
      <c r="V184" s="118"/>
      <c r="W184" s="424">
        <f t="shared" si="22"/>
        <v>0</v>
      </c>
      <c r="X184" s="424">
        <f t="shared" si="23"/>
        <v>0</v>
      </c>
    </row>
    <row r="185" spans="1:24" s="119" customFormat="1" ht="24.9" hidden="1" customHeight="1">
      <c r="A185" s="296">
        <v>49</v>
      </c>
      <c r="B185" s="207" t="s">
        <v>1201</v>
      </c>
      <c r="C185" s="303" t="s">
        <v>1247</v>
      </c>
      <c r="D185" s="207" t="s">
        <v>235</v>
      </c>
      <c r="E185" s="298">
        <v>8</v>
      </c>
      <c r="F185" s="207" t="s">
        <v>236</v>
      </c>
      <c r="G185" s="208"/>
      <c r="H185" s="208"/>
      <c r="I185" s="299"/>
      <c r="J185" s="218"/>
      <c r="K185" s="208">
        <v>6.4</v>
      </c>
      <c r="L185" s="208"/>
      <c r="M185" s="208"/>
      <c r="N185" s="295"/>
      <c r="O185" s="209"/>
      <c r="P185" s="25"/>
      <c r="Q185" s="347"/>
      <c r="R185" s="302"/>
      <c r="S185" s="27"/>
      <c r="T185" s="301"/>
      <c r="U185" s="27"/>
      <c r="V185" s="118"/>
    </row>
    <row r="186" spans="1:24" s="119" customFormat="1" ht="24.9" hidden="1" customHeight="1">
      <c r="A186" s="296">
        <v>50</v>
      </c>
      <c r="B186" s="207" t="s">
        <v>1201</v>
      </c>
      <c r="C186" s="303" t="s">
        <v>1248</v>
      </c>
      <c r="D186" s="207" t="s">
        <v>235</v>
      </c>
      <c r="E186" s="298">
        <v>132</v>
      </c>
      <c r="F186" s="207" t="s">
        <v>236</v>
      </c>
      <c r="G186" s="208"/>
      <c r="H186" s="208"/>
      <c r="I186" s="299"/>
      <c r="J186" s="218"/>
      <c r="K186" s="208">
        <v>105.60000000000001</v>
      </c>
      <c r="L186" s="208"/>
      <c r="M186" s="208"/>
      <c r="N186" s="295"/>
      <c r="O186" s="209"/>
      <c r="P186" s="25"/>
      <c r="Q186" s="347"/>
      <c r="R186" s="302"/>
      <c r="S186" s="27"/>
      <c r="T186" s="301"/>
      <c r="U186" s="27"/>
      <c r="V186" s="118"/>
    </row>
    <row r="187" spans="1:24" s="119" customFormat="1" ht="24.9" hidden="1" customHeight="1">
      <c r="A187" s="296">
        <v>51</v>
      </c>
      <c r="B187" s="207" t="s">
        <v>1201</v>
      </c>
      <c r="C187" s="303" t="s">
        <v>1247</v>
      </c>
      <c r="D187" s="207" t="s">
        <v>235</v>
      </c>
      <c r="E187" s="298">
        <v>8</v>
      </c>
      <c r="F187" s="207" t="s">
        <v>236</v>
      </c>
      <c r="G187" s="208"/>
      <c r="H187" s="208"/>
      <c r="I187" s="299"/>
      <c r="J187" s="218"/>
      <c r="K187" s="208">
        <v>6.4</v>
      </c>
      <c r="L187" s="208"/>
      <c r="M187" s="208"/>
      <c r="N187" s="295"/>
      <c r="O187" s="209"/>
      <c r="P187" s="25"/>
      <c r="Q187" s="347"/>
      <c r="R187" s="302"/>
      <c r="S187" s="27"/>
      <c r="T187" s="301"/>
      <c r="U187" s="27"/>
      <c r="V187" s="118"/>
    </row>
    <row r="188" spans="1:24" s="119" customFormat="1" ht="24.9" hidden="1" customHeight="1">
      <c r="A188" s="296">
        <v>52</v>
      </c>
      <c r="B188" s="207" t="s">
        <v>1201</v>
      </c>
      <c r="C188" s="303" t="s">
        <v>1248</v>
      </c>
      <c r="D188" s="207" t="s">
        <v>235</v>
      </c>
      <c r="E188" s="298">
        <v>132</v>
      </c>
      <c r="F188" s="207" t="s">
        <v>236</v>
      </c>
      <c r="G188" s="208"/>
      <c r="H188" s="208"/>
      <c r="I188" s="299"/>
      <c r="J188" s="218"/>
      <c r="K188" s="208">
        <v>105.60000000000001</v>
      </c>
      <c r="L188" s="208"/>
      <c r="M188" s="208"/>
      <c r="N188" s="295"/>
      <c r="O188" s="209"/>
      <c r="P188" s="25"/>
      <c r="Q188" s="347"/>
      <c r="R188" s="302"/>
      <c r="S188" s="27"/>
      <c r="T188" s="301"/>
      <c r="U188" s="27"/>
      <c r="V188" s="118"/>
    </row>
    <row r="189" spans="1:24" s="119" customFormat="1" ht="24.9" hidden="1" customHeight="1">
      <c r="A189" s="296">
        <v>53</v>
      </c>
      <c r="B189" s="207" t="s">
        <v>1201</v>
      </c>
      <c r="C189" s="303" t="s">
        <v>1249</v>
      </c>
      <c r="D189" s="207" t="s">
        <v>235</v>
      </c>
      <c r="E189" s="298">
        <v>52</v>
      </c>
      <c r="F189" s="207" t="s">
        <v>236</v>
      </c>
      <c r="G189" s="443"/>
      <c r="H189" s="208"/>
      <c r="I189" s="299"/>
      <c r="J189" s="218"/>
      <c r="K189" s="208">
        <v>10.4</v>
      </c>
      <c r="L189" s="208"/>
      <c r="M189" s="208"/>
      <c r="N189" s="295"/>
      <c r="O189" s="209"/>
      <c r="P189" s="25"/>
      <c r="Q189" s="347"/>
      <c r="R189" s="302"/>
      <c r="S189" s="27"/>
      <c r="T189" s="301"/>
      <c r="U189" s="27"/>
      <c r="V189" s="118"/>
    </row>
    <row r="190" spans="1:24" s="119" customFormat="1" ht="24.9" hidden="1" customHeight="1">
      <c r="A190" s="296">
        <v>54</v>
      </c>
      <c r="B190" s="207" t="s">
        <v>1201</v>
      </c>
      <c r="C190" s="303" t="s">
        <v>1250</v>
      </c>
      <c r="D190" s="207" t="s">
        <v>235</v>
      </c>
      <c r="E190" s="298">
        <v>52</v>
      </c>
      <c r="F190" s="207" t="s">
        <v>236</v>
      </c>
      <c r="G190" s="443"/>
      <c r="H190" s="208"/>
      <c r="I190" s="299"/>
      <c r="J190" s="218"/>
      <c r="K190" s="208">
        <v>10.4</v>
      </c>
      <c r="L190" s="208"/>
      <c r="M190" s="208"/>
      <c r="N190" s="295"/>
      <c r="O190" s="209"/>
      <c r="P190" s="25"/>
      <c r="Q190" s="347"/>
      <c r="R190" s="302"/>
      <c r="S190" s="27"/>
      <c r="T190" s="301"/>
      <c r="U190" s="27"/>
      <c r="V190" s="118"/>
    </row>
    <row r="191" spans="1:24" s="119" customFormat="1" ht="24.9" hidden="1" customHeight="1">
      <c r="A191" s="296">
        <v>55</v>
      </c>
      <c r="B191" s="207" t="s">
        <v>1201</v>
      </c>
      <c r="C191" s="303" t="s">
        <v>1251</v>
      </c>
      <c r="D191" s="207" t="s">
        <v>235</v>
      </c>
      <c r="E191" s="298">
        <v>78</v>
      </c>
      <c r="F191" s="207" t="s">
        <v>236</v>
      </c>
      <c r="G191" s="429"/>
      <c r="H191" s="208"/>
      <c r="I191" s="299"/>
      <c r="J191" s="218"/>
      <c r="K191" s="208">
        <v>39</v>
      </c>
      <c r="L191" s="208"/>
      <c r="M191" s="208"/>
      <c r="N191" s="295"/>
      <c r="O191" s="209"/>
      <c r="P191" s="25"/>
      <c r="Q191" s="347"/>
      <c r="R191" s="302"/>
      <c r="S191" s="27"/>
      <c r="T191" s="301"/>
      <c r="U191" s="27"/>
      <c r="V191" s="118"/>
    </row>
    <row r="192" spans="1:24" s="119" customFormat="1" ht="24.9" hidden="1" customHeight="1">
      <c r="A192" s="296">
        <v>56</v>
      </c>
      <c r="B192" s="207" t="s">
        <v>1201</v>
      </c>
      <c r="C192" s="303" t="s">
        <v>1252</v>
      </c>
      <c r="D192" s="207" t="s">
        <v>235</v>
      </c>
      <c r="E192" s="298">
        <v>1</v>
      </c>
      <c r="F192" s="207" t="s">
        <v>236</v>
      </c>
      <c r="G192" s="429"/>
      <c r="H192" s="208"/>
      <c r="I192" s="299"/>
      <c r="J192" s="218"/>
      <c r="K192" s="208">
        <v>1</v>
      </c>
      <c r="L192" s="208"/>
      <c r="M192" s="208"/>
      <c r="N192" s="295"/>
      <c r="O192" s="209"/>
      <c r="P192" s="25"/>
      <c r="Q192" s="347"/>
      <c r="R192" s="26"/>
      <c r="S192" s="27"/>
      <c r="T192" s="301"/>
      <c r="U192" s="27"/>
      <c r="V192" s="118"/>
    </row>
    <row r="193" spans="1:22" s="119" customFormat="1" ht="24.9" hidden="1" customHeight="1">
      <c r="A193" s="296">
        <v>57</v>
      </c>
      <c r="B193" s="207" t="s">
        <v>1201</v>
      </c>
      <c r="C193" s="303" t="s">
        <v>1253</v>
      </c>
      <c r="D193" s="207" t="s">
        <v>235</v>
      </c>
      <c r="E193" s="298">
        <v>78</v>
      </c>
      <c r="F193" s="207" t="s">
        <v>236</v>
      </c>
      <c r="G193" s="429"/>
      <c r="H193" s="208"/>
      <c r="I193" s="299"/>
      <c r="J193" s="218"/>
      <c r="K193" s="208">
        <v>1</v>
      </c>
      <c r="L193" s="208"/>
      <c r="M193" s="208"/>
      <c r="N193" s="295"/>
      <c r="O193" s="209"/>
      <c r="P193" s="25"/>
      <c r="Q193" s="347"/>
      <c r="R193" s="302"/>
      <c r="S193" s="27"/>
      <c r="T193" s="301"/>
      <c r="U193" s="27"/>
      <c r="V193" s="118"/>
    </row>
    <row r="194" spans="1:22" s="119" customFormat="1" ht="24.9" hidden="1" customHeight="1">
      <c r="A194" s="296">
        <v>58</v>
      </c>
      <c r="B194" s="207" t="s">
        <v>1201</v>
      </c>
      <c r="C194" s="381" t="s">
        <v>1254</v>
      </c>
      <c r="D194" s="207" t="s">
        <v>235</v>
      </c>
      <c r="E194" s="381">
        <v>42</v>
      </c>
      <c r="F194" s="207" t="s">
        <v>236</v>
      </c>
      <c r="G194" s="429"/>
      <c r="H194" s="208"/>
      <c r="I194" s="299"/>
      <c r="J194" s="218"/>
      <c r="K194" s="309">
        <v>21</v>
      </c>
      <c r="L194" s="208"/>
      <c r="M194" s="208"/>
      <c r="N194" s="295"/>
      <c r="O194" s="381"/>
      <c r="P194" s="25"/>
      <c r="Q194" s="300"/>
      <c r="R194" s="26"/>
      <c r="S194" s="27"/>
      <c r="T194" s="301"/>
      <c r="U194" s="27"/>
      <c r="V194" s="118"/>
    </row>
    <row r="195" spans="1:22" s="119" customFormat="1" ht="24.9" hidden="1" customHeight="1">
      <c r="A195" s="296">
        <v>59</v>
      </c>
      <c r="B195" s="207" t="s">
        <v>1201</v>
      </c>
      <c r="C195" s="381" t="s">
        <v>1255</v>
      </c>
      <c r="D195" s="207" t="s">
        <v>235</v>
      </c>
      <c r="E195" s="381">
        <v>1</v>
      </c>
      <c r="F195" s="207" t="s">
        <v>236</v>
      </c>
      <c r="G195" s="429"/>
      <c r="H195" s="208"/>
      <c r="I195" s="299"/>
      <c r="J195" s="218"/>
      <c r="K195" s="309">
        <v>1</v>
      </c>
      <c r="L195" s="208"/>
      <c r="M195" s="208"/>
      <c r="N195" s="295"/>
      <c r="O195" s="381"/>
      <c r="P195" s="25"/>
      <c r="Q195" s="300"/>
      <c r="R195" s="26"/>
      <c r="S195" s="27"/>
      <c r="T195" s="301"/>
      <c r="U195" s="27"/>
      <c r="V195" s="118"/>
    </row>
    <row r="196" spans="1:22" s="119" customFormat="1" ht="24.9" hidden="1" customHeight="1">
      <c r="A196" s="296">
        <v>60</v>
      </c>
      <c r="B196" s="207" t="s">
        <v>1201</v>
      </c>
      <c r="C196" s="381" t="s">
        <v>1256</v>
      </c>
      <c r="D196" s="207" t="s">
        <v>235</v>
      </c>
      <c r="E196" s="381">
        <v>46</v>
      </c>
      <c r="F196" s="207" t="s">
        <v>236</v>
      </c>
      <c r="G196" s="429"/>
      <c r="H196" s="208"/>
      <c r="I196" s="299"/>
      <c r="J196" s="218"/>
      <c r="K196" s="309">
        <v>1</v>
      </c>
      <c r="L196" s="208"/>
      <c r="M196" s="208"/>
      <c r="N196" s="295"/>
      <c r="O196" s="381"/>
      <c r="P196" s="25"/>
      <c r="Q196" s="300"/>
      <c r="R196" s="26"/>
      <c r="S196" s="27"/>
      <c r="T196" s="301"/>
      <c r="U196" s="27"/>
      <c r="V196" s="118"/>
    </row>
    <row r="197" spans="1:22" s="119" customFormat="1" ht="24.9" hidden="1" customHeight="1">
      <c r="A197" s="296">
        <v>61</v>
      </c>
      <c r="B197" s="207" t="s">
        <v>1201</v>
      </c>
      <c r="C197" s="381" t="s">
        <v>1257</v>
      </c>
      <c r="D197" s="207" t="s">
        <v>235</v>
      </c>
      <c r="E197" s="381">
        <v>4</v>
      </c>
      <c r="F197" s="207" t="s">
        <v>236</v>
      </c>
      <c r="G197" s="429"/>
      <c r="H197" s="208"/>
      <c r="I197" s="299"/>
      <c r="J197" s="218"/>
      <c r="K197" s="309">
        <v>2</v>
      </c>
      <c r="L197" s="208"/>
      <c r="M197" s="208"/>
      <c r="N197" s="295"/>
      <c r="O197" s="381"/>
      <c r="P197" s="25"/>
      <c r="Q197" s="300"/>
      <c r="R197" s="26"/>
      <c r="S197" s="27"/>
      <c r="T197" s="301"/>
      <c r="U197" s="27"/>
      <c r="V197" s="118"/>
    </row>
    <row r="198" spans="1:22" s="119" customFormat="1" ht="24.9" hidden="1" customHeight="1">
      <c r="A198" s="296">
        <v>62</v>
      </c>
      <c r="B198" s="207" t="s">
        <v>1201</v>
      </c>
      <c r="C198" s="381" t="s">
        <v>1258</v>
      </c>
      <c r="D198" s="207" t="s">
        <v>235</v>
      </c>
      <c r="E198" s="381">
        <v>10</v>
      </c>
      <c r="F198" s="207" t="s">
        <v>236</v>
      </c>
      <c r="G198" s="429"/>
      <c r="H198" s="208"/>
      <c r="I198" s="299"/>
      <c r="J198" s="218"/>
      <c r="K198" s="309">
        <v>1</v>
      </c>
      <c r="L198" s="208"/>
      <c r="M198" s="208"/>
      <c r="N198" s="295"/>
      <c r="O198" s="381"/>
      <c r="P198" s="25"/>
      <c r="Q198" s="300"/>
      <c r="R198" s="26"/>
      <c r="S198" s="27"/>
      <c r="T198" s="301"/>
      <c r="U198" s="27"/>
      <c r="V198" s="118"/>
    </row>
    <row r="199" spans="1:22" s="119" customFormat="1" ht="24.9" hidden="1" customHeight="1">
      <c r="A199" s="296">
        <v>63</v>
      </c>
      <c r="B199" s="207" t="s">
        <v>1201</v>
      </c>
      <c r="C199" s="381" t="s">
        <v>1259</v>
      </c>
      <c r="D199" s="207" t="s">
        <v>235</v>
      </c>
      <c r="E199" s="381">
        <v>8</v>
      </c>
      <c r="F199" s="207" t="s">
        <v>236</v>
      </c>
      <c r="G199" s="429"/>
      <c r="H199" s="208"/>
      <c r="I199" s="299"/>
      <c r="J199" s="218"/>
      <c r="K199" s="309">
        <v>4</v>
      </c>
      <c r="L199" s="208"/>
      <c r="M199" s="208"/>
      <c r="N199" s="295"/>
      <c r="O199" s="381"/>
      <c r="P199" s="25"/>
      <c r="Q199" s="300"/>
      <c r="R199" s="26"/>
      <c r="S199" s="27"/>
      <c r="T199" s="301"/>
      <c r="U199" s="27"/>
      <c r="V199" s="118"/>
    </row>
    <row r="200" spans="1:22" s="119" customFormat="1" ht="24.9" hidden="1" customHeight="1">
      <c r="A200" s="296">
        <v>64</v>
      </c>
      <c r="B200" s="207" t="s">
        <v>1201</v>
      </c>
      <c r="C200" s="381" t="s">
        <v>1260</v>
      </c>
      <c r="D200" s="207" t="s">
        <v>235</v>
      </c>
      <c r="E200" s="381">
        <v>1</v>
      </c>
      <c r="F200" s="207" t="s">
        <v>236</v>
      </c>
      <c r="G200" s="429"/>
      <c r="H200" s="208"/>
      <c r="I200" s="299"/>
      <c r="J200" s="218"/>
      <c r="K200" s="309">
        <v>1</v>
      </c>
      <c r="L200" s="208"/>
      <c r="M200" s="208"/>
      <c r="N200" s="295"/>
      <c r="O200" s="381"/>
      <c r="P200" s="25"/>
      <c r="Q200" s="300"/>
      <c r="R200" s="26"/>
      <c r="S200" s="27"/>
      <c r="T200" s="301"/>
      <c r="U200" s="27"/>
      <c r="V200" s="118"/>
    </row>
    <row r="201" spans="1:22" s="119" customFormat="1" ht="24.9" hidden="1" customHeight="1">
      <c r="A201" s="296">
        <v>65</v>
      </c>
      <c r="B201" s="207" t="s">
        <v>1201</v>
      </c>
      <c r="C201" s="381" t="s">
        <v>1261</v>
      </c>
      <c r="D201" s="207" t="s">
        <v>235</v>
      </c>
      <c r="E201" s="381">
        <v>8</v>
      </c>
      <c r="F201" s="207" t="s">
        <v>236</v>
      </c>
      <c r="G201" s="429"/>
      <c r="H201" s="208"/>
      <c r="I201" s="299"/>
      <c r="J201" s="218"/>
      <c r="K201" s="309">
        <v>1</v>
      </c>
      <c r="L201" s="208"/>
      <c r="M201" s="208"/>
      <c r="N201" s="295"/>
      <c r="O201" s="381"/>
      <c r="P201" s="25"/>
      <c r="Q201" s="300"/>
      <c r="R201" s="26"/>
      <c r="S201" s="27"/>
      <c r="T201" s="301"/>
      <c r="U201" s="27"/>
      <c r="V201" s="118"/>
    </row>
    <row r="202" spans="1:22" s="119" customFormat="1" ht="24.9" hidden="1" customHeight="1">
      <c r="A202" s="296">
        <v>66</v>
      </c>
      <c r="B202" s="207" t="s">
        <v>1201</v>
      </c>
      <c r="C202" s="381" t="s">
        <v>1262</v>
      </c>
      <c r="D202" s="207" t="s">
        <v>235</v>
      </c>
      <c r="E202" s="381">
        <v>4</v>
      </c>
      <c r="F202" s="207" t="s">
        <v>236</v>
      </c>
      <c r="G202" s="429"/>
      <c r="H202" s="208"/>
      <c r="I202" s="299"/>
      <c r="J202" s="218"/>
      <c r="K202" s="309">
        <v>2</v>
      </c>
      <c r="L202" s="208"/>
      <c r="M202" s="208"/>
      <c r="N202" s="295"/>
      <c r="O202" s="381"/>
      <c r="P202" s="25"/>
      <c r="Q202" s="300"/>
      <c r="R202" s="26"/>
      <c r="S202" s="27"/>
      <c r="T202" s="301"/>
      <c r="U202" s="27"/>
      <c r="V202" s="118"/>
    </row>
    <row r="203" spans="1:22" s="119" customFormat="1" ht="24.9" hidden="1" customHeight="1">
      <c r="A203" s="296">
        <v>67</v>
      </c>
      <c r="B203" s="207" t="s">
        <v>1201</v>
      </c>
      <c r="C203" s="381" t="s">
        <v>1263</v>
      </c>
      <c r="D203" s="207" t="s">
        <v>235</v>
      </c>
      <c r="E203" s="381">
        <v>8</v>
      </c>
      <c r="F203" s="207" t="s">
        <v>236</v>
      </c>
      <c r="G203" s="429"/>
      <c r="H203" s="208"/>
      <c r="I203" s="299"/>
      <c r="J203" s="218"/>
      <c r="K203" s="309">
        <v>1</v>
      </c>
      <c r="L203" s="208"/>
      <c r="M203" s="208"/>
      <c r="N203" s="295"/>
      <c r="O203" s="381"/>
      <c r="P203" s="25"/>
      <c r="Q203" s="300"/>
      <c r="R203" s="26"/>
      <c r="S203" s="27"/>
      <c r="T203" s="301"/>
      <c r="U203" s="27"/>
      <c r="V203" s="118"/>
    </row>
    <row r="204" spans="1:22" s="119" customFormat="1" ht="24.9" hidden="1" customHeight="1">
      <c r="A204" s="296">
        <v>68</v>
      </c>
      <c r="B204" s="207" t="s">
        <v>1201</v>
      </c>
      <c r="C204" s="381" t="s">
        <v>1264</v>
      </c>
      <c r="D204" s="207" t="s">
        <v>235</v>
      </c>
      <c r="E204" s="381">
        <v>24</v>
      </c>
      <c r="F204" s="207" t="s">
        <v>236</v>
      </c>
      <c r="G204" s="429"/>
      <c r="H204" s="208"/>
      <c r="I204" s="299"/>
      <c r="J204" s="218"/>
      <c r="K204" s="309">
        <v>12</v>
      </c>
      <c r="L204" s="208"/>
      <c r="M204" s="208"/>
      <c r="N204" s="295"/>
      <c r="O204" s="381"/>
      <c r="P204" s="25"/>
      <c r="Q204" s="300"/>
      <c r="R204" s="26"/>
      <c r="S204" s="27"/>
      <c r="T204" s="301"/>
      <c r="U204" s="27"/>
      <c r="V204" s="118"/>
    </row>
    <row r="205" spans="1:22" s="119" customFormat="1" ht="24.9" hidden="1" customHeight="1">
      <c r="A205" s="296">
        <v>69</v>
      </c>
      <c r="B205" s="207" t="s">
        <v>1201</v>
      </c>
      <c r="C205" s="381" t="s">
        <v>1265</v>
      </c>
      <c r="D205" s="207" t="s">
        <v>235</v>
      </c>
      <c r="E205" s="381">
        <v>24</v>
      </c>
      <c r="F205" s="207" t="s">
        <v>236</v>
      </c>
      <c r="G205" s="429"/>
      <c r="H205" s="208"/>
      <c r="I205" s="299"/>
      <c r="J205" s="218"/>
      <c r="K205" s="309">
        <v>1</v>
      </c>
      <c r="L205" s="208"/>
      <c r="M205" s="208"/>
      <c r="N205" s="295"/>
      <c r="O205" s="381"/>
      <c r="P205" s="25"/>
      <c r="Q205" s="300"/>
      <c r="R205" s="26"/>
      <c r="S205" s="27"/>
      <c r="T205" s="301"/>
      <c r="U205" s="27"/>
      <c r="V205" s="118"/>
    </row>
    <row r="206" spans="1:22" s="119" customFormat="1" ht="24.9" hidden="1" customHeight="1">
      <c r="A206" s="296">
        <v>70</v>
      </c>
      <c r="B206" s="207" t="s">
        <v>1201</v>
      </c>
      <c r="C206" s="381" t="s">
        <v>1266</v>
      </c>
      <c r="D206" s="207" t="s">
        <v>235</v>
      </c>
      <c r="E206" s="381">
        <v>1</v>
      </c>
      <c r="F206" s="207" t="s">
        <v>236</v>
      </c>
      <c r="G206" s="429"/>
      <c r="H206" s="208"/>
      <c r="I206" s="299"/>
      <c r="J206" s="218"/>
      <c r="K206" s="309">
        <v>1</v>
      </c>
      <c r="L206" s="208"/>
      <c r="M206" s="208"/>
      <c r="N206" s="295"/>
      <c r="O206" s="381"/>
      <c r="P206" s="25"/>
      <c r="Q206" s="300"/>
      <c r="R206" s="26"/>
      <c r="S206" s="27"/>
      <c r="T206" s="301"/>
      <c r="U206" s="27"/>
      <c r="V206" s="118"/>
    </row>
    <row r="207" spans="1:22" s="119" customFormat="1" ht="24.9" hidden="1" customHeight="1">
      <c r="A207" s="296">
        <v>71</v>
      </c>
      <c r="B207" s="207" t="s">
        <v>1201</v>
      </c>
      <c r="C207" s="381" t="s">
        <v>1267</v>
      </c>
      <c r="D207" s="207" t="s">
        <v>235</v>
      </c>
      <c r="E207" s="381">
        <v>7</v>
      </c>
      <c r="F207" s="207" t="s">
        <v>236</v>
      </c>
      <c r="G207" s="381"/>
      <c r="H207" s="208"/>
      <c r="I207" s="299"/>
      <c r="J207" s="218"/>
      <c r="K207" s="309">
        <v>15</v>
      </c>
      <c r="L207" s="208"/>
      <c r="M207" s="208"/>
      <c r="N207" s="295"/>
      <c r="O207" s="381"/>
      <c r="P207" s="25"/>
      <c r="Q207" s="300"/>
      <c r="R207" s="26"/>
      <c r="S207" s="27"/>
      <c r="T207" s="301"/>
      <c r="U207" s="27"/>
      <c r="V207" s="118"/>
    </row>
    <row r="208" spans="1:22" s="119" customFormat="1" ht="24.9" hidden="1" customHeight="1">
      <c r="A208" s="296">
        <v>72</v>
      </c>
      <c r="B208" s="207" t="s">
        <v>1201</v>
      </c>
      <c r="C208" s="381" t="s">
        <v>1268</v>
      </c>
      <c r="D208" s="207" t="s">
        <v>235</v>
      </c>
      <c r="E208" s="381">
        <v>18</v>
      </c>
      <c r="F208" s="207" t="s">
        <v>236</v>
      </c>
      <c r="G208" s="381"/>
      <c r="H208" s="208"/>
      <c r="I208" s="299"/>
      <c r="J208" s="218"/>
      <c r="K208" s="309">
        <v>2</v>
      </c>
      <c r="L208" s="208"/>
      <c r="M208" s="208"/>
      <c r="N208" s="295"/>
      <c r="O208" s="381"/>
      <c r="P208" s="25"/>
      <c r="Q208" s="300"/>
      <c r="R208" s="26"/>
      <c r="S208" s="27"/>
      <c r="T208" s="301"/>
      <c r="U208" s="27"/>
      <c r="V208" s="118"/>
    </row>
    <row r="209" spans="1:22" s="119" customFormat="1" ht="24.9" hidden="1" customHeight="1">
      <c r="A209" s="296">
        <v>73</v>
      </c>
      <c r="B209" s="207" t="s">
        <v>1201</v>
      </c>
      <c r="C209" s="381" t="s">
        <v>1269</v>
      </c>
      <c r="D209" s="207" t="s">
        <v>235</v>
      </c>
      <c r="E209" s="381">
        <v>8</v>
      </c>
      <c r="F209" s="207" t="s">
        <v>236</v>
      </c>
      <c r="G209" s="381"/>
      <c r="H209" s="208"/>
      <c r="I209" s="299"/>
      <c r="J209" s="218"/>
      <c r="K209" s="309">
        <v>2</v>
      </c>
      <c r="L209" s="208"/>
      <c r="M209" s="208"/>
      <c r="N209" s="295"/>
      <c r="O209" s="381"/>
      <c r="P209" s="25"/>
      <c r="Q209" s="300"/>
      <c r="R209" s="26"/>
      <c r="S209" s="27"/>
      <c r="T209" s="301"/>
      <c r="U209" s="27"/>
      <c r="V209" s="118"/>
    </row>
    <row r="210" spans="1:22" s="119" customFormat="1" ht="24.9" hidden="1" customHeight="1">
      <c r="A210" s="296">
        <v>74</v>
      </c>
      <c r="B210" s="207" t="s">
        <v>1201</v>
      </c>
      <c r="C210" s="381" t="s">
        <v>1270</v>
      </c>
      <c r="D210" s="207" t="s">
        <v>235</v>
      </c>
      <c r="E210" s="381">
        <v>4</v>
      </c>
      <c r="F210" s="207" t="s">
        <v>236</v>
      </c>
      <c r="G210" s="381"/>
      <c r="H210" s="208"/>
      <c r="I210" s="299"/>
      <c r="J210" s="218"/>
      <c r="K210" s="309">
        <v>2</v>
      </c>
      <c r="L210" s="208"/>
      <c r="M210" s="208"/>
      <c r="N210" s="295"/>
      <c r="O210" s="381"/>
      <c r="P210" s="25"/>
      <c r="Q210" s="300"/>
      <c r="R210" s="26"/>
      <c r="S210" s="27"/>
      <c r="T210" s="301"/>
      <c r="U210" s="27"/>
      <c r="V210" s="118"/>
    </row>
    <row r="211" spans="1:22" s="119" customFormat="1" ht="24.9" hidden="1" customHeight="1">
      <c r="A211" s="234"/>
      <c r="B211" s="235"/>
      <c r="C211" s="382"/>
      <c r="D211" s="382"/>
      <c r="E211" s="238">
        <f>SUM(E137:E210)</f>
        <v>3342</v>
      </c>
      <c r="F211" s="383"/>
      <c r="G211" s="239">
        <v>630</v>
      </c>
      <c r="H211" s="239">
        <v>122</v>
      </c>
      <c r="I211" s="240">
        <v>100</v>
      </c>
      <c r="J211" s="241">
        <f>ROUND(I211*H211*G211/1000000,3)</f>
        <v>7.6859999999999999</v>
      </c>
      <c r="K211" s="242">
        <f>SUM(K137:K210)</f>
        <v>2532.9559999999992</v>
      </c>
      <c r="L211" s="239">
        <f>K211+140</f>
        <v>2672.9559999999992</v>
      </c>
      <c r="M211" s="377"/>
      <c r="N211" s="378"/>
      <c r="O211" s="382"/>
      <c r="P211" s="379"/>
      <c r="Q211" s="384"/>
      <c r="R211" s="26"/>
      <c r="S211" s="27"/>
      <c r="T211" s="301"/>
      <c r="U211" s="27"/>
      <c r="V211" s="118"/>
    </row>
    <row r="212" spans="1:22" s="119" customFormat="1" ht="24.9" hidden="1" customHeight="1">
      <c r="A212" s="296">
        <v>1</v>
      </c>
      <c r="B212" s="207" t="s">
        <v>1271</v>
      </c>
      <c r="C212" s="303" t="s">
        <v>1272</v>
      </c>
      <c r="D212" s="207" t="s">
        <v>235</v>
      </c>
      <c r="E212" s="298">
        <v>1</v>
      </c>
      <c r="F212" s="207" t="s">
        <v>236</v>
      </c>
      <c r="G212" s="429"/>
      <c r="H212" s="208"/>
      <c r="I212" s="299"/>
      <c r="J212" s="218"/>
      <c r="K212" s="208">
        <v>40</v>
      </c>
      <c r="L212" s="208"/>
      <c r="M212" s="208" t="s">
        <v>1273</v>
      </c>
      <c r="N212" s="295"/>
      <c r="O212" s="209"/>
      <c r="P212" s="209"/>
      <c r="Q212" s="347"/>
      <c r="R212" s="26"/>
      <c r="S212" s="27"/>
      <c r="T212" s="301"/>
      <c r="U212" s="27"/>
      <c r="V212" s="118"/>
    </row>
    <row r="213" spans="1:22" s="119" customFormat="1" ht="24.9" hidden="1" customHeight="1">
      <c r="A213" s="296">
        <v>2</v>
      </c>
      <c r="B213" s="207" t="s">
        <v>1271</v>
      </c>
      <c r="C213" s="303" t="s">
        <v>1272</v>
      </c>
      <c r="D213" s="207" t="s">
        <v>235</v>
      </c>
      <c r="E213" s="298">
        <v>1</v>
      </c>
      <c r="F213" s="207" t="s">
        <v>236</v>
      </c>
      <c r="G213" s="429"/>
      <c r="H213" s="208"/>
      <c r="I213" s="299"/>
      <c r="J213" s="218"/>
      <c r="K213" s="208">
        <v>40</v>
      </c>
      <c r="L213" s="208"/>
      <c r="M213" s="208" t="s">
        <v>1273</v>
      </c>
      <c r="N213" s="295"/>
      <c r="O213" s="209"/>
      <c r="P213" s="209"/>
      <c r="Q213" s="347"/>
      <c r="R213" s="302"/>
      <c r="S213" s="27"/>
      <c r="T213" s="301"/>
      <c r="U213" s="27"/>
      <c r="V213" s="118"/>
    </row>
    <row r="214" spans="1:22" s="307" customFormat="1" ht="24.9" hidden="1" customHeight="1">
      <c r="A214" s="234"/>
      <c r="B214" s="235"/>
      <c r="C214" s="246"/>
      <c r="D214" s="237"/>
      <c r="E214" s="238">
        <f>SUM(E212:E213)</f>
        <v>2</v>
      </c>
      <c r="F214" s="237"/>
      <c r="G214" s="239">
        <v>110</v>
      </c>
      <c r="H214" s="239">
        <v>110</v>
      </c>
      <c r="I214" s="240">
        <v>100</v>
      </c>
      <c r="J214" s="241">
        <f>ROUND(I214*H214*G214/1000000,3)</f>
        <v>1.21</v>
      </c>
      <c r="K214" s="242">
        <f>SUM(K212:K213)</f>
        <v>80</v>
      </c>
      <c r="L214" s="239">
        <f>K214+100</f>
        <v>180</v>
      </c>
      <c r="M214" s="239"/>
      <c r="N214" s="243"/>
      <c r="O214" s="244"/>
      <c r="P214" s="245"/>
      <c r="Q214" s="348"/>
      <c r="R214" s="26"/>
      <c r="S214" s="304"/>
      <c r="T214" s="305"/>
      <c r="U214" s="304"/>
      <c r="V214" s="306"/>
    </row>
    <row r="215" spans="1:22" s="119" customFormat="1" ht="24.9" hidden="1" customHeight="1">
      <c r="A215" s="296">
        <v>1</v>
      </c>
      <c r="B215" s="207" t="s">
        <v>1274</v>
      </c>
      <c r="C215" s="303" t="s">
        <v>1275</v>
      </c>
      <c r="D215" s="207" t="s">
        <v>235</v>
      </c>
      <c r="E215" s="298">
        <v>1</v>
      </c>
      <c r="F215" s="207" t="s">
        <v>236</v>
      </c>
      <c r="G215" s="208"/>
      <c r="H215" s="208"/>
      <c r="I215" s="299"/>
      <c r="J215" s="218"/>
      <c r="K215" s="208">
        <f>12.5*2</f>
        <v>25</v>
      </c>
      <c r="L215" s="208"/>
      <c r="M215" s="208" t="s">
        <v>926</v>
      </c>
      <c r="N215" s="295"/>
      <c r="O215" s="209"/>
      <c r="P215" s="25"/>
      <c r="Q215" s="347"/>
      <c r="R215" s="302"/>
      <c r="S215" s="27"/>
      <c r="T215" s="301"/>
      <c r="U215" s="27"/>
      <c r="V215" s="118"/>
    </row>
    <row r="216" spans="1:22" s="119" customFormat="1" ht="24.9" hidden="1" customHeight="1">
      <c r="A216" s="296">
        <v>2</v>
      </c>
      <c r="B216" s="207" t="s">
        <v>1274</v>
      </c>
      <c r="C216" s="303" t="s">
        <v>1275</v>
      </c>
      <c r="D216" s="207" t="s">
        <v>235</v>
      </c>
      <c r="E216" s="298">
        <v>1</v>
      </c>
      <c r="F216" s="207" t="s">
        <v>236</v>
      </c>
      <c r="G216" s="208"/>
      <c r="H216" s="208"/>
      <c r="I216" s="299"/>
      <c r="J216" s="218"/>
      <c r="K216" s="208">
        <f>12.5*2</f>
        <v>25</v>
      </c>
      <c r="L216" s="208"/>
      <c r="M216" s="208" t="s">
        <v>935</v>
      </c>
      <c r="N216" s="295"/>
      <c r="O216" s="209"/>
      <c r="P216" s="25"/>
      <c r="Q216" s="347"/>
      <c r="R216" s="26"/>
      <c r="S216" s="27"/>
      <c r="T216" s="301"/>
      <c r="U216" s="27"/>
      <c r="V216" s="118"/>
    </row>
    <row r="217" spans="1:22" s="119" customFormat="1" ht="24.9" hidden="1" customHeight="1">
      <c r="A217" s="296">
        <v>3</v>
      </c>
      <c r="B217" s="207" t="s">
        <v>1274</v>
      </c>
      <c r="C217" s="297" t="s">
        <v>1276</v>
      </c>
      <c r="D217" s="207" t="s">
        <v>235</v>
      </c>
      <c r="E217" s="298">
        <v>1</v>
      </c>
      <c r="F217" s="207" t="s">
        <v>236</v>
      </c>
      <c r="G217" s="208"/>
      <c r="H217" s="208"/>
      <c r="I217" s="299"/>
      <c r="J217" s="218"/>
      <c r="K217" s="208">
        <v>5</v>
      </c>
      <c r="L217" s="208"/>
      <c r="M217" s="208"/>
      <c r="N217" s="295"/>
      <c r="O217" s="209"/>
      <c r="P217" s="25"/>
      <c r="Q217" s="347"/>
      <c r="R217" s="302"/>
      <c r="S217" s="27"/>
      <c r="T217" s="301"/>
      <c r="U217" s="27"/>
      <c r="V217" s="118"/>
    </row>
    <row r="218" spans="1:22" s="119" customFormat="1" ht="24.9" hidden="1" customHeight="1">
      <c r="A218" s="296">
        <v>4</v>
      </c>
      <c r="B218" s="207" t="s">
        <v>1274</v>
      </c>
      <c r="C218" s="303" t="s">
        <v>1277</v>
      </c>
      <c r="D218" s="207" t="s">
        <v>235</v>
      </c>
      <c r="E218" s="298">
        <v>1</v>
      </c>
      <c r="F218" s="207" t="s">
        <v>236</v>
      </c>
      <c r="G218" s="208"/>
      <c r="H218" s="208"/>
      <c r="I218" s="299"/>
      <c r="J218" s="218"/>
      <c r="K218" s="208">
        <v>5</v>
      </c>
      <c r="L218" s="208"/>
      <c r="M218" s="208"/>
      <c r="N218" s="295"/>
      <c r="O218" s="209"/>
      <c r="P218" s="25"/>
      <c r="Q218" s="347"/>
      <c r="R218" s="26"/>
      <c r="S218" s="27"/>
      <c r="T218" s="301"/>
      <c r="U218" s="27"/>
      <c r="V218" s="118"/>
    </row>
    <row r="219" spans="1:22" s="307" customFormat="1" ht="24.9" hidden="1" customHeight="1">
      <c r="A219" s="234"/>
      <c r="B219" s="235"/>
      <c r="C219" s="246"/>
      <c r="D219" s="237"/>
      <c r="E219" s="238">
        <f>SUM(E215:E218)</f>
        <v>4</v>
      </c>
      <c r="F219" s="237"/>
      <c r="G219" s="239">
        <v>190</v>
      </c>
      <c r="H219" s="239">
        <v>150</v>
      </c>
      <c r="I219" s="240">
        <v>130</v>
      </c>
      <c r="J219" s="241">
        <f>ROUND(I219*H219*G219/1000000,3)</f>
        <v>3.7050000000000001</v>
      </c>
      <c r="K219" s="242">
        <f>SUM(K215:K218)</f>
        <v>60</v>
      </c>
      <c r="L219" s="239">
        <f>K219+100</f>
        <v>160</v>
      </c>
      <c r="M219" s="239"/>
      <c r="N219" s="243"/>
      <c r="O219" s="244"/>
      <c r="P219" s="245"/>
      <c r="Q219" s="348"/>
      <c r="R219" s="302"/>
      <c r="S219" s="304"/>
      <c r="T219" s="305"/>
      <c r="U219" s="304"/>
      <c r="V219" s="306"/>
    </row>
    <row r="220" spans="1:22" s="119" customFormat="1" ht="24.9" hidden="1" customHeight="1">
      <c r="A220" s="296">
        <v>1</v>
      </c>
      <c r="B220" s="207" t="s">
        <v>1278</v>
      </c>
      <c r="C220" s="303" t="s">
        <v>1279</v>
      </c>
      <c r="D220" s="207" t="s">
        <v>235</v>
      </c>
      <c r="E220" s="298">
        <v>26</v>
      </c>
      <c r="F220" s="207" t="s">
        <v>236</v>
      </c>
      <c r="G220" s="208"/>
      <c r="H220" s="208"/>
      <c r="I220" s="299"/>
      <c r="J220" s="218"/>
      <c r="K220" s="208">
        <v>260</v>
      </c>
      <c r="L220" s="208"/>
      <c r="M220" s="208"/>
      <c r="N220" s="295"/>
      <c r="O220" s="209"/>
      <c r="P220" s="25"/>
      <c r="Q220" s="347"/>
      <c r="R220" s="302"/>
      <c r="S220" s="27"/>
      <c r="T220" s="301"/>
      <c r="U220" s="27"/>
      <c r="V220" s="118"/>
    </row>
    <row r="221" spans="1:22" s="307" customFormat="1" ht="24.9" hidden="1" customHeight="1">
      <c r="A221" s="234"/>
      <c r="B221" s="235"/>
      <c r="C221" s="246"/>
      <c r="D221" s="237"/>
      <c r="E221" s="238">
        <f>SUM(E189)</f>
        <v>52</v>
      </c>
      <c r="F221" s="237"/>
      <c r="G221" s="239">
        <v>240</v>
      </c>
      <c r="H221" s="239">
        <v>180</v>
      </c>
      <c r="I221" s="240">
        <v>220</v>
      </c>
      <c r="J221" s="241">
        <f>ROUND(I221*H221*G221/1000000,3)</f>
        <v>9.5039999999999996</v>
      </c>
      <c r="K221" s="242">
        <f>SUM(K220)</f>
        <v>260</v>
      </c>
      <c r="L221" s="239">
        <f>K221+140</f>
        <v>400</v>
      </c>
      <c r="M221" s="239"/>
      <c r="N221" s="243"/>
      <c r="O221" s="244"/>
      <c r="P221" s="245"/>
      <c r="Q221" s="348"/>
      <c r="R221" s="26"/>
      <c r="S221" s="304"/>
      <c r="T221" s="305"/>
      <c r="U221" s="304"/>
      <c r="V221" s="306"/>
    </row>
    <row r="222" spans="1:22" s="119" customFormat="1" ht="24.9" hidden="1" customHeight="1">
      <c r="A222" s="296">
        <v>1</v>
      </c>
      <c r="B222" s="207" t="s">
        <v>1280</v>
      </c>
      <c r="C222" s="303" t="s">
        <v>1279</v>
      </c>
      <c r="D222" s="207" t="s">
        <v>235</v>
      </c>
      <c r="E222" s="298">
        <v>26</v>
      </c>
      <c r="F222" s="207" t="s">
        <v>236</v>
      </c>
      <c r="G222" s="208"/>
      <c r="H222" s="208"/>
      <c r="I222" s="299"/>
      <c r="J222" s="218"/>
      <c r="K222" s="208">
        <v>260</v>
      </c>
      <c r="L222" s="208"/>
      <c r="M222" s="208"/>
      <c r="N222" s="295"/>
      <c r="O222" s="209"/>
      <c r="P222" s="25"/>
      <c r="Q222" s="347"/>
      <c r="R222" s="302"/>
      <c r="S222" s="27"/>
      <c r="T222" s="301"/>
      <c r="U222" s="27"/>
      <c r="V222" s="118"/>
    </row>
    <row r="223" spans="1:22" s="307" customFormat="1" ht="24.9" hidden="1" customHeight="1">
      <c r="A223" s="234"/>
      <c r="B223" s="235"/>
      <c r="C223" s="246"/>
      <c r="D223" s="237"/>
      <c r="E223" s="238">
        <f>SUM(E190)</f>
        <v>52</v>
      </c>
      <c r="F223" s="237"/>
      <c r="G223" s="239">
        <v>240</v>
      </c>
      <c r="H223" s="239">
        <v>180</v>
      </c>
      <c r="I223" s="240">
        <v>220</v>
      </c>
      <c r="J223" s="241">
        <f>ROUND(I223*H223*G223/1000000,3)</f>
        <v>9.5039999999999996</v>
      </c>
      <c r="K223" s="242">
        <f>SUM(K222)</f>
        <v>260</v>
      </c>
      <c r="L223" s="239">
        <f>K223+140</f>
        <v>400</v>
      </c>
      <c r="M223" s="239"/>
      <c r="N223" s="243"/>
      <c r="O223" s="244"/>
      <c r="P223" s="245"/>
      <c r="Q223" s="348"/>
      <c r="R223" s="26"/>
      <c r="S223" s="304"/>
      <c r="T223" s="305"/>
      <c r="U223" s="304"/>
      <c r="V223" s="306"/>
    </row>
    <row r="224" spans="1:22" s="119" customFormat="1" ht="24.9" hidden="1" customHeight="1">
      <c r="A224" s="296">
        <v>1</v>
      </c>
      <c r="B224" s="207" t="s">
        <v>1281</v>
      </c>
      <c r="C224" s="303" t="s">
        <v>1282</v>
      </c>
      <c r="D224" s="207" t="s">
        <v>235</v>
      </c>
      <c r="E224" s="298">
        <v>26</v>
      </c>
      <c r="F224" s="207" t="s">
        <v>236</v>
      </c>
      <c r="G224" s="208"/>
      <c r="H224" s="208"/>
      <c r="I224" s="299"/>
      <c r="J224" s="218"/>
      <c r="K224" s="208">
        <v>260</v>
      </c>
      <c r="L224" s="208"/>
      <c r="M224" s="208"/>
      <c r="N224" s="295"/>
      <c r="O224" s="209"/>
      <c r="P224" s="25"/>
      <c r="Q224" s="347"/>
      <c r="R224" s="302"/>
      <c r="S224" s="27"/>
      <c r="T224" s="301"/>
      <c r="U224" s="27"/>
      <c r="V224" s="118"/>
    </row>
    <row r="225" spans="1:22" s="307" customFormat="1" ht="24.9" hidden="1" customHeight="1">
      <c r="A225" s="234"/>
      <c r="B225" s="235"/>
      <c r="C225" s="246"/>
      <c r="D225" s="237"/>
      <c r="E225" s="238">
        <f>SUM(E220)</f>
        <v>26</v>
      </c>
      <c r="F225" s="237"/>
      <c r="G225" s="239">
        <v>240</v>
      </c>
      <c r="H225" s="239">
        <v>180</v>
      </c>
      <c r="I225" s="240">
        <v>220</v>
      </c>
      <c r="J225" s="241">
        <f>ROUND(I225*H225*G225/1000000,3)</f>
        <v>9.5039999999999996</v>
      </c>
      <c r="K225" s="242">
        <f>SUM(K224)</f>
        <v>260</v>
      </c>
      <c r="L225" s="239">
        <f>K225+140</f>
        <v>400</v>
      </c>
      <c r="M225" s="239"/>
      <c r="N225" s="243"/>
      <c r="O225" s="244"/>
      <c r="P225" s="245"/>
      <c r="Q225" s="348"/>
      <c r="R225" s="26"/>
      <c r="S225" s="304"/>
      <c r="T225" s="305"/>
      <c r="U225" s="304"/>
      <c r="V225" s="306"/>
    </row>
    <row r="226" spans="1:22" s="119" customFormat="1" ht="24.9" hidden="1" customHeight="1">
      <c r="A226" s="296">
        <v>1</v>
      </c>
      <c r="B226" s="207" t="s">
        <v>1283</v>
      </c>
      <c r="C226" s="303" t="s">
        <v>1282</v>
      </c>
      <c r="D226" s="207" t="s">
        <v>235</v>
      </c>
      <c r="E226" s="298">
        <v>26</v>
      </c>
      <c r="F226" s="207" t="s">
        <v>236</v>
      </c>
      <c r="G226" s="208"/>
      <c r="H226" s="208"/>
      <c r="I226" s="299"/>
      <c r="J226" s="218"/>
      <c r="K226" s="208">
        <v>260</v>
      </c>
      <c r="L226" s="208"/>
      <c r="M226" s="208"/>
      <c r="N226" s="295"/>
      <c r="O226" s="209"/>
      <c r="P226" s="25"/>
      <c r="Q226" s="347"/>
      <c r="R226" s="302"/>
      <c r="S226" s="27"/>
      <c r="T226" s="301"/>
      <c r="U226" s="27"/>
      <c r="V226" s="118"/>
    </row>
    <row r="227" spans="1:22" s="307" customFormat="1" ht="24.9" hidden="1" customHeight="1">
      <c r="A227" s="234"/>
      <c r="B227" s="235"/>
      <c r="C227" s="246"/>
      <c r="D227" s="237"/>
      <c r="E227" s="238">
        <f>SUM(E222)</f>
        <v>26</v>
      </c>
      <c r="F227" s="237"/>
      <c r="G227" s="239">
        <v>240</v>
      </c>
      <c r="H227" s="239">
        <v>180</v>
      </c>
      <c r="I227" s="240">
        <v>220</v>
      </c>
      <c r="J227" s="241">
        <f>ROUND(I227*H227*G227/1000000,3)</f>
        <v>9.5039999999999996</v>
      </c>
      <c r="K227" s="242">
        <f>SUM(K226)</f>
        <v>260</v>
      </c>
      <c r="L227" s="239">
        <f>K227+140</f>
        <v>400</v>
      </c>
      <c r="M227" s="239"/>
      <c r="N227" s="243"/>
      <c r="O227" s="244"/>
      <c r="P227" s="245"/>
      <c r="Q227" s="348"/>
      <c r="R227" s="26"/>
      <c r="S227" s="304"/>
      <c r="T227" s="305"/>
      <c r="U227" s="304"/>
      <c r="V227" s="306"/>
    </row>
    <row r="228" spans="1:22" s="119" customFormat="1" ht="24.9" hidden="1" customHeight="1">
      <c r="A228" s="296">
        <v>1</v>
      </c>
      <c r="B228" s="207" t="s">
        <v>1284</v>
      </c>
      <c r="C228" s="303" t="s">
        <v>1285</v>
      </c>
      <c r="D228" s="207" t="s">
        <v>235</v>
      </c>
      <c r="E228" s="298">
        <v>33</v>
      </c>
      <c r="F228" s="207" t="s">
        <v>236</v>
      </c>
      <c r="G228" s="208"/>
      <c r="H228" s="208"/>
      <c r="I228" s="299"/>
      <c r="J228" s="218"/>
      <c r="K228" s="208">
        <f>10*33</f>
        <v>330</v>
      </c>
      <c r="L228" s="208"/>
      <c r="M228" s="208"/>
      <c r="N228" s="295"/>
      <c r="O228" s="209"/>
      <c r="P228" s="25"/>
      <c r="Q228" s="347"/>
      <c r="R228" s="302"/>
      <c r="S228" s="27"/>
      <c r="T228" s="301"/>
      <c r="U228" s="27"/>
      <c r="V228" s="118"/>
    </row>
    <row r="229" spans="1:22" s="119" customFormat="1" ht="24.9" hidden="1" customHeight="1">
      <c r="A229" s="296">
        <v>2</v>
      </c>
      <c r="B229" s="207" t="s">
        <v>1284</v>
      </c>
      <c r="C229" s="303" t="s">
        <v>1286</v>
      </c>
      <c r="D229" s="207" t="s">
        <v>235</v>
      </c>
      <c r="E229" s="298">
        <v>1</v>
      </c>
      <c r="F229" s="207" t="s">
        <v>236</v>
      </c>
      <c r="G229" s="208"/>
      <c r="H229" s="208"/>
      <c r="I229" s="299"/>
      <c r="J229" s="218"/>
      <c r="K229" s="208">
        <v>5</v>
      </c>
      <c r="L229" s="208"/>
      <c r="M229" s="208"/>
      <c r="N229" s="295"/>
      <c r="O229" s="209"/>
      <c r="P229" s="25"/>
      <c r="Q229" s="347"/>
      <c r="R229" s="302"/>
      <c r="S229" s="426" t="s">
        <v>1287</v>
      </c>
      <c r="T229" s="301"/>
      <c r="U229" s="27"/>
      <c r="V229" s="118"/>
    </row>
    <row r="230" spans="1:22" s="119" customFormat="1" ht="24.9" hidden="1" customHeight="1">
      <c r="A230" s="296">
        <v>3</v>
      </c>
      <c r="B230" s="207" t="s">
        <v>1284</v>
      </c>
      <c r="C230" s="303" t="s">
        <v>1288</v>
      </c>
      <c r="D230" s="207" t="s">
        <v>235</v>
      </c>
      <c r="E230" s="298">
        <v>1</v>
      </c>
      <c r="F230" s="207" t="s">
        <v>236</v>
      </c>
      <c r="G230" s="208"/>
      <c r="H230" s="208"/>
      <c r="I230" s="299"/>
      <c r="J230" s="218"/>
      <c r="K230" s="208">
        <v>5</v>
      </c>
      <c r="L230" s="208"/>
      <c r="M230" s="208"/>
      <c r="N230" s="295"/>
      <c r="O230" s="209"/>
      <c r="P230" s="25"/>
      <c r="Q230" s="347"/>
      <c r="R230" s="302"/>
      <c r="S230" s="27"/>
      <c r="T230" s="301"/>
      <c r="U230" s="27"/>
      <c r="V230" s="118"/>
    </row>
    <row r="231" spans="1:22" s="119" customFormat="1" ht="24.9" hidden="1" customHeight="1">
      <c r="A231" s="296">
        <v>4</v>
      </c>
      <c r="B231" s="207" t="s">
        <v>1284</v>
      </c>
      <c r="C231" s="303" t="s">
        <v>1289</v>
      </c>
      <c r="D231" s="207" t="s">
        <v>235</v>
      </c>
      <c r="E231" s="298">
        <v>10</v>
      </c>
      <c r="F231" s="207" t="s">
        <v>236</v>
      </c>
      <c r="G231" s="208"/>
      <c r="H231" s="208"/>
      <c r="I231" s="299"/>
      <c r="J231" s="218"/>
      <c r="K231" s="208">
        <v>50</v>
      </c>
      <c r="L231" s="208"/>
      <c r="M231" s="208"/>
      <c r="N231" s="295"/>
      <c r="O231" s="209"/>
      <c r="P231" s="25"/>
      <c r="Q231" s="347"/>
      <c r="R231" s="302"/>
      <c r="S231" s="27"/>
      <c r="T231" s="301"/>
      <c r="U231" s="27"/>
      <c r="V231" s="118"/>
    </row>
    <row r="232" spans="1:22" s="119" customFormat="1" ht="24.9" hidden="1" customHeight="1">
      <c r="A232" s="296">
        <v>5</v>
      </c>
      <c r="B232" s="207" t="s">
        <v>1284</v>
      </c>
      <c r="C232" s="303" t="s">
        <v>1290</v>
      </c>
      <c r="D232" s="207" t="s">
        <v>235</v>
      </c>
      <c r="E232" s="298">
        <v>340</v>
      </c>
      <c r="F232" s="207" t="s">
        <v>236</v>
      </c>
      <c r="G232" s="208"/>
      <c r="H232" s="208"/>
      <c r="I232" s="299"/>
      <c r="J232" s="218"/>
      <c r="K232" s="208">
        <f>0.6*1000*1000*0.000002*340</f>
        <v>408</v>
      </c>
      <c r="L232" s="208"/>
      <c r="M232" s="208"/>
      <c r="N232" s="295"/>
      <c r="O232" s="209"/>
      <c r="P232" s="25"/>
      <c r="Q232" s="347"/>
      <c r="R232" s="302"/>
      <c r="S232" s="27"/>
      <c r="T232" s="301"/>
      <c r="U232" s="27"/>
      <c r="V232" s="118"/>
    </row>
    <row r="233" spans="1:22" s="119" customFormat="1" ht="24.9" hidden="1" customHeight="1">
      <c r="A233" s="296">
        <v>6</v>
      </c>
      <c r="B233" s="207" t="s">
        <v>1284</v>
      </c>
      <c r="C233" s="303" t="s">
        <v>1291</v>
      </c>
      <c r="D233" s="207" t="s">
        <v>235</v>
      </c>
      <c r="E233" s="298">
        <v>1</v>
      </c>
      <c r="F233" s="207" t="s">
        <v>236</v>
      </c>
      <c r="G233" s="208"/>
      <c r="H233" s="208"/>
      <c r="I233" s="299"/>
      <c r="J233" s="218"/>
      <c r="K233" s="208">
        <v>5</v>
      </c>
      <c r="L233" s="208"/>
      <c r="M233" s="208"/>
      <c r="N233" s="295"/>
      <c r="O233" s="209"/>
      <c r="P233" s="25"/>
      <c r="Q233" s="347"/>
      <c r="R233" s="302"/>
      <c r="S233" s="27"/>
      <c r="T233" s="301"/>
      <c r="U233" s="27"/>
      <c r="V233" s="118"/>
    </row>
    <row r="234" spans="1:22" s="119" customFormat="1" ht="24.9" hidden="1" customHeight="1">
      <c r="A234" s="296">
        <v>7</v>
      </c>
      <c r="B234" s="207" t="s">
        <v>1284</v>
      </c>
      <c r="C234" s="303" t="s">
        <v>1292</v>
      </c>
      <c r="D234" s="207" t="s">
        <v>235</v>
      </c>
      <c r="E234" s="298">
        <v>1</v>
      </c>
      <c r="F234" s="207" t="s">
        <v>236</v>
      </c>
      <c r="G234" s="208"/>
      <c r="H234" s="208"/>
      <c r="I234" s="299"/>
      <c r="J234" s="218"/>
      <c r="K234" s="208">
        <v>5</v>
      </c>
      <c r="L234" s="208"/>
      <c r="M234" s="208"/>
      <c r="N234" s="295"/>
      <c r="O234" s="209"/>
      <c r="P234" s="25"/>
      <c r="Q234" s="347"/>
      <c r="R234" s="302"/>
      <c r="S234" s="27"/>
      <c r="T234" s="301"/>
      <c r="U234" s="27"/>
      <c r="V234" s="118"/>
    </row>
    <row r="235" spans="1:22" s="119" customFormat="1" ht="24.9" hidden="1" customHeight="1">
      <c r="A235" s="296">
        <v>8</v>
      </c>
      <c r="B235" s="207" t="s">
        <v>1284</v>
      </c>
      <c r="C235" s="303" t="s">
        <v>1293</v>
      </c>
      <c r="D235" s="207" t="s">
        <v>235</v>
      </c>
      <c r="E235" s="298">
        <v>500</v>
      </c>
      <c r="F235" s="207" t="s">
        <v>236</v>
      </c>
      <c r="G235" s="208"/>
      <c r="H235" s="208"/>
      <c r="I235" s="299"/>
      <c r="J235" s="218"/>
      <c r="K235" s="208">
        <v>10</v>
      </c>
      <c r="L235" s="208"/>
      <c r="M235" s="208"/>
      <c r="N235" s="295"/>
      <c r="O235" s="209"/>
      <c r="P235" s="25"/>
      <c r="Q235" s="347"/>
      <c r="R235" s="302"/>
      <c r="S235" s="27"/>
      <c r="T235" s="301"/>
      <c r="U235" s="27"/>
      <c r="V235" s="118"/>
    </row>
    <row r="236" spans="1:22" s="119" customFormat="1" ht="24.9" hidden="1" customHeight="1">
      <c r="A236" s="296">
        <v>9</v>
      </c>
      <c r="B236" s="207" t="s">
        <v>1284</v>
      </c>
      <c r="C236" s="303" t="s">
        <v>1294</v>
      </c>
      <c r="D236" s="207" t="s">
        <v>235</v>
      </c>
      <c r="E236" s="298">
        <v>100</v>
      </c>
      <c r="F236" s="207" t="s">
        <v>236</v>
      </c>
      <c r="G236" s="208"/>
      <c r="H236" s="208"/>
      <c r="I236" s="299"/>
      <c r="J236" s="218"/>
      <c r="K236" s="208">
        <v>10</v>
      </c>
      <c r="L236" s="208"/>
      <c r="M236" s="208"/>
      <c r="N236" s="295"/>
      <c r="O236" s="209"/>
      <c r="P236" s="25"/>
      <c r="Q236" s="347"/>
      <c r="R236" s="302"/>
      <c r="S236" s="27"/>
      <c r="T236" s="301"/>
      <c r="U236" s="27"/>
      <c r="V236" s="118"/>
    </row>
    <row r="237" spans="1:22" s="119" customFormat="1" ht="24.9" hidden="1" customHeight="1">
      <c r="A237" s="296">
        <v>10</v>
      </c>
      <c r="B237" s="207" t="s">
        <v>1284</v>
      </c>
      <c r="C237" s="303" t="s">
        <v>1295</v>
      </c>
      <c r="D237" s="207" t="s">
        <v>235</v>
      </c>
      <c r="E237" s="298">
        <v>1</v>
      </c>
      <c r="F237" s="207" t="s">
        <v>236</v>
      </c>
      <c r="G237" s="208"/>
      <c r="H237" s="208"/>
      <c r="I237" s="299"/>
      <c r="J237" s="218"/>
      <c r="K237" s="208">
        <v>10</v>
      </c>
      <c r="L237" s="208"/>
      <c r="M237" s="208"/>
      <c r="N237" s="295"/>
      <c r="O237" s="209"/>
      <c r="P237" s="25"/>
      <c r="Q237" s="347"/>
      <c r="R237" s="302"/>
      <c r="S237" s="27"/>
      <c r="T237" s="301"/>
      <c r="U237" s="27"/>
      <c r="V237" s="118"/>
    </row>
    <row r="238" spans="1:22" s="119" customFormat="1" ht="24.9" hidden="1" customHeight="1">
      <c r="A238" s="296">
        <v>11</v>
      </c>
      <c r="B238" s="207" t="s">
        <v>1284</v>
      </c>
      <c r="C238" s="303" t="s">
        <v>1296</v>
      </c>
      <c r="D238" s="207" t="s">
        <v>235</v>
      </c>
      <c r="E238" s="298">
        <v>1</v>
      </c>
      <c r="F238" s="207" t="s">
        <v>236</v>
      </c>
      <c r="G238" s="208"/>
      <c r="H238" s="208"/>
      <c r="I238" s="299"/>
      <c r="J238" s="218"/>
      <c r="K238" s="208">
        <v>10</v>
      </c>
      <c r="L238" s="208"/>
      <c r="M238" s="208"/>
      <c r="N238" s="295"/>
      <c r="O238" s="209"/>
      <c r="P238" s="25"/>
      <c r="Q238" s="347"/>
      <c r="R238" s="302"/>
      <c r="S238" s="27"/>
      <c r="T238" s="301"/>
      <c r="U238" s="27"/>
      <c r="V238" s="118"/>
    </row>
    <row r="239" spans="1:22" s="119" customFormat="1" ht="24.9" hidden="1" customHeight="1">
      <c r="A239" s="296">
        <v>12</v>
      </c>
      <c r="B239" s="207" t="s">
        <v>1284</v>
      </c>
      <c r="C239" s="303" t="s">
        <v>1293</v>
      </c>
      <c r="D239" s="207" t="s">
        <v>235</v>
      </c>
      <c r="E239" s="298">
        <v>2000</v>
      </c>
      <c r="F239" s="207" t="s">
        <v>236</v>
      </c>
      <c r="G239" s="208"/>
      <c r="H239" s="208"/>
      <c r="I239" s="299"/>
      <c r="J239" s="218"/>
      <c r="K239" s="208">
        <v>10</v>
      </c>
      <c r="L239" s="208"/>
      <c r="M239" s="208"/>
      <c r="N239" s="295"/>
      <c r="O239" s="209"/>
      <c r="P239" s="25"/>
      <c r="Q239" s="347"/>
      <c r="R239" s="302"/>
      <c r="S239" s="27"/>
      <c r="T239" s="301"/>
      <c r="U239" s="27"/>
      <c r="V239" s="118"/>
    </row>
    <row r="240" spans="1:22" s="119" customFormat="1" ht="24.9" hidden="1" customHeight="1">
      <c r="A240" s="296">
        <v>13</v>
      </c>
      <c r="B240" s="207" t="s">
        <v>1284</v>
      </c>
      <c r="C240" s="303" t="s">
        <v>1297</v>
      </c>
      <c r="D240" s="207" t="s">
        <v>235</v>
      </c>
      <c r="E240" s="298">
        <v>100</v>
      </c>
      <c r="F240" s="207" t="s">
        <v>236</v>
      </c>
      <c r="G240" s="208"/>
      <c r="H240" s="208"/>
      <c r="I240" s="299"/>
      <c r="J240" s="218"/>
      <c r="K240" s="208">
        <v>5</v>
      </c>
      <c r="L240" s="208"/>
      <c r="M240" s="208"/>
      <c r="N240" s="295"/>
      <c r="O240" s="209"/>
      <c r="P240" s="25"/>
      <c r="Q240" s="347"/>
      <c r="R240" s="302"/>
      <c r="S240" s="27"/>
      <c r="T240" s="301"/>
      <c r="U240" s="27"/>
      <c r="V240" s="118"/>
    </row>
    <row r="241" spans="1:22" s="119" customFormat="1" ht="24.9" hidden="1" customHeight="1">
      <c r="A241" s="296">
        <v>14</v>
      </c>
      <c r="B241" s="207" t="s">
        <v>1284</v>
      </c>
      <c r="C241" s="303" t="s">
        <v>1298</v>
      </c>
      <c r="D241" s="207" t="s">
        <v>235</v>
      </c>
      <c r="E241" s="298">
        <v>1</v>
      </c>
      <c r="F241" s="207" t="s">
        <v>236</v>
      </c>
      <c r="G241" s="208"/>
      <c r="H241" s="208"/>
      <c r="I241" s="299"/>
      <c r="J241" s="218"/>
      <c r="K241" s="208">
        <v>10</v>
      </c>
      <c r="L241" s="208"/>
      <c r="M241" s="208"/>
      <c r="N241" s="295"/>
      <c r="O241" s="209"/>
      <c r="P241" s="25"/>
      <c r="Q241" s="347"/>
      <c r="R241" s="302"/>
      <c r="S241" s="27"/>
      <c r="T241" s="301"/>
      <c r="U241" s="27"/>
      <c r="V241" s="118"/>
    </row>
    <row r="242" spans="1:22" s="119" customFormat="1" ht="24.9" hidden="1" customHeight="1">
      <c r="A242" s="296">
        <v>15</v>
      </c>
      <c r="B242" s="207" t="s">
        <v>1284</v>
      </c>
      <c r="C242" s="303" t="s">
        <v>1299</v>
      </c>
      <c r="D242" s="207" t="s">
        <v>235</v>
      </c>
      <c r="E242" s="298">
        <v>1</v>
      </c>
      <c r="F242" s="207" t="s">
        <v>236</v>
      </c>
      <c r="G242" s="208"/>
      <c r="H242" s="208"/>
      <c r="I242" s="299"/>
      <c r="J242" s="218"/>
      <c r="K242" s="208">
        <v>10</v>
      </c>
      <c r="L242" s="208"/>
      <c r="M242" s="208"/>
      <c r="N242" s="295"/>
      <c r="O242" s="209"/>
      <c r="P242" s="25"/>
      <c r="Q242" s="347"/>
      <c r="R242" s="302"/>
      <c r="S242" s="27"/>
      <c r="T242" s="301"/>
      <c r="U242" s="27"/>
      <c r="V242" s="118"/>
    </row>
    <row r="243" spans="1:22" s="119" customFormat="1" ht="24.9" hidden="1" customHeight="1">
      <c r="A243" s="296">
        <v>16</v>
      </c>
      <c r="B243" s="207" t="s">
        <v>1284</v>
      </c>
      <c r="C243" s="303" t="s">
        <v>1300</v>
      </c>
      <c r="D243" s="207" t="s">
        <v>235</v>
      </c>
      <c r="E243" s="298">
        <v>30</v>
      </c>
      <c r="F243" s="207" t="s">
        <v>236</v>
      </c>
      <c r="G243" s="208"/>
      <c r="H243" s="208"/>
      <c r="I243" s="299"/>
      <c r="J243" s="218"/>
      <c r="K243" s="208">
        <v>30</v>
      </c>
      <c r="L243" s="208"/>
      <c r="M243" s="208"/>
      <c r="N243" s="295"/>
      <c r="O243" s="209"/>
      <c r="P243" s="25"/>
      <c r="Q243" s="347"/>
      <c r="R243" s="302"/>
      <c r="S243" s="27"/>
      <c r="T243" s="301"/>
      <c r="U243" s="27"/>
      <c r="V243" s="118"/>
    </row>
    <row r="244" spans="1:22" s="307" customFormat="1" ht="24.9" hidden="1" customHeight="1">
      <c r="A244" s="234"/>
      <c r="B244" s="235"/>
      <c r="C244" s="246"/>
      <c r="D244" s="237"/>
      <c r="E244" s="238">
        <f>SUM(E228:E243)</f>
        <v>3121</v>
      </c>
      <c r="F244" s="237"/>
      <c r="G244" s="239">
        <v>228</v>
      </c>
      <c r="H244" s="239">
        <v>180</v>
      </c>
      <c r="I244" s="240">
        <v>180</v>
      </c>
      <c r="J244" s="241">
        <f>ROUND(I244*H244*G244/1000000,3)</f>
        <v>7.3869999999999996</v>
      </c>
      <c r="K244" s="242">
        <f>SUM(K228:K243)</f>
        <v>913</v>
      </c>
      <c r="L244" s="239">
        <f>K244+140</f>
        <v>1053</v>
      </c>
      <c r="M244" s="239"/>
      <c r="N244" s="243"/>
      <c r="O244" s="244"/>
      <c r="P244" s="245"/>
      <c r="Q244" s="348"/>
      <c r="R244" s="26"/>
      <c r="S244" s="304"/>
      <c r="T244" s="305"/>
      <c r="U244" s="304"/>
      <c r="V244" s="306"/>
    </row>
    <row r="245" spans="1:22" s="119" customFormat="1" ht="24.9" hidden="1" customHeight="1">
      <c r="A245" s="296">
        <v>1</v>
      </c>
      <c r="B245" s="207" t="s">
        <v>1301</v>
      </c>
      <c r="C245" s="303" t="s">
        <v>1302</v>
      </c>
      <c r="D245" s="207" t="s">
        <v>235</v>
      </c>
      <c r="E245" s="298">
        <v>33</v>
      </c>
      <c r="F245" s="207" t="s">
        <v>236</v>
      </c>
      <c r="G245" s="208"/>
      <c r="H245" s="208"/>
      <c r="I245" s="299"/>
      <c r="J245" s="218"/>
      <c r="K245" s="208">
        <f>10*33</f>
        <v>330</v>
      </c>
      <c r="L245" s="208"/>
      <c r="M245" s="208"/>
      <c r="N245" s="295"/>
      <c r="O245" s="209"/>
      <c r="P245" s="25"/>
      <c r="Q245" s="347"/>
      <c r="R245" s="302"/>
      <c r="S245" s="27"/>
      <c r="T245" s="301"/>
      <c r="U245" s="27"/>
      <c r="V245" s="118"/>
    </row>
    <row r="246" spans="1:22" s="119" customFormat="1" ht="24.9" hidden="1" customHeight="1">
      <c r="A246" s="296">
        <v>2</v>
      </c>
      <c r="B246" s="207" t="s">
        <v>1301</v>
      </c>
      <c r="C246" s="303" t="s">
        <v>1303</v>
      </c>
      <c r="D246" s="207" t="s">
        <v>235</v>
      </c>
      <c r="E246" s="298">
        <v>1</v>
      </c>
      <c r="F246" s="207" t="s">
        <v>236</v>
      </c>
      <c r="G246" s="208"/>
      <c r="H246" s="208"/>
      <c r="I246" s="299"/>
      <c r="J246" s="218"/>
      <c r="K246" s="208">
        <v>5</v>
      </c>
      <c r="L246" s="208"/>
      <c r="M246" s="208"/>
      <c r="N246" s="295"/>
      <c r="O246" s="209"/>
      <c r="P246" s="25"/>
      <c r="Q246" s="347"/>
      <c r="R246" s="302"/>
      <c r="S246" s="426" t="s">
        <v>1287</v>
      </c>
      <c r="T246" s="301"/>
      <c r="U246" s="27"/>
      <c r="V246" s="118"/>
    </row>
    <row r="247" spans="1:22" s="119" customFormat="1" ht="24.9" hidden="1" customHeight="1">
      <c r="A247" s="296">
        <v>3</v>
      </c>
      <c r="B247" s="207" t="s">
        <v>1301</v>
      </c>
      <c r="C247" s="303" t="s">
        <v>1304</v>
      </c>
      <c r="D247" s="207" t="s">
        <v>235</v>
      </c>
      <c r="E247" s="298">
        <v>1</v>
      </c>
      <c r="F247" s="207" t="s">
        <v>236</v>
      </c>
      <c r="G247" s="208"/>
      <c r="H247" s="208"/>
      <c r="I247" s="299"/>
      <c r="J247" s="218"/>
      <c r="K247" s="208">
        <v>5</v>
      </c>
      <c r="L247" s="208"/>
      <c r="M247" s="208"/>
      <c r="N247" s="295"/>
      <c r="O247" s="209"/>
      <c r="P247" s="25"/>
      <c r="Q247" s="347"/>
      <c r="R247" s="302"/>
      <c r="S247" s="27"/>
      <c r="T247" s="301"/>
      <c r="U247" s="27"/>
      <c r="V247" s="118"/>
    </row>
    <row r="248" spans="1:22" s="119" customFormat="1" ht="24.9" hidden="1" customHeight="1">
      <c r="A248" s="296">
        <v>4</v>
      </c>
      <c r="B248" s="207" t="s">
        <v>1301</v>
      </c>
      <c r="C248" s="303" t="s">
        <v>1305</v>
      </c>
      <c r="D248" s="207" t="s">
        <v>235</v>
      </c>
      <c r="E248" s="298">
        <v>10</v>
      </c>
      <c r="F248" s="207" t="s">
        <v>236</v>
      </c>
      <c r="G248" s="208"/>
      <c r="H248" s="208"/>
      <c r="I248" s="299"/>
      <c r="J248" s="218"/>
      <c r="K248" s="208">
        <v>50</v>
      </c>
      <c r="L248" s="208"/>
      <c r="M248" s="208"/>
      <c r="N248" s="295"/>
      <c r="O248" s="209"/>
      <c r="P248" s="25"/>
      <c r="Q248" s="347"/>
      <c r="R248" s="302"/>
      <c r="S248" s="27"/>
      <c r="T248" s="301"/>
      <c r="U248" s="27"/>
      <c r="V248" s="118"/>
    </row>
    <row r="249" spans="1:22" s="119" customFormat="1" ht="24.9" hidden="1" customHeight="1">
      <c r="A249" s="296">
        <v>5</v>
      </c>
      <c r="B249" s="207" t="s">
        <v>1301</v>
      </c>
      <c r="C249" s="303" t="s">
        <v>1306</v>
      </c>
      <c r="D249" s="207" t="s">
        <v>235</v>
      </c>
      <c r="E249" s="298">
        <v>340</v>
      </c>
      <c r="F249" s="207" t="s">
        <v>236</v>
      </c>
      <c r="G249" s="208"/>
      <c r="H249" s="208"/>
      <c r="I249" s="299"/>
      <c r="J249" s="218"/>
      <c r="K249" s="208">
        <f>0.6*1000*1000*0.000002*340</f>
        <v>408</v>
      </c>
      <c r="L249" s="208"/>
      <c r="M249" s="208"/>
      <c r="N249" s="295"/>
      <c r="O249" s="209"/>
      <c r="P249" s="25"/>
      <c r="Q249" s="347"/>
      <c r="R249" s="302"/>
      <c r="S249" s="27"/>
      <c r="T249" s="301"/>
      <c r="U249" s="27"/>
      <c r="V249" s="118"/>
    </row>
    <row r="250" spans="1:22" s="119" customFormat="1" ht="24.9" hidden="1" customHeight="1">
      <c r="A250" s="296">
        <v>6</v>
      </c>
      <c r="B250" s="207" t="s">
        <v>1301</v>
      </c>
      <c r="C250" s="303" t="s">
        <v>1307</v>
      </c>
      <c r="D250" s="207" t="s">
        <v>235</v>
      </c>
      <c r="E250" s="298">
        <v>1</v>
      </c>
      <c r="F250" s="207" t="s">
        <v>236</v>
      </c>
      <c r="G250" s="208"/>
      <c r="H250" s="208"/>
      <c r="I250" s="299"/>
      <c r="J250" s="218"/>
      <c r="K250" s="208">
        <v>5</v>
      </c>
      <c r="L250" s="208"/>
      <c r="M250" s="208"/>
      <c r="N250" s="295"/>
      <c r="O250" s="209"/>
      <c r="P250" s="25"/>
      <c r="Q250" s="347"/>
      <c r="R250" s="302"/>
      <c r="S250" s="27"/>
      <c r="T250" s="301"/>
      <c r="U250" s="27"/>
      <c r="V250" s="118"/>
    </row>
    <row r="251" spans="1:22" s="119" customFormat="1" ht="24.9" hidden="1" customHeight="1">
      <c r="A251" s="296">
        <v>7</v>
      </c>
      <c r="B251" s="207" t="s">
        <v>1301</v>
      </c>
      <c r="C251" s="303" t="s">
        <v>1308</v>
      </c>
      <c r="D251" s="207" t="s">
        <v>235</v>
      </c>
      <c r="E251" s="298">
        <v>1</v>
      </c>
      <c r="F251" s="207" t="s">
        <v>236</v>
      </c>
      <c r="G251" s="208"/>
      <c r="H251" s="208"/>
      <c r="I251" s="299"/>
      <c r="J251" s="218"/>
      <c r="K251" s="208">
        <v>5</v>
      </c>
      <c r="L251" s="208"/>
      <c r="M251" s="208"/>
      <c r="N251" s="295"/>
      <c r="O251" s="209"/>
      <c r="P251" s="25"/>
      <c r="Q251" s="347"/>
      <c r="R251" s="302"/>
      <c r="S251" s="27"/>
      <c r="T251" s="301"/>
      <c r="U251" s="27"/>
      <c r="V251" s="118"/>
    </row>
    <row r="252" spans="1:22" s="119" customFormat="1" ht="24.9" hidden="1" customHeight="1">
      <c r="A252" s="296">
        <v>8</v>
      </c>
      <c r="B252" s="207" t="s">
        <v>1301</v>
      </c>
      <c r="C252" s="303" t="s">
        <v>1309</v>
      </c>
      <c r="D252" s="207" t="s">
        <v>235</v>
      </c>
      <c r="E252" s="298">
        <v>500</v>
      </c>
      <c r="F252" s="207" t="s">
        <v>236</v>
      </c>
      <c r="G252" s="208"/>
      <c r="H252" s="208"/>
      <c r="I252" s="299"/>
      <c r="J252" s="218"/>
      <c r="K252" s="208">
        <v>10</v>
      </c>
      <c r="L252" s="208"/>
      <c r="M252" s="208"/>
      <c r="N252" s="295"/>
      <c r="O252" s="209"/>
      <c r="P252" s="25"/>
      <c r="Q252" s="347"/>
      <c r="R252" s="302"/>
      <c r="S252" s="27"/>
      <c r="T252" s="301"/>
      <c r="U252" s="27"/>
      <c r="V252" s="118"/>
    </row>
    <row r="253" spans="1:22" s="119" customFormat="1" ht="24.9" hidden="1" customHeight="1">
      <c r="A253" s="296">
        <v>9</v>
      </c>
      <c r="B253" s="207" t="s">
        <v>1301</v>
      </c>
      <c r="C253" s="303" t="s">
        <v>1310</v>
      </c>
      <c r="D253" s="207" t="s">
        <v>235</v>
      </c>
      <c r="E253" s="298">
        <v>100</v>
      </c>
      <c r="F253" s="207" t="s">
        <v>236</v>
      </c>
      <c r="G253" s="208"/>
      <c r="H253" s="208"/>
      <c r="I253" s="299"/>
      <c r="J253" s="218"/>
      <c r="K253" s="208">
        <v>10</v>
      </c>
      <c r="L253" s="208"/>
      <c r="M253" s="208"/>
      <c r="N253" s="295"/>
      <c r="O253" s="209"/>
      <c r="P253" s="25"/>
      <c r="Q253" s="347"/>
      <c r="R253" s="302"/>
      <c r="S253" s="27"/>
      <c r="T253" s="301"/>
      <c r="U253" s="27"/>
      <c r="V253" s="118"/>
    </row>
    <row r="254" spans="1:22" s="119" customFormat="1" ht="24.9" hidden="1" customHeight="1">
      <c r="A254" s="296">
        <v>10</v>
      </c>
      <c r="B254" s="207" t="s">
        <v>1301</v>
      </c>
      <c r="C254" s="303" t="s">
        <v>1311</v>
      </c>
      <c r="D254" s="207" t="s">
        <v>235</v>
      </c>
      <c r="E254" s="298">
        <v>1</v>
      </c>
      <c r="F254" s="207" t="s">
        <v>236</v>
      </c>
      <c r="G254" s="208"/>
      <c r="H254" s="208"/>
      <c r="I254" s="299"/>
      <c r="J254" s="218"/>
      <c r="K254" s="208">
        <v>10</v>
      </c>
      <c r="L254" s="208"/>
      <c r="M254" s="208"/>
      <c r="N254" s="295"/>
      <c r="O254" s="209"/>
      <c r="P254" s="25"/>
      <c r="Q254" s="347"/>
      <c r="R254" s="302"/>
      <c r="S254" s="27"/>
      <c r="T254" s="301"/>
      <c r="U254" s="27"/>
      <c r="V254" s="118"/>
    </row>
    <row r="255" spans="1:22" s="119" customFormat="1" ht="24.9" hidden="1" customHeight="1">
      <c r="A255" s="296">
        <v>11</v>
      </c>
      <c r="B255" s="207" t="s">
        <v>1301</v>
      </c>
      <c r="C255" s="303" t="s">
        <v>1312</v>
      </c>
      <c r="D255" s="207" t="s">
        <v>235</v>
      </c>
      <c r="E255" s="298">
        <v>1</v>
      </c>
      <c r="F255" s="207" t="s">
        <v>236</v>
      </c>
      <c r="G255" s="208"/>
      <c r="H255" s="208"/>
      <c r="I255" s="299"/>
      <c r="J255" s="218"/>
      <c r="K255" s="208">
        <v>10</v>
      </c>
      <c r="L255" s="208"/>
      <c r="M255" s="208"/>
      <c r="N255" s="295"/>
      <c r="O255" s="209"/>
      <c r="P255" s="25"/>
      <c r="Q255" s="347"/>
      <c r="R255" s="302"/>
      <c r="S255" s="27"/>
      <c r="T255" s="301"/>
      <c r="U255" s="27"/>
      <c r="V255" s="118"/>
    </row>
    <row r="256" spans="1:22" s="119" customFormat="1" ht="24.9" hidden="1" customHeight="1">
      <c r="A256" s="296">
        <v>12</v>
      </c>
      <c r="B256" s="207" t="s">
        <v>1301</v>
      </c>
      <c r="C256" s="303" t="s">
        <v>1309</v>
      </c>
      <c r="D256" s="207" t="s">
        <v>235</v>
      </c>
      <c r="E256" s="298">
        <v>2000</v>
      </c>
      <c r="F256" s="207" t="s">
        <v>236</v>
      </c>
      <c r="G256" s="208"/>
      <c r="H256" s="208"/>
      <c r="I256" s="299"/>
      <c r="J256" s="218"/>
      <c r="K256" s="208">
        <v>10</v>
      </c>
      <c r="L256" s="208"/>
      <c r="M256" s="208"/>
      <c r="N256" s="295"/>
      <c r="O256" s="209"/>
      <c r="P256" s="25"/>
      <c r="Q256" s="347"/>
      <c r="R256" s="302"/>
      <c r="S256" s="27"/>
      <c r="T256" s="301"/>
      <c r="U256" s="27"/>
      <c r="V256" s="118"/>
    </row>
    <row r="257" spans="1:22" s="119" customFormat="1" ht="24.9" hidden="1" customHeight="1">
      <c r="A257" s="296">
        <v>13</v>
      </c>
      <c r="B257" s="207" t="s">
        <v>1301</v>
      </c>
      <c r="C257" s="303" t="s">
        <v>1313</v>
      </c>
      <c r="D257" s="207" t="s">
        <v>235</v>
      </c>
      <c r="E257" s="298">
        <v>100</v>
      </c>
      <c r="F257" s="207" t="s">
        <v>236</v>
      </c>
      <c r="G257" s="208"/>
      <c r="H257" s="208"/>
      <c r="I257" s="299"/>
      <c r="J257" s="218"/>
      <c r="K257" s="208">
        <v>5</v>
      </c>
      <c r="L257" s="208"/>
      <c r="M257" s="208"/>
      <c r="N257" s="295"/>
      <c r="O257" s="209"/>
      <c r="P257" s="25"/>
      <c r="Q257" s="347"/>
      <c r="R257" s="302"/>
      <c r="S257" s="27"/>
      <c r="T257" s="301"/>
      <c r="U257" s="27"/>
      <c r="V257" s="118"/>
    </row>
    <row r="258" spans="1:22" s="307" customFormat="1" ht="24.9" hidden="1" customHeight="1">
      <c r="A258" s="234"/>
      <c r="B258" s="235"/>
      <c r="C258" s="246"/>
      <c r="D258" s="237"/>
      <c r="E258" s="238">
        <f>SUM(E245:E257)</f>
        <v>3089</v>
      </c>
      <c r="F258" s="237"/>
      <c r="G258" s="239">
        <v>228</v>
      </c>
      <c r="H258" s="239">
        <v>180</v>
      </c>
      <c r="I258" s="240">
        <v>180</v>
      </c>
      <c r="J258" s="241">
        <f>ROUND(I258*H258*G258/1000000,3)</f>
        <v>7.3869999999999996</v>
      </c>
      <c r="K258" s="239">
        <f>SUM(K245:K257)</f>
        <v>863</v>
      </c>
      <c r="L258" s="239">
        <f>K258+140</f>
        <v>1003</v>
      </c>
      <c r="M258" s="239"/>
      <c r="N258" s="243"/>
      <c r="O258" s="244"/>
      <c r="P258" s="245"/>
      <c r="Q258" s="348"/>
      <c r="R258" s="26"/>
      <c r="S258" s="304"/>
      <c r="T258" s="305"/>
      <c r="U258" s="304"/>
      <c r="V258" s="306"/>
    </row>
    <row r="259" spans="1:22" s="119" customFormat="1" ht="24.9" hidden="1" customHeight="1">
      <c r="A259" s="296">
        <v>1</v>
      </c>
      <c r="B259" s="207" t="s">
        <v>1314</v>
      </c>
      <c r="C259" s="303" t="s">
        <v>1315</v>
      </c>
      <c r="D259" s="207" t="s">
        <v>235</v>
      </c>
      <c r="E259" s="298">
        <v>1</v>
      </c>
      <c r="F259" s="207" t="s">
        <v>236</v>
      </c>
      <c r="G259" s="429"/>
      <c r="H259" s="208"/>
      <c r="I259" s="299"/>
      <c r="J259" s="218"/>
      <c r="K259" s="208">
        <v>10</v>
      </c>
      <c r="L259" s="298"/>
      <c r="M259" s="208"/>
      <c r="N259" s="295"/>
      <c r="O259" s="209"/>
      <c r="P259" s="25"/>
      <c r="Q259" s="347"/>
      <c r="R259" s="302"/>
      <c r="S259" s="27"/>
      <c r="T259" s="301"/>
      <c r="U259" s="27"/>
      <c r="V259" s="118"/>
    </row>
    <row r="260" spans="1:22" s="119" customFormat="1" ht="24.9" hidden="1" customHeight="1">
      <c r="A260" s="296"/>
      <c r="B260" s="207" t="s">
        <v>1314</v>
      </c>
      <c r="C260" s="303" t="s">
        <v>1316</v>
      </c>
      <c r="D260" s="207" t="s">
        <v>235</v>
      </c>
      <c r="E260" s="298">
        <v>1</v>
      </c>
      <c r="F260" s="207" t="s">
        <v>236</v>
      </c>
      <c r="G260" s="429"/>
      <c r="H260" s="208"/>
      <c r="I260" s="299"/>
      <c r="J260" s="218"/>
      <c r="K260" s="208">
        <v>30</v>
      </c>
      <c r="L260" s="298"/>
      <c r="M260" s="208"/>
      <c r="N260" s="295"/>
      <c r="O260" s="209"/>
      <c r="P260" s="25"/>
      <c r="Q260" s="347"/>
      <c r="R260" s="302"/>
      <c r="S260" s="27"/>
      <c r="T260" s="301"/>
      <c r="U260" s="27"/>
      <c r="V260" s="118"/>
    </row>
    <row r="261" spans="1:22" s="119" customFormat="1" ht="24.9" hidden="1" customHeight="1">
      <c r="A261" s="207"/>
      <c r="B261" s="207" t="s">
        <v>1314</v>
      </c>
      <c r="C261" s="303" t="s">
        <v>1317</v>
      </c>
      <c r="D261" s="207" t="s">
        <v>235</v>
      </c>
      <c r="E261" s="380">
        <v>24</v>
      </c>
      <c r="F261" s="207" t="s">
        <v>236</v>
      </c>
      <c r="G261" s="429"/>
      <c r="H261" s="208"/>
      <c r="I261" s="299"/>
      <c r="J261" s="218"/>
      <c r="K261" s="309">
        <v>120</v>
      </c>
      <c r="L261" s="380"/>
      <c r="M261" s="208"/>
      <c r="N261" s="295"/>
      <c r="O261" s="381"/>
      <c r="P261" s="25"/>
      <c r="Q261" s="300"/>
      <c r="R261" s="26"/>
      <c r="S261" s="27"/>
      <c r="T261" s="301"/>
      <c r="U261" s="27"/>
      <c r="V261" s="118"/>
    </row>
    <row r="262" spans="1:22" s="119" customFormat="1" ht="24.9" hidden="1" customHeight="1">
      <c r="A262" s="207"/>
      <c r="B262" s="207" t="s">
        <v>1314</v>
      </c>
      <c r="C262" s="303" t="s">
        <v>1318</v>
      </c>
      <c r="D262" s="207" t="s">
        <v>235</v>
      </c>
      <c r="E262" s="380">
        <v>4</v>
      </c>
      <c r="F262" s="207" t="s">
        <v>236</v>
      </c>
      <c r="G262" s="429"/>
      <c r="H262" s="208"/>
      <c r="I262" s="299"/>
      <c r="J262" s="218"/>
      <c r="K262" s="309">
        <v>120</v>
      </c>
      <c r="L262" s="380"/>
      <c r="M262" s="208"/>
      <c r="N262" s="295"/>
      <c r="O262" s="381"/>
      <c r="P262" s="25"/>
      <c r="Q262" s="300"/>
      <c r="R262" s="26"/>
      <c r="S262" s="27"/>
      <c r="T262" s="301"/>
      <c r="U262" s="27"/>
      <c r="V262" s="118"/>
    </row>
    <row r="263" spans="1:22" s="119" customFormat="1" ht="24.9" hidden="1" customHeight="1">
      <c r="A263" s="207"/>
      <c r="B263" s="207" t="s">
        <v>1314</v>
      </c>
      <c r="C263" s="303" t="s">
        <v>1319</v>
      </c>
      <c r="D263" s="207" t="s">
        <v>235</v>
      </c>
      <c r="E263" s="380">
        <v>4</v>
      </c>
      <c r="F263" s="207" t="s">
        <v>236</v>
      </c>
      <c r="G263" s="429"/>
      <c r="H263" s="208"/>
      <c r="I263" s="299"/>
      <c r="J263" s="218"/>
      <c r="K263" s="309">
        <v>120</v>
      </c>
      <c r="L263" s="380"/>
      <c r="M263" s="208"/>
      <c r="N263" s="295"/>
      <c r="O263" s="381"/>
      <c r="P263" s="25"/>
      <c r="Q263" s="300"/>
      <c r="R263" s="26"/>
      <c r="S263" s="27"/>
      <c r="T263" s="301"/>
      <c r="U263" s="27"/>
      <c r="V263" s="118"/>
    </row>
    <row r="264" spans="1:22" s="119" customFormat="1" ht="24.9" hidden="1" customHeight="1">
      <c r="A264" s="207"/>
      <c r="B264" s="207" t="s">
        <v>1314</v>
      </c>
      <c r="C264" s="303" t="s">
        <v>1320</v>
      </c>
      <c r="D264" s="207" t="s">
        <v>235</v>
      </c>
      <c r="E264" s="380">
        <v>4</v>
      </c>
      <c r="F264" s="207" t="s">
        <v>236</v>
      </c>
      <c r="G264" s="429"/>
      <c r="H264" s="208"/>
      <c r="I264" s="299"/>
      <c r="J264" s="218"/>
      <c r="K264" s="309">
        <v>4</v>
      </c>
      <c r="L264" s="380"/>
      <c r="M264" s="208"/>
      <c r="N264" s="295"/>
      <c r="O264" s="381"/>
      <c r="P264" s="25"/>
      <c r="Q264" s="300"/>
      <c r="R264" s="26"/>
      <c r="S264" s="27"/>
      <c r="T264" s="301"/>
      <c r="U264" s="27"/>
      <c r="V264" s="118"/>
    </row>
    <row r="265" spans="1:22" s="119" customFormat="1" ht="24.9" hidden="1" customHeight="1">
      <c r="A265" s="207"/>
      <c r="B265" s="207" t="s">
        <v>1314</v>
      </c>
      <c r="C265" s="303" t="s">
        <v>1321</v>
      </c>
      <c r="D265" s="207" t="s">
        <v>235</v>
      </c>
      <c r="E265" s="380">
        <v>4</v>
      </c>
      <c r="F265" s="207" t="s">
        <v>236</v>
      </c>
      <c r="G265" s="429"/>
      <c r="H265" s="208"/>
      <c r="I265" s="299"/>
      <c r="J265" s="218"/>
      <c r="K265" s="309">
        <v>120</v>
      </c>
      <c r="L265" s="380"/>
      <c r="M265" s="208"/>
      <c r="N265" s="295"/>
      <c r="O265" s="381"/>
      <c r="P265" s="25"/>
      <c r="Q265" s="300"/>
      <c r="R265" s="26"/>
      <c r="S265" s="27"/>
      <c r="T265" s="301"/>
      <c r="U265" s="27"/>
      <c r="V265" s="118"/>
    </row>
    <row r="266" spans="1:22" s="119" customFormat="1" ht="24.9" hidden="1" customHeight="1">
      <c r="A266" s="207"/>
      <c r="B266" s="207" t="s">
        <v>1314</v>
      </c>
      <c r="C266" s="303" t="s">
        <v>1322</v>
      </c>
      <c r="D266" s="207" t="s">
        <v>235</v>
      </c>
      <c r="E266" s="380">
        <v>2</v>
      </c>
      <c r="F266" s="207" t="s">
        <v>236</v>
      </c>
      <c r="G266" s="429"/>
      <c r="H266" s="208"/>
      <c r="I266" s="299"/>
      <c r="J266" s="218"/>
      <c r="K266" s="309">
        <v>10</v>
      </c>
      <c r="L266" s="380"/>
      <c r="M266" s="208"/>
      <c r="N266" s="295"/>
      <c r="O266" s="381"/>
      <c r="P266" s="25"/>
      <c r="Q266" s="300"/>
      <c r="R266" s="26"/>
      <c r="S266" s="27"/>
      <c r="T266" s="301"/>
      <c r="U266" s="27"/>
      <c r="V266" s="118"/>
    </row>
    <row r="267" spans="1:22" s="119" customFormat="1" ht="24.9" hidden="1" customHeight="1">
      <c r="A267" s="207"/>
      <c r="B267" s="207" t="s">
        <v>1314</v>
      </c>
      <c r="C267" s="303" t="s">
        <v>1323</v>
      </c>
      <c r="D267" s="207" t="s">
        <v>235</v>
      </c>
      <c r="E267" s="380">
        <v>6</v>
      </c>
      <c r="F267" s="207" t="s">
        <v>236</v>
      </c>
      <c r="G267" s="429"/>
      <c r="H267" s="208"/>
      <c r="I267" s="299"/>
      <c r="J267" s="218"/>
      <c r="K267" s="309">
        <v>6</v>
      </c>
      <c r="L267" s="380"/>
      <c r="M267" s="208"/>
      <c r="N267" s="295"/>
      <c r="O267" s="381"/>
      <c r="P267" s="25"/>
      <c r="Q267" s="300"/>
      <c r="R267" s="26"/>
      <c r="S267" s="27"/>
      <c r="T267" s="301"/>
      <c r="U267" s="27"/>
      <c r="V267" s="118"/>
    </row>
    <row r="268" spans="1:22" s="119" customFormat="1" ht="24.9" hidden="1" customHeight="1">
      <c r="A268" s="207"/>
      <c r="B268" s="207" t="s">
        <v>1314</v>
      </c>
      <c r="C268" s="303" t="s">
        <v>1324</v>
      </c>
      <c r="D268" s="207" t="s">
        <v>235</v>
      </c>
      <c r="E268" s="380">
        <v>6</v>
      </c>
      <c r="F268" s="207" t="s">
        <v>236</v>
      </c>
      <c r="G268" s="429"/>
      <c r="H268" s="208"/>
      <c r="I268" s="299"/>
      <c r="J268" s="218"/>
      <c r="K268" s="309">
        <v>6</v>
      </c>
      <c r="L268" s="380"/>
      <c r="M268" s="208"/>
      <c r="N268" s="295"/>
      <c r="O268" s="381"/>
      <c r="P268" s="25"/>
      <c r="Q268" s="300"/>
      <c r="R268" s="26"/>
      <c r="S268" s="27"/>
      <c r="T268" s="301"/>
      <c r="U268" s="27"/>
      <c r="V268" s="118"/>
    </row>
    <row r="269" spans="1:22" s="119" customFormat="1" ht="24.9" hidden="1" customHeight="1">
      <c r="A269" s="207"/>
      <c r="B269" s="207" t="s">
        <v>1314</v>
      </c>
      <c r="C269" s="303" t="s">
        <v>1325</v>
      </c>
      <c r="D269" s="207" t="s">
        <v>235</v>
      </c>
      <c r="E269" s="381">
        <v>2</v>
      </c>
      <c r="F269" s="207" t="s">
        <v>236</v>
      </c>
      <c r="G269" s="381"/>
      <c r="H269" s="208"/>
      <c r="I269" s="299"/>
      <c r="J269" s="218"/>
      <c r="K269" s="309">
        <v>2</v>
      </c>
      <c r="L269" s="381"/>
      <c r="M269" s="208"/>
      <c r="N269" s="295"/>
      <c r="O269" s="381"/>
      <c r="P269" s="25"/>
      <c r="Q269" s="300"/>
      <c r="R269" s="26"/>
      <c r="S269" s="27"/>
      <c r="T269" s="301"/>
      <c r="U269" s="27"/>
      <c r="V269" s="118"/>
    </row>
    <row r="270" spans="1:22" s="119" customFormat="1" ht="24.9" hidden="1" customHeight="1">
      <c r="A270" s="207"/>
      <c r="B270" s="207" t="s">
        <v>1314</v>
      </c>
      <c r="C270" s="303" t="s">
        <v>1326</v>
      </c>
      <c r="D270" s="207" t="s">
        <v>235</v>
      </c>
      <c r="E270" s="380">
        <v>24</v>
      </c>
      <c r="F270" s="207" t="s">
        <v>236</v>
      </c>
      <c r="G270" s="429"/>
      <c r="H270" s="208"/>
      <c r="I270" s="299"/>
      <c r="J270" s="218"/>
      <c r="K270" s="309">
        <v>24</v>
      </c>
      <c r="L270" s="380"/>
      <c r="M270" s="208"/>
      <c r="N270" s="295"/>
      <c r="O270" s="381"/>
      <c r="P270" s="25"/>
      <c r="Q270" s="300"/>
      <c r="R270" s="26"/>
      <c r="S270" s="27"/>
      <c r="T270" s="301"/>
      <c r="U270" s="27"/>
      <c r="V270" s="118"/>
    </row>
    <row r="271" spans="1:22" s="119" customFormat="1" ht="24.9" hidden="1" customHeight="1">
      <c r="A271" s="207"/>
      <c r="B271" s="207" t="s">
        <v>1314</v>
      </c>
      <c r="C271" s="303" t="s">
        <v>1327</v>
      </c>
      <c r="D271" s="207" t="s">
        <v>235</v>
      </c>
      <c r="E271" s="380">
        <v>2</v>
      </c>
      <c r="F271" s="207" t="s">
        <v>236</v>
      </c>
      <c r="G271" s="429"/>
      <c r="H271" s="208"/>
      <c r="I271" s="299"/>
      <c r="J271" s="218"/>
      <c r="K271" s="309">
        <v>150</v>
      </c>
      <c r="L271" s="380"/>
      <c r="M271" s="208"/>
      <c r="N271" s="295"/>
      <c r="O271" s="381"/>
      <c r="P271" s="25"/>
      <c r="Q271" s="300"/>
      <c r="R271" s="26"/>
      <c r="S271" s="27"/>
      <c r="T271" s="301"/>
      <c r="U271" s="27"/>
      <c r="V271" s="118"/>
    </row>
    <row r="272" spans="1:22" s="119" customFormat="1" ht="24.9" hidden="1" customHeight="1">
      <c r="A272" s="207"/>
      <c r="B272" s="207" t="s">
        <v>1314</v>
      </c>
      <c r="C272" s="303" t="s">
        <v>1328</v>
      </c>
      <c r="D272" s="207" t="s">
        <v>235</v>
      </c>
      <c r="E272" s="380">
        <v>32</v>
      </c>
      <c r="F272" s="207" t="s">
        <v>236</v>
      </c>
      <c r="G272" s="429"/>
      <c r="H272" s="208"/>
      <c r="I272" s="299"/>
      <c r="J272" s="218"/>
      <c r="K272" s="309">
        <v>32</v>
      </c>
      <c r="L272" s="380"/>
      <c r="M272" s="208"/>
      <c r="N272" s="295"/>
      <c r="O272" s="381"/>
      <c r="P272" s="25"/>
      <c r="Q272" s="300"/>
      <c r="R272" s="26"/>
      <c r="S272" s="27"/>
      <c r="T272" s="301"/>
      <c r="U272" s="27"/>
      <c r="V272" s="118"/>
    </row>
    <row r="273" spans="1:22" s="119" customFormat="1" ht="24.9" hidden="1" customHeight="1">
      <c r="A273" s="207"/>
      <c r="B273" s="207" t="s">
        <v>1314</v>
      </c>
      <c r="C273" s="303" t="s">
        <v>1329</v>
      </c>
      <c r="D273" s="207" t="s">
        <v>235</v>
      </c>
      <c r="E273" s="380">
        <v>4</v>
      </c>
      <c r="F273" s="207" t="s">
        <v>236</v>
      </c>
      <c r="G273" s="429"/>
      <c r="H273" s="208"/>
      <c r="I273" s="299"/>
      <c r="J273" s="218"/>
      <c r="K273" s="309">
        <v>80</v>
      </c>
      <c r="L273" s="380"/>
      <c r="M273" s="208"/>
      <c r="N273" s="295"/>
      <c r="O273" s="381"/>
      <c r="P273" s="25"/>
      <c r="Q273" s="300"/>
      <c r="R273" s="26"/>
      <c r="S273" s="27"/>
      <c r="T273" s="301"/>
      <c r="U273" s="27"/>
      <c r="V273" s="118"/>
    </row>
    <row r="274" spans="1:22" s="119" customFormat="1" ht="24.9" hidden="1" customHeight="1">
      <c r="A274" s="207"/>
      <c r="B274" s="207" t="s">
        <v>1314</v>
      </c>
      <c r="C274" s="433" t="s">
        <v>1330</v>
      </c>
      <c r="D274" s="207" t="s">
        <v>235</v>
      </c>
      <c r="E274" s="380">
        <v>28</v>
      </c>
      <c r="F274" s="207" t="s">
        <v>236</v>
      </c>
      <c r="G274" s="429"/>
      <c r="H274" s="208"/>
      <c r="I274" s="299"/>
      <c r="J274" s="218"/>
      <c r="K274" s="309">
        <v>200</v>
      </c>
      <c r="L274" s="380"/>
      <c r="M274" s="208"/>
      <c r="N274" s="295"/>
      <c r="O274" s="381"/>
      <c r="P274" s="25"/>
      <c r="Q274" s="300"/>
      <c r="R274" s="26"/>
      <c r="S274" s="27"/>
      <c r="T274" s="301"/>
      <c r="U274" s="27"/>
      <c r="V274" s="118"/>
    </row>
    <row r="275" spans="1:22" s="119" customFormat="1" ht="24.9" hidden="1" customHeight="1">
      <c r="A275" s="207"/>
      <c r="B275" s="207" t="s">
        <v>1314</v>
      </c>
      <c r="C275" s="303" t="s">
        <v>1331</v>
      </c>
      <c r="D275" s="207" t="s">
        <v>235</v>
      </c>
      <c r="E275" s="380">
        <v>2</v>
      </c>
      <c r="F275" s="207" t="s">
        <v>236</v>
      </c>
      <c r="G275" s="429"/>
      <c r="H275" s="208"/>
      <c r="I275" s="299"/>
      <c r="J275" s="218"/>
      <c r="K275" s="309">
        <v>4</v>
      </c>
      <c r="L275" s="380"/>
      <c r="M275" s="208"/>
      <c r="N275" s="295"/>
      <c r="O275" s="381"/>
      <c r="P275" s="25"/>
      <c r="Q275" s="300"/>
      <c r="R275" s="26"/>
      <c r="S275" s="27"/>
      <c r="T275" s="301"/>
      <c r="U275" s="27"/>
      <c r="V275" s="118"/>
    </row>
    <row r="276" spans="1:22" s="119" customFormat="1" ht="24.9" hidden="1" customHeight="1">
      <c r="A276" s="207"/>
      <c r="B276" s="207" t="s">
        <v>1314</v>
      </c>
      <c r="C276" s="303" t="s">
        <v>1332</v>
      </c>
      <c r="D276" s="207" t="s">
        <v>235</v>
      </c>
      <c r="E276" s="380">
        <v>2</v>
      </c>
      <c r="F276" s="207" t="s">
        <v>236</v>
      </c>
      <c r="G276" s="429"/>
      <c r="H276" s="208"/>
      <c r="I276" s="299"/>
      <c r="J276" s="218"/>
      <c r="K276" s="309">
        <v>4</v>
      </c>
      <c r="L276" s="380"/>
      <c r="M276" s="208"/>
      <c r="N276" s="295"/>
      <c r="O276" s="381"/>
      <c r="P276" s="25"/>
      <c r="Q276" s="300"/>
      <c r="R276" s="26"/>
      <c r="S276" s="27"/>
      <c r="T276" s="301"/>
      <c r="U276" s="27"/>
      <c r="V276" s="118"/>
    </row>
    <row r="277" spans="1:22" s="119" customFormat="1" ht="24.9" hidden="1" customHeight="1">
      <c r="A277" s="207"/>
      <c r="B277" s="207" t="s">
        <v>1314</v>
      </c>
      <c r="C277" s="433" t="s">
        <v>1333</v>
      </c>
      <c r="D277" s="207" t="s">
        <v>235</v>
      </c>
      <c r="E277" s="380">
        <v>4</v>
      </c>
      <c r="F277" s="207" t="s">
        <v>236</v>
      </c>
      <c r="G277" s="429"/>
      <c r="H277" s="208"/>
      <c r="I277" s="299"/>
      <c r="J277" s="218"/>
      <c r="K277" s="309">
        <v>30</v>
      </c>
      <c r="L277" s="380"/>
      <c r="M277" s="208"/>
      <c r="N277" s="295"/>
      <c r="O277" s="381"/>
      <c r="P277" s="25"/>
      <c r="Q277" s="300"/>
      <c r="R277" s="26"/>
      <c r="S277" s="27"/>
      <c r="T277" s="301"/>
      <c r="U277" s="27"/>
      <c r="V277" s="118"/>
    </row>
    <row r="278" spans="1:22" s="119" customFormat="1" ht="24.9" hidden="1" customHeight="1">
      <c r="A278" s="207"/>
      <c r="B278" s="207" t="s">
        <v>1314</v>
      </c>
      <c r="C278" s="303" t="s">
        <v>1334</v>
      </c>
      <c r="D278" s="207" t="s">
        <v>235</v>
      </c>
      <c r="E278" s="380">
        <v>4</v>
      </c>
      <c r="F278" s="207" t="s">
        <v>236</v>
      </c>
      <c r="G278" s="429"/>
      <c r="H278" s="208"/>
      <c r="I278" s="299"/>
      <c r="J278" s="218"/>
      <c r="K278" s="309">
        <v>80</v>
      </c>
      <c r="L278" s="380"/>
      <c r="M278" s="208"/>
      <c r="N278" s="295"/>
      <c r="O278" s="381"/>
      <c r="P278" s="25"/>
      <c r="Q278" s="300"/>
      <c r="R278" s="26"/>
      <c r="S278" s="27"/>
      <c r="T278" s="301"/>
      <c r="U278" s="27"/>
      <c r="V278" s="118"/>
    </row>
    <row r="279" spans="1:22" s="119" customFormat="1" ht="24.9" hidden="1" customHeight="1">
      <c r="A279" s="207"/>
      <c r="B279" s="207" t="s">
        <v>1314</v>
      </c>
      <c r="C279" s="303" t="s">
        <v>1335</v>
      </c>
      <c r="D279" s="207" t="s">
        <v>235</v>
      </c>
      <c r="E279" s="380">
        <v>32</v>
      </c>
      <c r="F279" s="207" t="s">
        <v>236</v>
      </c>
      <c r="G279" s="429"/>
      <c r="H279" s="208"/>
      <c r="I279" s="299"/>
      <c r="J279" s="218"/>
      <c r="K279" s="309">
        <v>32</v>
      </c>
      <c r="L279" s="208"/>
      <c r="M279" s="208"/>
      <c r="N279" s="295"/>
      <c r="O279" s="381"/>
      <c r="P279" s="25"/>
      <c r="Q279" s="300"/>
      <c r="R279" s="26"/>
      <c r="S279" s="27"/>
      <c r="T279" s="301"/>
      <c r="U279" s="27"/>
      <c r="V279" s="118"/>
    </row>
    <row r="280" spans="1:22" s="119" customFormat="1" ht="24.9" hidden="1" customHeight="1">
      <c r="A280" s="207"/>
      <c r="B280" s="207" t="s">
        <v>1314</v>
      </c>
      <c r="C280" s="303" t="s">
        <v>1336</v>
      </c>
      <c r="D280" s="207" t="s">
        <v>235</v>
      </c>
      <c r="E280" s="380">
        <v>32</v>
      </c>
      <c r="F280" s="207" t="s">
        <v>236</v>
      </c>
      <c r="G280" s="429"/>
      <c r="H280" s="208"/>
      <c r="I280" s="299"/>
      <c r="J280" s="218"/>
      <c r="K280" s="309">
        <v>32</v>
      </c>
      <c r="L280" s="208"/>
      <c r="M280" s="208"/>
      <c r="N280" s="295"/>
      <c r="O280" s="381"/>
      <c r="P280" s="25"/>
      <c r="Q280" s="300"/>
      <c r="R280" s="26"/>
      <c r="S280" s="27"/>
      <c r="T280" s="301"/>
      <c r="U280" s="27"/>
      <c r="V280" s="118"/>
    </row>
    <row r="281" spans="1:22" s="119" customFormat="1" ht="24.9" hidden="1" customHeight="1">
      <c r="A281" s="207"/>
      <c r="B281" s="207" t="s">
        <v>1314</v>
      </c>
      <c r="C281" s="303" t="s">
        <v>1337</v>
      </c>
      <c r="D281" s="207" t="s">
        <v>235</v>
      </c>
      <c r="E281" s="380">
        <v>2</v>
      </c>
      <c r="F281" s="207" t="s">
        <v>236</v>
      </c>
      <c r="G281" s="429"/>
      <c r="H281" s="208"/>
      <c r="I281" s="299"/>
      <c r="J281" s="218"/>
      <c r="K281" s="309">
        <v>20</v>
      </c>
      <c r="L281" s="208"/>
      <c r="M281" s="208"/>
      <c r="N281" s="295"/>
      <c r="O281" s="381"/>
      <c r="P281" s="25"/>
      <c r="Q281" s="300"/>
      <c r="R281" s="26"/>
      <c r="S281" s="27"/>
      <c r="T281" s="301"/>
      <c r="U281" s="27"/>
      <c r="V281" s="118"/>
    </row>
    <row r="282" spans="1:22" s="119" customFormat="1" ht="24.9" hidden="1" customHeight="1">
      <c r="A282" s="207"/>
      <c r="B282" s="207" t="s">
        <v>1314</v>
      </c>
      <c r="C282" s="303" t="s">
        <v>1338</v>
      </c>
      <c r="D282" s="207" t="s">
        <v>235</v>
      </c>
      <c r="E282" s="380">
        <v>2</v>
      </c>
      <c r="F282" s="207" t="s">
        <v>236</v>
      </c>
      <c r="G282" s="429"/>
      <c r="H282" s="208"/>
      <c r="I282" s="299"/>
      <c r="J282" s="218"/>
      <c r="K282" s="309">
        <v>20</v>
      </c>
      <c r="L282" s="208"/>
      <c r="M282" s="208"/>
      <c r="N282" s="295"/>
      <c r="O282" s="381"/>
      <c r="P282" s="25"/>
      <c r="Q282" s="300"/>
      <c r="R282" s="26"/>
      <c r="S282" s="27"/>
      <c r="T282" s="301"/>
      <c r="U282" s="27"/>
      <c r="V282" s="118"/>
    </row>
    <row r="283" spans="1:22" s="119" customFormat="1" ht="24.9" hidden="1" customHeight="1">
      <c r="A283" s="296"/>
      <c r="B283" s="207" t="s">
        <v>1314</v>
      </c>
      <c r="C283" s="303" t="s">
        <v>1339</v>
      </c>
      <c r="D283" s="207" t="s">
        <v>235</v>
      </c>
      <c r="E283" s="298">
        <v>252</v>
      </c>
      <c r="F283" s="207" t="s">
        <v>236</v>
      </c>
      <c r="G283" s="208"/>
      <c r="H283" s="208"/>
      <c r="I283" s="299"/>
      <c r="J283" s="218"/>
      <c r="K283" s="208">
        <v>30</v>
      </c>
      <c r="L283" s="208"/>
      <c r="M283" s="208"/>
      <c r="N283" s="295"/>
      <c r="O283" s="209"/>
      <c r="P283" s="25"/>
      <c r="Q283" s="347"/>
      <c r="R283" s="302"/>
      <c r="S283" s="27"/>
      <c r="T283" s="301"/>
      <c r="U283" s="27"/>
      <c r="V283" s="118"/>
    </row>
    <row r="284" spans="1:22" s="119" customFormat="1" ht="24.9" hidden="1" customHeight="1">
      <c r="A284" s="296"/>
      <c r="B284" s="207" t="s">
        <v>1314</v>
      </c>
      <c r="C284" s="303" t="s">
        <v>1339</v>
      </c>
      <c r="D284" s="207" t="s">
        <v>235</v>
      </c>
      <c r="E284" s="298">
        <v>252</v>
      </c>
      <c r="F284" s="207" t="s">
        <v>236</v>
      </c>
      <c r="G284" s="207"/>
      <c r="H284" s="207"/>
      <c r="I284" s="207"/>
      <c r="J284" s="218"/>
      <c r="K284" s="208">
        <v>30</v>
      </c>
      <c r="L284" s="208"/>
      <c r="M284" s="208"/>
      <c r="N284" s="295"/>
      <c r="O284" s="209"/>
      <c r="P284" s="25"/>
      <c r="Q284" s="347"/>
      <c r="R284" s="302"/>
      <c r="S284" s="27"/>
      <c r="T284" s="301"/>
      <c r="U284" s="27"/>
      <c r="V284" s="118"/>
    </row>
    <row r="285" spans="1:22" s="119" customFormat="1" ht="24.9" hidden="1" customHeight="1">
      <c r="A285" s="296"/>
      <c r="B285" s="207" t="s">
        <v>1314</v>
      </c>
      <c r="C285" s="434" t="s">
        <v>1340</v>
      </c>
      <c r="D285" s="207" t="s">
        <v>235</v>
      </c>
      <c r="E285" s="298">
        <v>1</v>
      </c>
      <c r="F285" s="207" t="s">
        <v>236</v>
      </c>
      <c r="G285" s="207"/>
      <c r="H285" s="207"/>
      <c r="I285" s="207"/>
      <c r="J285" s="218"/>
      <c r="K285" s="208">
        <v>140</v>
      </c>
      <c r="L285" s="208"/>
      <c r="M285" s="208"/>
      <c r="N285" s="295"/>
      <c r="O285" s="209"/>
      <c r="P285" s="25"/>
      <c r="Q285" s="347"/>
      <c r="R285" s="302"/>
      <c r="S285" s="27"/>
      <c r="T285" s="301"/>
      <c r="U285" s="27"/>
      <c r="V285" s="118"/>
    </row>
    <row r="286" spans="1:22" s="119" customFormat="1" ht="24.9" hidden="1" customHeight="1">
      <c r="A286" s="296"/>
      <c r="B286" s="207" t="s">
        <v>1314</v>
      </c>
      <c r="C286" s="434" t="s">
        <v>1341</v>
      </c>
      <c r="D286" s="207" t="s">
        <v>235</v>
      </c>
      <c r="E286" s="298">
        <v>1</v>
      </c>
      <c r="F286" s="207" t="s">
        <v>236</v>
      </c>
      <c r="G286" s="207"/>
      <c r="H286" s="207"/>
      <c r="I286" s="207"/>
      <c r="J286" s="218"/>
      <c r="K286" s="208">
        <v>140</v>
      </c>
      <c r="L286" s="208"/>
      <c r="M286" s="208"/>
      <c r="N286" s="295"/>
      <c r="O286" s="209"/>
      <c r="P286" s="25"/>
      <c r="Q286" s="347"/>
      <c r="R286" s="26"/>
      <c r="S286" s="27"/>
      <c r="T286" s="301"/>
      <c r="U286" s="27"/>
      <c r="V286" s="118"/>
    </row>
    <row r="287" spans="1:22" s="119" customFormat="1" ht="24.9" hidden="1" customHeight="1">
      <c r="A287" s="296"/>
      <c r="B287" s="207" t="s">
        <v>1314</v>
      </c>
      <c r="C287" s="303" t="s">
        <v>1342</v>
      </c>
      <c r="D287" s="207" t="s">
        <v>235</v>
      </c>
      <c r="E287" s="298">
        <v>24</v>
      </c>
      <c r="F287" s="207" t="s">
        <v>236</v>
      </c>
      <c r="G287" s="208"/>
      <c r="H287" s="208"/>
      <c r="I287" s="299"/>
      <c r="J287" s="218"/>
      <c r="K287" s="208">
        <v>150</v>
      </c>
      <c r="L287" s="208"/>
      <c r="M287" s="208"/>
      <c r="N287" s="295"/>
      <c r="O287" s="209"/>
      <c r="P287" s="25"/>
      <c r="Q287" s="430"/>
      <c r="R287" s="302"/>
      <c r="S287" s="27"/>
      <c r="T287" s="301"/>
      <c r="U287" s="27"/>
      <c r="V287" s="118"/>
    </row>
    <row r="288" spans="1:22" s="119" customFormat="1" ht="24.9" hidden="1" customHeight="1">
      <c r="A288" s="234"/>
      <c r="B288" s="235"/>
      <c r="C288" s="435"/>
      <c r="D288" s="382"/>
      <c r="E288" s="238">
        <f>SUM(E259:E287)</f>
        <v>758</v>
      </c>
      <c r="F288" s="383"/>
      <c r="G288" s="239">
        <v>300</v>
      </c>
      <c r="H288" s="239">
        <v>225</v>
      </c>
      <c r="I288" s="240">
        <v>160</v>
      </c>
      <c r="J288" s="241">
        <f>ROUND(I288*H288*G288/1000000,3)</f>
        <v>10.8</v>
      </c>
      <c r="K288" s="239">
        <f>SUM(K259:K287)</f>
        <v>1746</v>
      </c>
      <c r="L288" s="239">
        <f>K288+140</f>
        <v>1886</v>
      </c>
      <c r="M288" s="377"/>
      <c r="N288" s="378"/>
      <c r="O288" s="382"/>
      <c r="P288" s="379"/>
      <c r="Q288" s="384"/>
      <c r="R288" s="26"/>
      <c r="S288" s="27"/>
      <c r="T288" s="301"/>
      <c r="U288" s="27"/>
      <c r="V288" s="118"/>
    </row>
    <row r="289" spans="1:22" s="119" customFormat="1" ht="24.9" hidden="1" customHeight="1">
      <c r="A289" s="207">
        <v>1</v>
      </c>
      <c r="B289" s="207" t="s">
        <v>1343</v>
      </c>
      <c r="C289" s="380" t="s">
        <v>1344</v>
      </c>
      <c r="D289" s="207" t="s">
        <v>235</v>
      </c>
      <c r="E289" s="380">
        <v>2</v>
      </c>
      <c r="F289" s="207" t="s">
        <v>236</v>
      </c>
      <c r="G289" s="380"/>
      <c r="H289" s="208"/>
      <c r="I289" s="299"/>
      <c r="J289" s="218"/>
      <c r="K289" s="309">
        <v>800</v>
      </c>
      <c r="L289" s="208"/>
      <c r="M289" s="208"/>
      <c r="N289" s="295"/>
      <c r="O289" s="381"/>
      <c r="P289" s="25"/>
      <c r="Q289" s="300"/>
      <c r="R289" s="26"/>
      <c r="S289" s="27"/>
      <c r="T289" s="301"/>
      <c r="U289" s="27"/>
      <c r="V289" s="118"/>
    </row>
    <row r="290" spans="1:22" s="119" customFormat="1" ht="24.9" hidden="1" customHeight="1">
      <c r="A290" s="234"/>
      <c r="B290" s="235"/>
      <c r="C290" s="435"/>
      <c r="D290" s="382"/>
      <c r="E290" s="238">
        <f>SUM(E289)</f>
        <v>2</v>
      </c>
      <c r="F290" s="383"/>
      <c r="G290" s="239">
        <v>228</v>
      </c>
      <c r="H290" s="239">
        <v>210</v>
      </c>
      <c r="I290" s="240">
        <v>185</v>
      </c>
      <c r="J290" s="241">
        <f>ROUND(I290*H290*G290/1000000,3)</f>
        <v>8.8580000000000005</v>
      </c>
      <c r="K290" s="239">
        <f>SUM(K289)</f>
        <v>800</v>
      </c>
      <c r="L290" s="239">
        <f>K290+140</f>
        <v>940</v>
      </c>
      <c r="M290" s="377"/>
      <c r="N290" s="378"/>
      <c r="O290" s="382"/>
      <c r="P290" s="379"/>
      <c r="Q290" s="384"/>
      <c r="R290" s="26"/>
      <c r="S290" s="27"/>
      <c r="T290" s="301"/>
      <c r="U290" s="27"/>
      <c r="V290" s="118"/>
    </row>
    <row r="291" spans="1:22" s="119" customFormat="1" ht="24.9" hidden="1" customHeight="1">
      <c r="A291" s="207">
        <v>1</v>
      </c>
      <c r="B291" s="207" t="s">
        <v>1345</v>
      </c>
      <c r="C291" s="381" t="s">
        <v>1346</v>
      </c>
      <c r="D291" s="207" t="s">
        <v>235</v>
      </c>
      <c r="E291" s="381">
        <v>532</v>
      </c>
      <c r="F291" s="207" t="s">
        <v>236</v>
      </c>
      <c r="G291" s="381"/>
      <c r="H291" s="208"/>
      <c r="I291" s="299"/>
      <c r="J291" s="218"/>
      <c r="K291" s="309">
        <v>2660</v>
      </c>
      <c r="L291" s="208"/>
      <c r="M291" s="208"/>
      <c r="N291" s="295"/>
      <c r="O291" s="381"/>
      <c r="P291" s="25"/>
      <c r="Q291" s="300"/>
      <c r="R291" s="26"/>
      <c r="S291" s="27"/>
      <c r="T291" s="301"/>
      <c r="U291" s="27"/>
      <c r="V291" s="118"/>
    </row>
    <row r="292" spans="1:22" s="119" customFormat="1" ht="24.9" hidden="1" customHeight="1">
      <c r="A292" s="207"/>
      <c r="B292" s="207" t="s">
        <v>1345</v>
      </c>
      <c r="C292" s="381" t="s">
        <v>1347</v>
      </c>
      <c r="D292" s="207" t="s">
        <v>235</v>
      </c>
      <c r="E292" s="381">
        <v>14</v>
      </c>
      <c r="F292" s="207" t="s">
        <v>236</v>
      </c>
      <c r="G292" s="381"/>
      <c r="H292" s="208"/>
      <c r="I292" s="299"/>
      <c r="J292" s="218"/>
      <c r="K292" s="309">
        <v>294</v>
      </c>
      <c r="L292" s="208"/>
      <c r="M292" s="208"/>
      <c r="N292" s="295"/>
      <c r="O292" s="381"/>
      <c r="P292" s="25"/>
      <c r="Q292" s="300"/>
      <c r="R292" s="26"/>
      <c r="S292" s="27"/>
      <c r="T292" s="301"/>
      <c r="U292" s="27"/>
      <c r="V292" s="118"/>
    </row>
    <row r="293" spans="1:22" s="119" customFormat="1" ht="24.9" hidden="1" customHeight="1">
      <c r="A293" s="207"/>
      <c r="B293" s="207" t="s">
        <v>1345</v>
      </c>
      <c r="C293" s="381" t="s">
        <v>1348</v>
      </c>
      <c r="D293" s="207" t="s">
        <v>235</v>
      </c>
      <c r="E293" s="381">
        <v>21</v>
      </c>
      <c r="F293" s="207" t="s">
        <v>236</v>
      </c>
      <c r="G293" s="381"/>
      <c r="H293" s="208"/>
      <c r="I293" s="299"/>
      <c r="J293" s="218"/>
      <c r="K293" s="309">
        <f>20*E293</f>
        <v>420</v>
      </c>
      <c r="L293" s="208"/>
      <c r="M293" s="208"/>
      <c r="N293" s="295"/>
      <c r="O293" s="381"/>
      <c r="P293" s="25"/>
      <c r="Q293" s="300"/>
      <c r="R293" s="26"/>
      <c r="S293" s="27"/>
      <c r="T293" s="301"/>
      <c r="U293" s="27"/>
      <c r="V293" s="118"/>
    </row>
    <row r="294" spans="1:22" s="119" customFormat="1" ht="24.9" hidden="1" customHeight="1">
      <c r="A294" s="207"/>
      <c r="B294" s="207" t="s">
        <v>1345</v>
      </c>
      <c r="C294" s="381" t="s">
        <v>1349</v>
      </c>
      <c r="D294" s="207" t="s">
        <v>235</v>
      </c>
      <c r="E294" s="381">
        <v>18</v>
      </c>
      <c r="F294" s="207" t="s">
        <v>236</v>
      </c>
      <c r="G294" s="381"/>
      <c r="H294" s="208"/>
      <c r="I294" s="299"/>
      <c r="J294" s="218"/>
      <c r="K294" s="309">
        <f>30*E294</f>
        <v>540</v>
      </c>
      <c r="L294" s="208"/>
      <c r="M294" s="208"/>
      <c r="N294" s="295"/>
      <c r="O294" s="381"/>
      <c r="P294" s="25"/>
      <c r="Q294" s="300"/>
      <c r="R294" s="26"/>
      <c r="S294" s="27"/>
      <c r="T294" s="301"/>
      <c r="U294" s="27"/>
      <c r="V294" s="118"/>
    </row>
    <row r="295" spans="1:22" s="119" customFormat="1" ht="24.9" hidden="1" customHeight="1">
      <c r="A295" s="207"/>
      <c r="B295" s="207" t="s">
        <v>1345</v>
      </c>
      <c r="C295" s="381" t="s">
        <v>1350</v>
      </c>
      <c r="D295" s="207" t="s">
        <v>235</v>
      </c>
      <c r="E295" s="381">
        <v>50</v>
      </c>
      <c r="F295" s="207" t="s">
        <v>236</v>
      </c>
      <c r="G295" s="381"/>
      <c r="H295" s="208"/>
      <c r="I295" s="299"/>
      <c r="J295" s="218"/>
      <c r="K295" s="309">
        <f>30*E295</f>
        <v>1500</v>
      </c>
      <c r="L295" s="208"/>
      <c r="M295" s="208"/>
      <c r="N295" s="295"/>
      <c r="O295" s="381"/>
      <c r="P295" s="25"/>
      <c r="Q295" s="300"/>
      <c r="R295" s="26"/>
      <c r="S295" s="27"/>
      <c r="T295" s="301"/>
      <c r="U295" s="27"/>
      <c r="V295" s="118"/>
    </row>
    <row r="296" spans="1:22" s="119" customFormat="1" ht="24.9" hidden="1" customHeight="1">
      <c r="A296" s="234"/>
      <c r="B296" s="235"/>
      <c r="C296" s="435"/>
      <c r="D296" s="382"/>
      <c r="E296" s="238">
        <f>SUM(E291:E295)</f>
        <v>635</v>
      </c>
      <c r="F296" s="383"/>
      <c r="G296" s="239">
        <v>330</v>
      </c>
      <c r="H296" s="239">
        <v>160</v>
      </c>
      <c r="I296" s="240">
        <v>190</v>
      </c>
      <c r="J296" s="241">
        <f>ROUND(I296*H296*G296/1000000,3)</f>
        <v>10.032</v>
      </c>
      <c r="K296" s="239">
        <f>SUM(K291:K295)</f>
        <v>5414</v>
      </c>
      <c r="L296" s="239">
        <f>K296+140</f>
        <v>5554</v>
      </c>
      <c r="M296" s="377"/>
      <c r="N296" s="378"/>
      <c r="O296" s="382"/>
      <c r="P296" s="379"/>
      <c r="Q296" s="384"/>
      <c r="R296" s="26"/>
      <c r="S296" s="27"/>
      <c r="T296" s="301"/>
      <c r="U296" s="27"/>
      <c r="V296" s="118"/>
    </row>
    <row r="297" spans="1:22" s="119" customFormat="1" ht="24.9" hidden="1" customHeight="1">
      <c r="A297" s="207">
        <v>1</v>
      </c>
      <c r="B297" s="207" t="s">
        <v>1351</v>
      </c>
      <c r="C297" s="381" t="s">
        <v>1352</v>
      </c>
      <c r="D297" s="207" t="s">
        <v>235</v>
      </c>
      <c r="E297" s="381">
        <v>16</v>
      </c>
      <c r="F297" s="207" t="s">
        <v>236</v>
      </c>
      <c r="G297" s="381"/>
      <c r="H297" s="208"/>
      <c r="I297" s="299"/>
      <c r="J297" s="218"/>
      <c r="K297" s="309">
        <v>48</v>
      </c>
      <c r="L297" s="208"/>
      <c r="M297" s="208"/>
      <c r="N297" s="295"/>
      <c r="O297" s="381"/>
      <c r="P297" s="25"/>
      <c r="Q297" s="300"/>
      <c r="R297" s="26"/>
      <c r="S297" s="27"/>
      <c r="T297" s="301"/>
      <c r="U297" s="27"/>
      <c r="V297" s="118"/>
    </row>
    <row r="298" spans="1:22" s="119" customFormat="1" ht="24.9" hidden="1" customHeight="1">
      <c r="A298" s="207"/>
      <c r="B298" s="207" t="s">
        <v>1351</v>
      </c>
      <c r="C298" s="381" t="s">
        <v>1353</v>
      </c>
      <c r="D298" s="207" t="s">
        <v>235</v>
      </c>
      <c r="E298" s="381">
        <v>40</v>
      </c>
      <c r="F298" s="207" t="s">
        <v>236</v>
      </c>
      <c r="G298" s="381"/>
      <c r="H298" s="208"/>
      <c r="I298" s="299"/>
      <c r="J298" s="218"/>
      <c r="K298" s="309">
        <v>200</v>
      </c>
      <c r="L298" s="208"/>
      <c r="M298" s="208"/>
      <c r="N298" s="295"/>
      <c r="O298" s="381"/>
      <c r="P298" s="25"/>
      <c r="Q298" s="300"/>
      <c r="R298" s="26"/>
      <c r="S298" s="27"/>
      <c r="T298" s="301"/>
      <c r="U298" s="27"/>
      <c r="V298" s="118"/>
    </row>
    <row r="299" spans="1:22" s="119" customFormat="1" ht="24.9" hidden="1" customHeight="1">
      <c r="A299" s="207"/>
      <c r="B299" s="207" t="s">
        <v>1351</v>
      </c>
      <c r="C299" s="381" t="s">
        <v>1354</v>
      </c>
      <c r="D299" s="207" t="s">
        <v>235</v>
      </c>
      <c r="E299" s="381">
        <v>48</v>
      </c>
      <c r="F299" s="207" t="s">
        <v>236</v>
      </c>
      <c r="G299" s="381"/>
      <c r="H299" s="208"/>
      <c r="I299" s="299"/>
      <c r="J299" s="218"/>
      <c r="K299" s="309">
        <v>336</v>
      </c>
      <c r="L299" s="208"/>
      <c r="M299" s="208"/>
      <c r="N299" s="295"/>
      <c r="O299" s="381"/>
      <c r="P299" s="25"/>
      <c r="Q299" s="300"/>
      <c r="R299" s="26"/>
      <c r="S299" s="27"/>
      <c r="T299" s="301"/>
      <c r="U299" s="27"/>
      <c r="V299" s="118"/>
    </row>
    <row r="300" spans="1:22" s="119" customFormat="1" ht="24.9" hidden="1" customHeight="1">
      <c r="A300" s="207"/>
      <c r="B300" s="207" t="s">
        <v>1351</v>
      </c>
      <c r="C300" s="381" t="s">
        <v>1350</v>
      </c>
      <c r="D300" s="207" t="s">
        <v>235</v>
      </c>
      <c r="E300" s="381">
        <v>50</v>
      </c>
      <c r="F300" s="207" t="s">
        <v>236</v>
      </c>
      <c r="G300" s="381"/>
      <c r="H300" s="208"/>
      <c r="I300" s="299"/>
      <c r="J300" s="218"/>
      <c r="K300" s="309">
        <v>1500</v>
      </c>
      <c r="L300" s="208"/>
      <c r="M300" s="208"/>
      <c r="N300" s="295"/>
      <c r="O300" s="381"/>
      <c r="P300" s="25"/>
      <c r="Q300" s="300"/>
      <c r="R300" s="26"/>
      <c r="S300" s="27"/>
      <c r="T300" s="301"/>
      <c r="U300" s="27"/>
      <c r="V300" s="118"/>
    </row>
    <row r="301" spans="1:22" s="119" customFormat="1" ht="24.9" hidden="1" customHeight="1">
      <c r="A301" s="234"/>
      <c r="B301" s="235"/>
      <c r="C301" s="435"/>
      <c r="D301" s="382"/>
      <c r="E301" s="238">
        <f>SUM(E297:E300)</f>
        <v>154</v>
      </c>
      <c r="F301" s="383"/>
      <c r="G301" s="239">
        <v>330</v>
      </c>
      <c r="H301" s="239">
        <v>160</v>
      </c>
      <c r="I301" s="240">
        <v>190</v>
      </c>
      <c r="J301" s="241">
        <f>ROUND(I301*H301*G301/1000000,3)</f>
        <v>10.032</v>
      </c>
      <c r="K301" s="239">
        <f>SUM(K297:K300)</f>
        <v>2084</v>
      </c>
      <c r="L301" s="239">
        <f>K301+140</f>
        <v>2224</v>
      </c>
      <c r="M301" s="377"/>
      <c r="N301" s="378"/>
      <c r="O301" s="382"/>
      <c r="P301" s="379"/>
      <c r="Q301" s="384"/>
      <c r="R301" s="26"/>
      <c r="S301" s="27"/>
      <c r="T301" s="301"/>
      <c r="U301" s="27"/>
      <c r="V301" s="118"/>
    </row>
    <row r="302" spans="1:22" s="119" customFormat="1" ht="24.9" hidden="1" customHeight="1">
      <c r="A302" s="207">
        <v>1</v>
      </c>
      <c r="B302" s="207" t="s">
        <v>1355</v>
      </c>
      <c r="C302" s="380" t="s">
        <v>1356</v>
      </c>
      <c r="D302" s="207" t="s">
        <v>235</v>
      </c>
      <c r="E302" s="380">
        <v>28</v>
      </c>
      <c r="F302" s="207" t="s">
        <v>236</v>
      </c>
      <c r="G302" s="363"/>
      <c r="H302" s="208"/>
      <c r="I302" s="299"/>
      <c r="J302" s="218"/>
      <c r="K302" s="309">
        <f>15*28</f>
        <v>420</v>
      </c>
      <c r="L302" s="208"/>
      <c r="M302" s="208"/>
      <c r="N302" s="295"/>
      <c r="O302" s="381"/>
      <c r="P302" s="25"/>
      <c r="Q302" s="380" t="s">
        <v>1357</v>
      </c>
      <c r="R302" s="26"/>
      <c r="S302" s="27"/>
      <c r="T302" s="301"/>
      <c r="U302" s="27"/>
      <c r="V302" s="118"/>
    </row>
    <row r="303" spans="1:22" s="119" customFormat="1" ht="24.9" hidden="1" customHeight="1">
      <c r="A303" s="207"/>
      <c r="B303" s="207" t="s">
        <v>1355</v>
      </c>
      <c r="C303" s="380" t="s">
        <v>1358</v>
      </c>
      <c r="D303" s="207" t="s">
        <v>235</v>
      </c>
      <c r="E303" s="381">
        <v>4</v>
      </c>
      <c r="F303" s="207" t="s">
        <v>236</v>
      </c>
      <c r="G303" s="363"/>
      <c r="H303" s="208"/>
      <c r="I303" s="299"/>
      <c r="J303" s="218"/>
      <c r="K303" s="309">
        <f>4*4</f>
        <v>16</v>
      </c>
      <c r="L303" s="208"/>
      <c r="M303" s="208"/>
      <c r="N303" s="295"/>
      <c r="O303" s="381"/>
      <c r="P303" s="25"/>
      <c r="Q303" s="381" t="s">
        <v>1359</v>
      </c>
      <c r="R303" s="26"/>
      <c r="S303" s="27"/>
      <c r="T303" s="301"/>
      <c r="U303" s="27"/>
      <c r="V303" s="118"/>
    </row>
    <row r="304" spans="1:22" s="119" customFormat="1" ht="24.9" hidden="1" customHeight="1">
      <c r="A304" s="207"/>
      <c r="B304" s="207" t="s">
        <v>1355</v>
      </c>
      <c r="C304" s="380" t="s">
        <v>1360</v>
      </c>
      <c r="D304" s="207" t="s">
        <v>235</v>
      </c>
      <c r="E304" s="381">
        <v>40</v>
      </c>
      <c r="F304" s="207" t="s">
        <v>236</v>
      </c>
      <c r="G304" s="363"/>
      <c r="H304" s="208"/>
      <c r="I304" s="299"/>
      <c r="J304" s="218"/>
      <c r="K304" s="309">
        <f>25*40</f>
        <v>1000</v>
      </c>
      <c r="L304" s="208"/>
      <c r="M304" s="208"/>
      <c r="N304" s="295"/>
      <c r="O304" s="381"/>
      <c r="P304" s="25"/>
      <c r="Q304" s="381" t="s">
        <v>1361</v>
      </c>
      <c r="R304" s="26"/>
      <c r="S304" s="27"/>
      <c r="T304" s="301"/>
      <c r="U304" s="27"/>
      <c r="V304" s="118"/>
    </row>
    <row r="305" spans="1:22" s="119" customFormat="1" ht="24.9" hidden="1" customHeight="1">
      <c r="A305" s="207"/>
      <c r="B305" s="207" t="s">
        <v>1355</v>
      </c>
      <c r="C305" s="381" t="s">
        <v>1362</v>
      </c>
      <c r="D305" s="207" t="s">
        <v>235</v>
      </c>
      <c r="E305" s="381">
        <v>155</v>
      </c>
      <c r="F305" s="207" t="s">
        <v>236</v>
      </c>
      <c r="G305" s="363"/>
      <c r="H305" s="208"/>
      <c r="I305" s="299"/>
      <c r="J305" s="218"/>
      <c r="K305" s="309">
        <f>2*E305</f>
        <v>310</v>
      </c>
      <c r="L305" s="208"/>
      <c r="M305" s="208"/>
      <c r="N305" s="295"/>
      <c r="O305" s="381"/>
      <c r="P305" s="25"/>
      <c r="Q305" s="381" t="s">
        <v>1363</v>
      </c>
      <c r="R305" s="26"/>
      <c r="S305" s="27"/>
      <c r="T305" s="301"/>
      <c r="U305" s="27"/>
      <c r="V305" s="118"/>
    </row>
    <row r="306" spans="1:22" s="119" customFormat="1" ht="24.9" customHeight="1">
      <c r="A306" s="207"/>
      <c r="B306" s="207" t="s">
        <v>1355</v>
      </c>
      <c r="C306" s="381" t="s">
        <v>1364</v>
      </c>
      <c r="D306" s="207" t="s">
        <v>235</v>
      </c>
      <c r="E306" s="381">
        <v>76</v>
      </c>
      <c r="F306" s="207" t="s">
        <v>236</v>
      </c>
      <c r="G306" s="363"/>
      <c r="H306" s="208"/>
      <c r="I306" s="299"/>
      <c r="J306" s="218"/>
      <c r="K306" s="309">
        <v>76</v>
      </c>
      <c r="L306" s="208"/>
      <c r="M306" s="208"/>
      <c r="N306" s="295"/>
      <c r="O306" s="381"/>
      <c r="P306" s="25"/>
      <c r="Q306" s="381" t="s">
        <v>1365</v>
      </c>
      <c r="R306" s="26"/>
      <c r="S306" s="27"/>
      <c r="T306" s="301"/>
      <c r="U306" s="27"/>
      <c r="V306" s="118"/>
    </row>
    <row r="307" spans="1:22" s="119" customFormat="1" ht="24.9" hidden="1" customHeight="1">
      <c r="A307" s="234"/>
      <c r="B307" s="235"/>
      <c r="C307" s="435"/>
      <c r="D307" s="382"/>
      <c r="E307" s="238">
        <f>SUM(E302:E306)</f>
        <v>303</v>
      </c>
      <c r="F307" s="383"/>
      <c r="G307" s="239">
        <v>330</v>
      </c>
      <c r="H307" s="239">
        <v>160</v>
      </c>
      <c r="I307" s="240">
        <v>190</v>
      </c>
      <c r="J307" s="241">
        <f>ROUND(I307*H307*G307/1000000,3)</f>
        <v>10.032</v>
      </c>
      <c r="K307" s="239">
        <f>SUM(K302:K306)</f>
        <v>1822</v>
      </c>
      <c r="L307" s="239">
        <f>K307+140</f>
        <v>1962</v>
      </c>
      <c r="M307" s="377"/>
      <c r="N307" s="378"/>
      <c r="O307" s="382"/>
      <c r="P307" s="379"/>
      <c r="Q307" s="384"/>
      <c r="R307" s="26"/>
      <c r="S307" s="27"/>
      <c r="T307" s="301"/>
      <c r="U307" s="27"/>
      <c r="V307" s="118"/>
    </row>
    <row r="308" spans="1:22" s="119" customFormat="1" ht="24.9" hidden="1" customHeight="1">
      <c r="A308" s="207">
        <v>1</v>
      </c>
      <c r="B308" s="207" t="s">
        <v>1366</v>
      </c>
      <c r="C308" s="380" t="s">
        <v>1367</v>
      </c>
      <c r="D308" s="207" t="s">
        <v>235</v>
      </c>
      <c r="E308" s="381">
        <v>38</v>
      </c>
      <c r="F308" s="207" t="s">
        <v>236</v>
      </c>
      <c r="G308" s="363"/>
      <c r="H308" s="208"/>
      <c r="I308" s="299"/>
      <c r="J308" s="218"/>
      <c r="K308" s="309">
        <f>25*E308</f>
        <v>950</v>
      </c>
      <c r="L308" s="208"/>
      <c r="M308" s="208"/>
      <c r="N308" s="295"/>
      <c r="O308" s="381"/>
      <c r="P308" s="25"/>
      <c r="Q308" s="381" t="s">
        <v>1368</v>
      </c>
      <c r="R308" s="26"/>
      <c r="S308" s="27"/>
      <c r="T308" s="301"/>
      <c r="U308" s="27"/>
      <c r="V308" s="118"/>
    </row>
    <row r="309" spans="1:22" s="119" customFormat="1" ht="24.9" hidden="1" customHeight="1">
      <c r="A309" s="207"/>
      <c r="B309" s="207" t="s">
        <v>1366</v>
      </c>
      <c r="C309" s="380" t="s">
        <v>1369</v>
      </c>
      <c r="D309" s="207" t="s">
        <v>235</v>
      </c>
      <c r="E309" s="381">
        <v>28</v>
      </c>
      <c r="F309" s="207" t="s">
        <v>236</v>
      </c>
      <c r="G309" s="363"/>
      <c r="H309" s="208"/>
      <c r="I309" s="299"/>
      <c r="J309" s="218"/>
      <c r="K309" s="309">
        <f>15*E309</f>
        <v>420</v>
      </c>
      <c r="L309" s="208"/>
      <c r="M309" s="208"/>
      <c r="N309" s="295"/>
      <c r="O309" s="381"/>
      <c r="P309" s="25"/>
      <c r="Q309" s="381" t="s">
        <v>1370</v>
      </c>
      <c r="R309" s="26"/>
      <c r="S309" s="27"/>
      <c r="T309" s="301"/>
      <c r="U309" s="27"/>
      <c r="V309" s="118"/>
    </row>
    <row r="310" spans="1:22" s="119" customFormat="1" ht="24.9" hidden="1" customHeight="1">
      <c r="A310" s="207"/>
      <c r="B310" s="207" t="s">
        <v>1366</v>
      </c>
      <c r="C310" s="381" t="s">
        <v>1362</v>
      </c>
      <c r="D310" s="207" t="s">
        <v>235</v>
      </c>
      <c r="E310" s="381">
        <f>555-155</f>
        <v>400</v>
      </c>
      <c r="F310" s="207" t="s">
        <v>236</v>
      </c>
      <c r="G310" s="363"/>
      <c r="H310" s="208"/>
      <c r="I310" s="299"/>
      <c r="J310" s="218"/>
      <c r="K310" s="309">
        <f>7*E310</f>
        <v>2800</v>
      </c>
      <c r="L310" s="208"/>
      <c r="M310" s="208"/>
      <c r="N310" s="295"/>
      <c r="O310" s="381"/>
      <c r="P310" s="25"/>
      <c r="Q310" s="381" t="s">
        <v>1371</v>
      </c>
      <c r="R310" s="26"/>
      <c r="S310" s="27"/>
      <c r="T310" s="301"/>
      <c r="U310" s="27"/>
      <c r="V310" s="118"/>
    </row>
    <row r="311" spans="1:22" s="119" customFormat="1" ht="24.9" hidden="1" customHeight="1">
      <c r="A311" s="234"/>
      <c r="B311" s="235"/>
      <c r="C311" s="435"/>
      <c r="D311" s="382"/>
      <c r="E311" s="238">
        <f>SUM(E308:E310)</f>
        <v>466</v>
      </c>
      <c r="F311" s="383"/>
      <c r="G311" s="239">
        <v>330</v>
      </c>
      <c r="H311" s="239">
        <v>160</v>
      </c>
      <c r="I311" s="240">
        <v>190</v>
      </c>
      <c r="J311" s="241">
        <f>ROUND(I311*H311*G311/1000000,3)</f>
        <v>10.032</v>
      </c>
      <c r="K311" s="239">
        <f>SUM(K308:K310)</f>
        <v>4170</v>
      </c>
      <c r="L311" s="239">
        <f>K311+140</f>
        <v>4310</v>
      </c>
      <c r="M311" s="377"/>
      <c r="N311" s="378"/>
      <c r="O311" s="382"/>
      <c r="P311" s="379"/>
      <c r="Q311" s="384"/>
      <c r="R311" s="26"/>
      <c r="S311" s="27"/>
      <c r="T311" s="301"/>
      <c r="U311" s="27"/>
      <c r="V311" s="118"/>
    </row>
    <row r="312" spans="1:22" s="119" customFormat="1" ht="24.9" hidden="1" customHeight="1">
      <c r="A312" s="207">
        <v>1</v>
      </c>
      <c r="B312" s="207" t="s">
        <v>1372</v>
      </c>
      <c r="C312" s="380" t="s">
        <v>1373</v>
      </c>
      <c r="D312" s="207" t="s">
        <v>235</v>
      </c>
      <c r="E312" s="381">
        <v>10</v>
      </c>
      <c r="F312" s="207" t="s">
        <v>236</v>
      </c>
      <c r="G312" s="363"/>
      <c r="H312" s="208"/>
      <c r="I312" s="299"/>
      <c r="J312" s="218"/>
      <c r="K312" s="309">
        <v>30</v>
      </c>
      <c r="L312" s="208"/>
      <c r="M312" s="208"/>
      <c r="N312" s="295"/>
      <c r="O312" s="381"/>
      <c r="P312" s="25"/>
      <c r="Q312" s="381" t="s">
        <v>1374</v>
      </c>
      <c r="R312" s="26"/>
      <c r="S312" s="27"/>
      <c r="T312" s="301"/>
      <c r="U312" s="27"/>
      <c r="V312" s="118"/>
    </row>
    <row r="313" spans="1:22" s="119" customFormat="1" ht="24.9" hidden="1" customHeight="1">
      <c r="B313" s="207" t="s">
        <v>1372</v>
      </c>
      <c r="C313" s="380" t="s">
        <v>1375</v>
      </c>
      <c r="D313" s="207" t="s">
        <v>235</v>
      </c>
      <c r="E313" s="381">
        <v>6</v>
      </c>
      <c r="F313" s="207" t="s">
        <v>236</v>
      </c>
      <c r="G313" s="363"/>
      <c r="H313" s="208"/>
      <c r="I313" s="299"/>
      <c r="J313" s="218"/>
      <c r="K313" s="309">
        <v>18</v>
      </c>
      <c r="L313" s="208"/>
      <c r="M313" s="208"/>
      <c r="N313" s="295"/>
      <c r="O313" s="381"/>
      <c r="P313" s="25"/>
      <c r="Q313" s="381" t="s">
        <v>1374</v>
      </c>
      <c r="R313" s="26"/>
      <c r="S313" s="27"/>
      <c r="T313" s="301"/>
      <c r="U313" s="27"/>
      <c r="V313" s="118"/>
    </row>
    <row r="314" spans="1:22" s="119" customFormat="1" ht="24.9" hidden="1" customHeight="1">
      <c r="A314" s="207"/>
      <c r="B314" s="207" t="s">
        <v>1372</v>
      </c>
      <c r="C314" s="380" t="s">
        <v>1376</v>
      </c>
      <c r="D314" s="207" t="s">
        <v>235</v>
      </c>
      <c r="E314" s="381">
        <v>6</v>
      </c>
      <c r="F314" s="207" t="s">
        <v>236</v>
      </c>
      <c r="G314" s="363"/>
      <c r="H314" s="208"/>
      <c r="I314" s="299"/>
      <c r="J314" s="218"/>
      <c r="K314" s="309">
        <v>18</v>
      </c>
      <c r="L314" s="208"/>
      <c r="M314" s="208"/>
      <c r="N314" s="295"/>
      <c r="O314" s="381"/>
      <c r="P314" s="25"/>
      <c r="Q314" s="381" t="s">
        <v>1374</v>
      </c>
      <c r="R314" s="26"/>
      <c r="S314" s="27"/>
      <c r="T314" s="301"/>
      <c r="U314" s="27"/>
      <c r="V314" s="118"/>
    </row>
    <row r="315" spans="1:22" s="119" customFormat="1" ht="24.9" hidden="1" customHeight="1">
      <c r="A315" s="207"/>
      <c r="B315" s="207" t="s">
        <v>1372</v>
      </c>
      <c r="C315" s="380" t="s">
        <v>1377</v>
      </c>
      <c r="D315" s="207" t="s">
        <v>235</v>
      </c>
      <c r="E315" s="381">
        <v>2</v>
      </c>
      <c r="F315" s="207" t="s">
        <v>236</v>
      </c>
      <c r="G315" s="363"/>
      <c r="H315" s="208"/>
      <c r="I315" s="299"/>
      <c r="J315" s="218"/>
      <c r="K315" s="309">
        <v>6</v>
      </c>
      <c r="L315" s="208"/>
      <c r="M315" s="208"/>
      <c r="N315" s="295"/>
      <c r="O315" s="381"/>
      <c r="P315" s="25"/>
      <c r="Q315" s="381" t="s">
        <v>1374</v>
      </c>
      <c r="R315" s="26"/>
      <c r="S315" s="27"/>
      <c r="T315" s="301"/>
      <c r="U315" s="27"/>
      <c r="V315" s="118"/>
    </row>
    <row r="316" spans="1:22" s="119" customFormat="1" ht="24.9" hidden="1" customHeight="1">
      <c r="A316" s="207"/>
      <c r="B316" s="207" t="s">
        <v>1372</v>
      </c>
      <c r="C316" s="380" t="s">
        <v>1378</v>
      </c>
      <c r="D316" s="207" t="s">
        <v>235</v>
      </c>
      <c r="E316" s="381">
        <v>2</v>
      </c>
      <c r="F316" s="207" t="s">
        <v>236</v>
      </c>
      <c r="G316" s="363"/>
      <c r="H316" s="208"/>
      <c r="I316" s="299"/>
      <c r="J316" s="218"/>
      <c r="K316" s="309">
        <v>6</v>
      </c>
      <c r="L316" s="208"/>
      <c r="M316" s="208"/>
      <c r="N316" s="295"/>
      <c r="O316" s="381"/>
      <c r="P316" s="25"/>
      <c r="Q316" s="381" t="s">
        <v>1374</v>
      </c>
      <c r="R316" s="26"/>
      <c r="S316" s="27"/>
      <c r="T316" s="301"/>
      <c r="U316" s="27"/>
      <c r="V316" s="118"/>
    </row>
    <row r="317" spans="1:22" s="119" customFormat="1" ht="24.9" hidden="1" customHeight="1">
      <c r="A317" s="207"/>
      <c r="B317" s="207" t="s">
        <v>1372</v>
      </c>
      <c r="C317" s="380" t="s">
        <v>1379</v>
      </c>
      <c r="D317" s="207" t="s">
        <v>235</v>
      </c>
      <c r="E317" s="381">
        <v>2</v>
      </c>
      <c r="F317" s="207" t="s">
        <v>236</v>
      </c>
      <c r="G317" s="363"/>
      <c r="H317" s="208"/>
      <c r="I317" s="299"/>
      <c r="J317" s="218"/>
      <c r="K317" s="309">
        <v>6</v>
      </c>
      <c r="L317" s="208"/>
      <c r="M317" s="208"/>
      <c r="N317" s="295"/>
      <c r="O317" s="381"/>
      <c r="P317" s="25"/>
      <c r="Q317" s="381" t="s">
        <v>1374</v>
      </c>
      <c r="R317" s="26"/>
      <c r="S317" s="27"/>
      <c r="T317" s="301"/>
      <c r="U317" s="27"/>
      <c r="V317" s="118"/>
    </row>
    <row r="318" spans="1:22" s="119" customFormat="1" ht="24.9" hidden="1" customHeight="1">
      <c r="A318" s="207"/>
      <c r="B318" s="207" t="s">
        <v>1372</v>
      </c>
      <c r="C318" s="380" t="s">
        <v>1380</v>
      </c>
      <c r="D318" s="207" t="s">
        <v>235</v>
      </c>
      <c r="E318" s="381">
        <v>2</v>
      </c>
      <c r="F318" s="207" t="s">
        <v>236</v>
      </c>
      <c r="G318" s="363"/>
      <c r="H318" s="208"/>
      <c r="I318" s="299"/>
      <c r="J318" s="218"/>
      <c r="K318" s="309">
        <v>6</v>
      </c>
      <c r="L318" s="208"/>
      <c r="M318" s="208"/>
      <c r="N318" s="295"/>
      <c r="O318" s="381"/>
      <c r="P318" s="25"/>
      <c r="Q318" s="381" t="s">
        <v>1374</v>
      </c>
      <c r="R318" s="26"/>
      <c r="S318" s="27"/>
      <c r="T318" s="301"/>
      <c r="U318" s="27"/>
      <c r="V318" s="118"/>
    </row>
    <row r="319" spans="1:22" s="119" customFormat="1" ht="24.9" hidden="1" customHeight="1">
      <c r="A319" s="207"/>
      <c r="B319" s="207" t="s">
        <v>1372</v>
      </c>
      <c r="C319" s="380" t="s">
        <v>1381</v>
      </c>
      <c r="D319" s="207" t="s">
        <v>235</v>
      </c>
      <c r="E319" s="381">
        <v>2</v>
      </c>
      <c r="F319" s="207" t="s">
        <v>236</v>
      </c>
      <c r="G319" s="363"/>
      <c r="H319" s="208"/>
      <c r="I319" s="299"/>
      <c r="J319" s="218"/>
      <c r="K319" s="309">
        <v>6</v>
      </c>
      <c r="L319" s="208"/>
      <c r="M319" s="208"/>
      <c r="N319" s="295"/>
      <c r="O319" s="381"/>
      <c r="P319" s="25"/>
      <c r="Q319" s="381" t="s">
        <v>1374</v>
      </c>
      <c r="R319" s="26"/>
      <c r="S319" s="27"/>
      <c r="T319" s="301"/>
      <c r="U319" s="27"/>
      <c r="V319" s="118"/>
    </row>
    <row r="320" spans="1:22" s="119" customFormat="1" ht="24.9" hidden="1" customHeight="1">
      <c r="A320" s="207"/>
      <c r="B320" s="207" t="s">
        <v>1372</v>
      </c>
      <c r="C320" s="380" t="s">
        <v>1382</v>
      </c>
      <c r="D320" s="207" t="s">
        <v>235</v>
      </c>
      <c r="E320" s="381">
        <v>10</v>
      </c>
      <c r="F320" s="207" t="s">
        <v>236</v>
      </c>
      <c r="G320" s="363"/>
      <c r="H320" s="208"/>
      <c r="I320" s="299"/>
      <c r="J320" s="218"/>
      <c r="K320" s="309">
        <v>30</v>
      </c>
      <c r="L320" s="208"/>
      <c r="M320" s="208"/>
      <c r="N320" s="295"/>
      <c r="O320" s="381"/>
      <c r="P320" s="25"/>
      <c r="Q320" s="381" t="s">
        <v>1374</v>
      </c>
      <c r="R320" s="26"/>
      <c r="S320" s="27"/>
      <c r="T320" s="301"/>
      <c r="U320" s="27"/>
      <c r="V320" s="118"/>
    </row>
    <row r="321" spans="1:22" s="119" customFormat="1" ht="24.9" hidden="1" customHeight="1">
      <c r="A321" s="207"/>
      <c r="B321" s="207" t="s">
        <v>1372</v>
      </c>
      <c r="C321" s="380" t="s">
        <v>1383</v>
      </c>
      <c r="D321" s="207" t="s">
        <v>235</v>
      </c>
      <c r="E321" s="381">
        <v>7</v>
      </c>
      <c r="F321" s="207" t="s">
        <v>236</v>
      </c>
      <c r="G321" s="363"/>
      <c r="H321" s="208"/>
      <c r="I321" s="299"/>
      <c r="J321" s="218"/>
      <c r="K321" s="309">
        <v>21</v>
      </c>
      <c r="L321" s="208"/>
      <c r="M321" s="208"/>
      <c r="N321" s="295"/>
      <c r="O321" s="381"/>
      <c r="P321" s="25"/>
      <c r="Q321" s="381" t="s">
        <v>1374</v>
      </c>
      <c r="R321" s="26"/>
      <c r="S321" s="27"/>
      <c r="T321" s="301"/>
      <c r="U321" s="27"/>
      <c r="V321" s="118"/>
    </row>
    <row r="322" spans="1:22" s="119" customFormat="1" ht="24.9" hidden="1" customHeight="1">
      <c r="A322" s="207"/>
      <c r="B322" s="207" t="s">
        <v>1372</v>
      </c>
      <c r="C322" s="380" t="s">
        <v>1384</v>
      </c>
      <c r="D322" s="207" t="s">
        <v>235</v>
      </c>
      <c r="E322" s="381">
        <v>5</v>
      </c>
      <c r="F322" s="207" t="s">
        <v>236</v>
      </c>
      <c r="G322" s="363"/>
      <c r="H322" s="208"/>
      <c r="I322" s="299"/>
      <c r="J322" s="218"/>
      <c r="K322" s="309">
        <v>15</v>
      </c>
      <c r="L322" s="208"/>
      <c r="M322" s="208"/>
      <c r="N322" s="295"/>
      <c r="O322" s="381"/>
      <c r="P322" s="25"/>
      <c r="Q322" s="381" t="s">
        <v>1374</v>
      </c>
      <c r="R322" s="26"/>
      <c r="S322" s="27"/>
      <c r="T322" s="301"/>
      <c r="U322" s="27"/>
      <c r="V322" s="118"/>
    </row>
    <row r="323" spans="1:22" s="119" customFormat="1" ht="24.9" hidden="1" customHeight="1">
      <c r="A323" s="207"/>
      <c r="B323" s="207" t="s">
        <v>1372</v>
      </c>
      <c r="C323" s="380" t="s">
        <v>1385</v>
      </c>
      <c r="D323" s="207" t="s">
        <v>235</v>
      </c>
      <c r="E323" s="381">
        <v>5</v>
      </c>
      <c r="F323" s="207" t="s">
        <v>236</v>
      </c>
      <c r="G323" s="363"/>
      <c r="H323" s="208"/>
      <c r="I323" s="299"/>
      <c r="J323" s="218"/>
      <c r="K323" s="309">
        <v>15</v>
      </c>
      <c r="L323" s="208"/>
      <c r="M323" s="208"/>
      <c r="N323" s="295"/>
      <c r="O323" s="381"/>
      <c r="P323" s="25"/>
      <c r="Q323" s="381" t="s">
        <v>1374</v>
      </c>
      <c r="R323" s="26"/>
      <c r="S323" s="27"/>
      <c r="T323" s="301"/>
      <c r="U323" s="27"/>
      <c r="V323" s="118"/>
    </row>
    <row r="324" spans="1:22" s="119" customFormat="1" ht="24.9" hidden="1" customHeight="1">
      <c r="A324" s="207"/>
      <c r="B324" s="207" t="s">
        <v>1372</v>
      </c>
      <c r="C324" s="380" t="s">
        <v>1386</v>
      </c>
      <c r="D324" s="207" t="s">
        <v>235</v>
      </c>
      <c r="E324" s="381">
        <v>2</v>
      </c>
      <c r="F324" s="207" t="s">
        <v>236</v>
      </c>
      <c r="G324" s="363"/>
      <c r="H324" s="208"/>
      <c r="I324" s="299"/>
      <c r="J324" s="218"/>
      <c r="K324" s="309">
        <v>6</v>
      </c>
      <c r="L324" s="208"/>
      <c r="M324" s="208"/>
      <c r="N324" s="295"/>
      <c r="O324" s="381"/>
      <c r="P324" s="25"/>
      <c r="Q324" s="381" t="s">
        <v>1374</v>
      </c>
      <c r="R324" s="26"/>
      <c r="S324" s="27"/>
      <c r="T324" s="301"/>
      <c r="U324" s="27"/>
      <c r="V324" s="118"/>
    </row>
    <row r="325" spans="1:22" s="119" customFormat="1" ht="24.9" hidden="1" customHeight="1">
      <c r="A325" s="207"/>
      <c r="B325" s="207" t="s">
        <v>1372</v>
      </c>
      <c r="C325" s="380" t="s">
        <v>1387</v>
      </c>
      <c r="D325" s="207" t="s">
        <v>235</v>
      </c>
      <c r="E325" s="381">
        <v>2</v>
      </c>
      <c r="F325" s="207" t="s">
        <v>236</v>
      </c>
      <c r="G325" s="363"/>
      <c r="H325" s="208"/>
      <c r="I325" s="299"/>
      <c r="J325" s="218"/>
      <c r="K325" s="309">
        <v>6</v>
      </c>
      <c r="L325" s="208"/>
      <c r="M325" s="208"/>
      <c r="N325" s="295"/>
      <c r="O325" s="381"/>
      <c r="P325" s="25"/>
      <c r="Q325" s="381" t="s">
        <v>1374</v>
      </c>
      <c r="R325" s="26"/>
      <c r="S325" s="27"/>
      <c r="T325" s="301"/>
      <c r="U325" s="27"/>
      <c r="V325" s="118"/>
    </row>
    <row r="326" spans="1:22" s="119" customFormat="1" ht="24.9" hidden="1" customHeight="1">
      <c r="A326" s="207"/>
      <c r="B326" s="207" t="s">
        <v>1372</v>
      </c>
      <c r="C326" s="380" t="s">
        <v>1388</v>
      </c>
      <c r="D326" s="207" t="s">
        <v>235</v>
      </c>
      <c r="E326" s="381">
        <v>232</v>
      </c>
      <c r="F326" s="207" t="s">
        <v>236</v>
      </c>
      <c r="G326" s="363"/>
      <c r="H326" s="208"/>
      <c r="I326" s="299"/>
      <c r="J326" s="218"/>
      <c r="K326" s="309">
        <v>2.3199999999999998</v>
      </c>
      <c r="L326" s="208"/>
      <c r="M326" s="208"/>
      <c r="N326" s="295"/>
      <c r="O326" s="381"/>
      <c r="P326" s="25"/>
      <c r="Q326" s="381" t="s">
        <v>1389</v>
      </c>
      <c r="R326" s="26"/>
      <c r="S326" s="27"/>
      <c r="T326" s="301"/>
      <c r="U326" s="27"/>
      <c r="V326" s="118"/>
    </row>
    <row r="327" spans="1:22" s="119" customFormat="1" ht="24.9" hidden="1" customHeight="1">
      <c r="A327" s="207"/>
      <c r="B327" s="207" t="s">
        <v>1372</v>
      </c>
      <c r="C327" s="380" t="s">
        <v>1390</v>
      </c>
      <c r="D327" s="207" t="s">
        <v>235</v>
      </c>
      <c r="E327" s="381">
        <v>172</v>
      </c>
      <c r="F327" s="207" t="s">
        <v>236</v>
      </c>
      <c r="G327" s="363"/>
      <c r="H327" s="208"/>
      <c r="I327" s="299"/>
      <c r="J327" s="218"/>
      <c r="K327" s="309">
        <v>1.72</v>
      </c>
      <c r="L327" s="208"/>
      <c r="M327" s="208"/>
      <c r="N327" s="295"/>
      <c r="O327" s="381"/>
      <c r="P327" s="25"/>
      <c r="Q327" s="381" t="s">
        <v>1389</v>
      </c>
      <c r="R327" s="26"/>
      <c r="S327" s="27"/>
      <c r="T327" s="301"/>
      <c r="U327" s="27"/>
      <c r="V327" s="118"/>
    </row>
    <row r="328" spans="1:22" s="119" customFormat="1" ht="24.9" hidden="1" customHeight="1">
      <c r="A328" s="207"/>
      <c r="B328" s="207" t="s">
        <v>1372</v>
      </c>
      <c r="C328" s="380" t="s">
        <v>1391</v>
      </c>
      <c r="D328" s="207" t="s">
        <v>235</v>
      </c>
      <c r="E328" s="381">
        <v>28</v>
      </c>
      <c r="F328" s="207" t="s">
        <v>236</v>
      </c>
      <c r="G328" s="363"/>
      <c r="H328" s="208"/>
      <c r="I328" s="299"/>
      <c r="J328" s="218"/>
      <c r="K328" s="309">
        <v>0.28000000000000003</v>
      </c>
      <c r="L328" s="208"/>
      <c r="M328" s="208"/>
      <c r="N328" s="295"/>
      <c r="O328" s="381"/>
      <c r="P328" s="25"/>
      <c r="Q328" s="381" t="s">
        <v>1389</v>
      </c>
      <c r="R328" s="26"/>
      <c r="S328" s="27"/>
      <c r="T328" s="301"/>
      <c r="U328" s="27"/>
      <c r="V328" s="118"/>
    </row>
    <row r="329" spans="1:22" s="119" customFormat="1" ht="24.9" hidden="1" customHeight="1">
      <c r="A329" s="207"/>
      <c r="B329" s="207" t="s">
        <v>1372</v>
      </c>
      <c r="C329" s="380" t="s">
        <v>1392</v>
      </c>
      <c r="D329" s="207" t="s">
        <v>235</v>
      </c>
      <c r="E329" s="381">
        <v>20</v>
      </c>
      <c r="F329" s="207" t="s">
        <v>236</v>
      </c>
      <c r="G329" s="363"/>
      <c r="H329" s="208"/>
      <c r="I329" s="299"/>
      <c r="J329" s="218"/>
      <c r="K329" s="309">
        <v>0.2</v>
      </c>
      <c r="L329" s="208"/>
      <c r="M329" s="208"/>
      <c r="N329" s="295"/>
      <c r="O329" s="381"/>
      <c r="P329" s="25"/>
      <c r="Q329" s="381" t="s">
        <v>1393</v>
      </c>
      <c r="R329" s="26"/>
      <c r="S329" s="27"/>
      <c r="T329" s="301"/>
      <c r="U329" s="27"/>
      <c r="V329" s="118"/>
    </row>
    <row r="330" spans="1:22" s="119" customFormat="1" ht="24.9" hidden="1" customHeight="1">
      <c r="A330" s="207"/>
      <c r="B330" s="207" t="s">
        <v>1372</v>
      </c>
      <c r="C330" s="380" t="s">
        <v>1394</v>
      </c>
      <c r="D330" s="207" t="s">
        <v>235</v>
      </c>
      <c r="E330" s="381">
        <v>6</v>
      </c>
      <c r="F330" s="207" t="s">
        <v>236</v>
      </c>
      <c r="G330" s="363"/>
      <c r="H330" s="208"/>
      <c r="I330" s="299"/>
      <c r="J330" s="218"/>
      <c r="K330" s="309">
        <v>0.06</v>
      </c>
      <c r="L330" s="208"/>
      <c r="M330" s="208"/>
      <c r="N330" s="295"/>
      <c r="O330" s="381"/>
      <c r="P330" s="25"/>
      <c r="Q330" s="381" t="s">
        <v>1393</v>
      </c>
      <c r="R330" s="26"/>
      <c r="S330" s="27"/>
      <c r="T330" s="301"/>
      <c r="U330" s="27"/>
      <c r="V330" s="118"/>
    </row>
    <row r="331" spans="1:22" s="119" customFormat="1" ht="24.9" hidden="1" customHeight="1">
      <c r="A331" s="207"/>
      <c r="B331" s="207" t="s">
        <v>1372</v>
      </c>
      <c r="C331" s="380" t="s">
        <v>1395</v>
      </c>
      <c r="D331" s="207" t="s">
        <v>235</v>
      </c>
      <c r="E331" s="381">
        <v>2</v>
      </c>
      <c r="F331" s="207" t="s">
        <v>236</v>
      </c>
      <c r="G331" s="363"/>
      <c r="H331" s="208"/>
      <c r="I331" s="299"/>
      <c r="J331" s="218"/>
      <c r="K331" s="309">
        <v>0.02</v>
      </c>
      <c r="L331" s="208"/>
      <c r="M331" s="208"/>
      <c r="N331" s="295"/>
      <c r="O331" s="381"/>
      <c r="P331" s="25"/>
      <c r="Q331" s="381" t="s">
        <v>1393</v>
      </c>
      <c r="R331" s="26"/>
      <c r="S331" s="27"/>
      <c r="T331" s="301"/>
      <c r="U331" s="27"/>
      <c r="V331" s="118"/>
    </row>
    <row r="332" spans="1:22" s="119" customFormat="1" ht="24.9" customHeight="1">
      <c r="A332" s="207"/>
      <c r="B332" s="207" t="s">
        <v>1372</v>
      </c>
      <c r="C332" s="427" t="s">
        <v>1396</v>
      </c>
      <c r="D332" s="207" t="s">
        <v>235</v>
      </c>
      <c r="E332" s="381">
        <v>12</v>
      </c>
      <c r="F332" s="207" t="s">
        <v>236</v>
      </c>
      <c r="G332" s="363"/>
      <c r="H332" s="208"/>
      <c r="I332" s="299"/>
      <c r="J332" s="218"/>
      <c r="K332" s="309">
        <v>0.12</v>
      </c>
      <c r="L332" s="208"/>
      <c r="M332" s="208"/>
      <c r="N332" s="295"/>
      <c r="O332" s="381"/>
      <c r="P332" s="25"/>
      <c r="Q332" s="381" t="s">
        <v>1393</v>
      </c>
      <c r="R332" s="26"/>
      <c r="S332" s="27"/>
      <c r="T332" s="301"/>
      <c r="U332" s="27"/>
      <c r="V332" s="118"/>
    </row>
    <row r="333" spans="1:22" s="119" customFormat="1" ht="24.9" customHeight="1">
      <c r="A333" s="207"/>
      <c r="B333" s="207" t="s">
        <v>1372</v>
      </c>
      <c r="C333" s="381" t="s">
        <v>1397</v>
      </c>
      <c r="D333" s="207" t="s">
        <v>235</v>
      </c>
      <c r="E333" s="381">
        <v>214</v>
      </c>
      <c r="F333" s="207" t="s">
        <v>236</v>
      </c>
      <c r="G333" s="363"/>
      <c r="H333" s="208"/>
      <c r="I333" s="299"/>
      <c r="J333" s="218"/>
      <c r="K333" s="309">
        <v>2.14</v>
      </c>
      <c r="L333" s="208"/>
      <c r="M333" s="208"/>
      <c r="N333" s="295"/>
      <c r="O333" s="381"/>
      <c r="P333" s="25"/>
      <c r="Q333" s="381" t="s">
        <v>1393</v>
      </c>
      <c r="R333" s="26"/>
      <c r="S333" s="27"/>
      <c r="T333" s="301"/>
      <c r="U333" s="27"/>
      <c r="V333" s="118"/>
    </row>
    <row r="334" spans="1:22" s="119" customFormat="1" ht="24.9" customHeight="1">
      <c r="A334" s="207"/>
      <c r="B334" s="207" t="s">
        <v>1372</v>
      </c>
      <c r="C334" s="381" t="s">
        <v>1398</v>
      </c>
      <c r="D334" s="207" t="s">
        <v>235</v>
      </c>
      <c r="E334" s="381">
        <v>524</v>
      </c>
      <c r="F334" s="207" t="s">
        <v>236</v>
      </c>
      <c r="G334" s="363"/>
      <c r="H334" s="208"/>
      <c r="I334" s="299"/>
      <c r="J334" s="218"/>
      <c r="K334" s="309">
        <v>26.200000000000003</v>
      </c>
      <c r="L334" s="208"/>
      <c r="M334" s="208"/>
      <c r="N334" s="295"/>
      <c r="O334" s="381"/>
      <c r="P334" s="25"/>
      <c r="Q334" s="381" t="s">
        <v>1393</v>
      </c>
      <c r="R334" s="26"/>
      <c r="S334" s="27"/>
      <c r="T334" s="301"/>
      <c r="U334" s="27"/>
      <c r="V334" s="118"/>
    </row>
    <row r="335" spans="1:22" s="119" customFormat="1" ht="24.9" customHeight="1">
      <c r="A335" s="207"/>
      <c r="B335" s="207" t="s">
        <v>1372</v>
      </c>
      <c r="C335" s="381" t="s">
        <v>1399</v>
      </c>
      <c r="D335" s="207" t="s">
        <v>235</v>
      </c>
      <c r="E335" s="381">
        <v>44</v>
      </c>
      <c r="F335" s="207" t="s">
        <v>236</v>
      </c>
      <c r="G335" s="363"/>
      <c r="H335" s="208"/>
      <c r="I335" s="299"/>
      <c r="J335" s="218"/>
      <c r="K335" s="309">
        <v>2.2000000000000002</v>
      </c>
      <c r="L335" s="208"/>
      <c r="M335" s="208"/>
      <c r="N335" s="295"/>
      <c r="O335" s="381"/>
      <c r="P335" s="25"/>
      <c r="Q335" s="381" t="s">
        <v>1393</v>
      </c>
      <c r="R335" s="26"/>
      <c r="S335" s="27"/>
      <c r="T335" s="301"/>
      <c r="U335" s="27"/>
      <c r="V335" s="118"/>
    </row>
    <row r="336" spans="1:22" s="119" customFormat="1" ht="24.9" customHeight="1">
      <c r="A336" s="207"/>
      <c r="B336" s="207" t="s">
        <v>1372</v>
      </c>
      <c r="C336" s="381" t="s">
        <v>1400</v>
      </c>
      <c r="D336" s="207" t="s">
        <v>235</v>
      </c>
      <c r="E336" s="381">
        <v>568</v>
      </c>
      <c r="F336" s="207" t="s">
        <v>236</v>
      </c>
      <c r="G336" s="363"/>
      <c r="H336" s="208"/>
      <c r="I336" s="299"/>
      <c r="J336" s="218"/>
      <c r="K336" s="309">
        <v>28.400000000000002</v>
      </c>
      <c r="L336" s="208"/>
      <c r="M336" s="208"/>
      <c r="N336" s="295"/>
      <c r="O336" s="381"/>
      <c r="P336" s="25"/>
      <c r="Q336" s="381" t="s">
        <v>1393</v>
      </c>
      <c r="R336" s="26"/>
      <c r="S336" s="27"/>
      <c r="T336" s="301"/>
      <c r="U336" s="27"/>
      <c r="V336" s="118"/>
    </row>
    <row r="337" spans="1:22" s="119" customFormat="1" ht="24.9" customHeight="1">
      <c r="A337" s="207"/>
      <c r="B337" s="207" t="s">
        <v>1372</v>
      </c>
      <c r="C337" s="381" t="s">
        <v>1401</v>
      </c>
      <c r="D337" s="207" t="s">
        <v>235</v>
      </c>
      <c r="E337" s="381">
        <v>168</v>
      </c>
      <c r="F337" s="207" t="s">
        <v>236</v>
      </c>
      <c r="G337" s="363"/>
      <c r="H337" s="208"/>
      <c r="I337" s="299"/>
      <c r="J337" s="218"/>
      <c r="K337" s="309">
        <v>8.4</v>
      </c>
      <c r="L337" s="208"/>
      <c r="M337" s="208"/>
      <c r="N337" s="295"/>
      <c r="O337" s="381"/>
      <c r="P337" s="25"/>
      <c r="Q337" s="381" t="s">
        <v>1393</v>
      </c>
      <c r="R337" s="26"/>
      <c r="S337" s="27"/>
      <c r="T337" s="301"/>
      <c r="U337" s="27"/>
      <c r="V337" s="118"/>
    </row>
    <row r="338" spans="1:22" s="119" customFormat="1" ht="24.9" customHeight="1">
      <c r="A338" s="207"/>
      <c r="B338" s="207" t="s">
        <v>1372</v>
      </c>
      <c r="C338" s="381" t="s">
        <v>1402</v>
      </c>
      <c r="D338" s="207" t="s">
        <v>235</v>
      </c>
      <c r="E338" s="381">
        <v>4</v>
      </c>
      <c r="F338" s="207" t="s">
        <v>236</v>
      </c>
      <c r="G338" s="363"/>
      <c r="H338" s="208"/>
      <c r="I338" s="299"/>
      <c r="J338" s="218"/>
      <c r="K338" s="309">
        <v>0.2</v>
      </c>
      <c r="L338" s="208"/>
      <c r="M338" s="208"/>
      <c r="N338" s="295"/>
      <c r="O338" s="381"/>
      <c r="P338" s="25"/>
      <c r="Q338" s="381" t="s">
        <v>1389</v>
      </c>
      <c r="R338" s="26"/>
      <c r="S338" s="27"/>
      <c r="T338" s="301"/>
      <c r="U338" s="27"/>
      <c r="V338" s="118"/>
    </row>
    <row r="339" spans="1:22" s="119" customFormat="1" ht="24.9" customHeight="1">
      <c r="A339" s="207"/>
      <c r="B339" s="207" t="s">
        <v>1372</v>
      </c>
      <c r="C339" s="381" t="s">
        <v>1403</v>
      </c>
      <c r="D339" s="207" t="s">
        <v>235</v>
      </c>
      <c r="E339" s="381">
        <v>256</v>
      </c>
      <c r="F339" s="207" t="s">
        <v>236</v>
      </c>
      <c r="G339" s="363"/>
      <c r="H339" s="208"/>
      <c r="I339" s="299"/>
      <c r="J339" s="218"/>
      <c r="K339" s="309">
        <v>12.8</v>
      </c>
      <c r="L339" s="208"/>
      <c r="M339" s="208"/>
      <c r="N339" s="295"/>
      <c r="O339" s="381"/>
      <c r="P339" s="25"/>
      <c r="Q339" s="381" t="s">
        <v>1393</v>
      </c>
      <c r="R339" s="26"/>
      <c r="S339" s="27"/>
      <c r="T339" s="301"/>
      <c r="U339" s="27"/>
      <c r="V339" s="118"/>
    </row>
    <row r="340" spans="1:22" s="119" customFormat="1" ht="24.9" customHeight="1">
      <c r="A340" s="207"/>
      <c r="B340" s="207" t="s">
        <v>1372</v>
      </c>
      <c r="C340" s="381" t="s">
        <v>1404</v>
      </c>
      <c r="D340" s="207" t="s">
        <v>235</v>
      </c>
      <c r="E340" s="381">
        <v>214</v>
      </c>
      <c r="F340" s="207" t="s">
        <v>236</v>
      </c>
      <c r="G340" s="363"/>
      <c r="H340" s="208"/>
      <c r="I340" s="299"/>
      <c r="J340" s="218"/>
      <c r="K340" s="309">
        <v>10.700000000000001</v>
      </c>
      <c r="L340" s="208"/>
      <c r="M340" s="208"/>
      <c r="N340" s="295"/>
      <c r="O340" s="381"/>
      <c r="P340" s="25"/>
      <c r="Q340" s="381" t="s">
        <v>1393</v>
      </c>
      <c r="R340" s="26"/>
      <c r="S340" s="27"/>
      <c r="T340" s="301"/>
      <c r="U340" s="27"/>
      <c r="V340" s="118"/>
    </row>
    <row r="341" spans="1:22" s="119" customFormat="1" ht="24.9" customHeight="1">
      <c r="A341" s="207"/>
      <c r="B341" s="207" t="s">
        <v>1372</v>
      </c>
      <c r="C341" s="381" t="s">
        <v>1405</v>
      </c>
      <c r="D341" s="207" t="s">
        <v>235</v>
      </c>
      <c r="E341" s="381">
        <v>544</v>
      </c>
      <c r="F341" s="207" t="s">
        <v>236</v>
      </c>
      <c r="G341" s="363"/>
      <c r="H341" s="208"/>
      <c r="I341" s="299"/>
      <c r="J341" s="218"/>
      <c r="K341" s="309">
        <v>27.200000000000003</v>
      </c>
      <c r="L341" s="208"/>
      <c r="M341" s="208"/>
      <c r="N341" s="295"/>
      <c r="O341" s="381"/>
      <c r="P341" s="25"/>
      <c r="Q341" s="381" t="s">
        <v>1393</v>
      </c>
      <c r="R341" s="26"/>
      <c r="S341" s="27"/>
      <c r="T341" s="301"/>
      <c r="U341" s="27"/>
      <c r="V341" s="118"/>
    </row>
    <row r="342" spans="1:22" s="119" customFormat="1" ht="24.9" customHeight="1">
      <c r="A342" s="207"/>
      <c r="B342" s="207" t="s">
        <v>1372</v>
      </c>
      <c r="C342" s="381" t="s">
        <v>1406</v>
      </c>
      <c r="D342" s="207" t="s">
        <v>235</v>
      </c>
      <c r="E342" s="381">
        <v>256</v>
      </c>
      <c r="F342" s="207" t="s">
        <v>236</v>
      </c>
      <c r="G342" s="363"/>
      <c r="H342" s="208"/>
      <c r="I342" s="299"/>
      <c r="J342" s="218"/>
      <c r="K342" s="309">
        <v>12.8</v>
      </c>
      <c r="L342" s="208"/>
      <c r="M342" s="208"/>
      <c r="N342" s="295"/>
      <c r="O342" s="381"/>
      <c r="P342" s="25"/>
      <c r="Q342" s="381" t="s">
        <v>1393</v>
      </c>
      <c r="R342" s="26"/>
      <c r="S342" s="27"/>
      <c r="T342" s="301"/>
      <c r="U342" s="27"/>
      <c r="V342" s="118"/>
    </row>
    <row r="343" spans="1:22" s="119" customFormat="1" ht="24.9" customHeight="1">
      <c r="A343" s="207"/>
      <c r="B343" s="207" t="s">
        <v>1372</v>
      </c>
      <c r="C343" s="381" t="s">
        <v>1407</v>
      </c>
      <c r="D343" s="207" t="s">
        <v>235</v>
      </c>
      <c r="E343" s="381">
        <v>214</v>
      </c>
      <c r="F343" s="207" t="s">
        <v>236</v>
      </c>
      <c r="G343" s="363"/>
      <c r="H343" s="208"/>
      <c r="I343" s="299"/>
      <c r="J343" s="218"/>
      <c r="K343" s="309">
        <v>10.700000000000001</v>
      </c>
      <c r="L343" s="208"/>
      <c r="M343" s="208"/>
      <c r="N343" s="295"/>
      <c r="O343" s="381"/>
      <c r="P343" s="25"/>
      <c r="Q343" s="381" t="s">
        <v>1393</v>
      </c>
      <c r="R343" s="26"/>
      <c r="S343" s="27"/>
      <c r="T343" s="301"/>
      <c r="U343" s="27"/>
      <c r="V343" s="118"/>
    </row>
    <row r="344" spans="1:22" s="119" customFormat="1" ht="24.9" customHeight="1">
      <c r="A344" s="207"/>
      <c r="B344" s="207" t="s">
        <v>1372</v>
      </c>
      <c r="C344" s="381" t="s">
        <v>1408</v>
      </c>
      <c r="D344" s="207" t="s">
        <v>235</v>
      </c>
      <c r="E344" s="381">
        <v>544</v>
      </c>
      <c r="F344" s="207" t="s">
        <v>236</v>
      </c>
      <c r="G344" s="363"/>
      <c r="H344" s="208"/>
      <c r="I344" s="299"/>
      <c r="J344" s="218"/>
      <c r="K344" s="309">
        <v>27.200000000000003</v>
      </c>
      <c r="L344" s="208"/>
      <c r="M344" s="208"/>
      <c r="N344" s="295"/>
      <c r="O344" s="381"/>
      <c r="P344" s="25"/>
      <c r="Q344" s="381" t="s">
        <v>1393</v>
      </c>
      <c r="R344" s="26"/>
      <c r="S344" s="27"/>
      <c r="T344" s="301"/>
      <c r="U344" s="27"/>
      <c r="V344" s="118"/>
    </row>
    <row r="345" spans="1:22" s="119" customFormat="1" ht="24.9" hidden="1" customHeight="1">
      <c r="A345" s="207"/>
      <c r="B345" s="207" t="s">
        <v>1372</v>
      </c>
      <c r="C345" s="381" t="s">
        <v>1409</v>
      </c>
      <c r="D345" s="207" t="s">
        <v>235</v>
      </c>
      <c r="E345" s="381">
        <v>1284</v>
      </c>
      <c r="F345" s="207" t="s">
        <v>236</v>
      </c>
      <c r="G345" s="363"/>
      <c r="H345" s="208"/>
      <c r="I345" s="299"/>
      <c r="J345" s="218"/>
      <c r="K345" s="309">
        <v>89.88000000000001</v>
      </c>
      <c r="L345" s="208"/>
      <c r="M345" s="208"/>
      <c r="N345" s="295"/>
      <c r="O345" s="381"/>
      <c r="P345" s="25"/>
      <c r="Q345" s="381" t="s">
        <v>1393</v>
      </c>
      <c r="R345" s="26"/>
      <c r="S345" s="27"/>
      <c r="T345" s="301"/>
      <c r="U345" s="27"/>
      <c r="V345" s="118"/>
    </row>
    <row r="346" spans="1:22" s="119" customFormat="1" ht="24.9" customHeight="1">
      <c r="A346" s="207"/>
      <c r="B346" s="207" t="s">
        <v>1372</v>
      </c>
      <c r="C346" s="381" t="s">
        <v>1410</v>
      </c>
      <c r="D346" s="207" t="s">
        <v>235</v>
      </c>
      <c r="E346" s="381">
        <v>5704</v>
      </c>
      <c r="F346" s="207" t="s">
        <v>236</v>
      </c>
      <c r="G346" s="363"/>
      <c r="H346" s="208"/>
      <c r="I346" s="299"/>
      <c r="J346" s="218"/>
      <c r="K346" s="309">
        <v>57.04</v>
      </c>
      <c r="L346" s="208"/>
      <c r="M346" s="208"/>
      <c r="N346" s="295"/>
      <c r="O346" s="381"/>
      <c r="P346" s="25"/>
      <c r="Q346" s="381" t="s">
        <v>1393</v>
      </c>
      <c r="R346" s="26"/>
      <c r="S346" s="27"/>
      <c r="T346" s="301"/>
      <c r="U346" s="27"/>
      <c r="V346" s="118"/>
    </row>
    <row r="347" spans="1:22" s="119" customFormat="1" ht="24.9" customHeight="1">
      <c r="A347" s="207"/>
      <c r="B347" s="207" t="s">
        <v>1372</v>
      </c>
      <c r="C347" s="381" t="s">
        <v>1411</v>
      </c>
      <c r="D347" s="207" t="s">
        <v>235</v>
      </c>
      <c r="E347" s="381">
        <f>SUM(E312:E346)</f>
        <v>11073</v>
      </c>
      <c r="F347" s="207" t="s">
        <v>236</v>
      </c>
      <c r="G347" s="363"/>
      <c r="H347" s="208"/>
      <c r="I347" s="299"/>
      <c r="J347" s="218"/>
      <c r="K347" s="309">
        <v>55.365000000000002</v>
      </c>
      <c r="L347" s="208"/>
      <c r="M347" s="208"/>
      <c r="N347" s="295"/>
      <c r="O347" s="381"/>
      <c r="P347" s="25"/>
      <c r="Q347" s="381" t="s">
        <v>1389</v>
      </c>
      <c r="R347" s="26"/>
      <c r="S347" s="27"/>
      <c r="T347" s="301"/>
      <c r="U347" s="27"/>
      <c r="V347" s="118"/>
    </row>
    <row r="348" spans="1:22" s="119" customFormat="1" ht="24.9" hidden="1" customHeight="1">
      <c r="A348" s="234"/>
      <c r="B348" s="235"/>
      <c r="C348" s="435"/>
      <c r="D348" s="382"/>
      <c r="E348" s="238">
        <f>SUM(E14:E347)</f>
        <v>46794</v>
      </c>
      <c r="F348" s="383"/>
      <c r="G348" s="239">
        <v>260</v>
      </c>
      <c r="H348" s="239">
        <v>228</v>
      </c>
      <c r="I348" s="240">
        <v>150</v>
      </c>
      <c r="J348" s="241">
        <f>ROUND(I348*H348*G348/1000000,3)</f>
        <v>8.8919999999999995</v>
      </c>
      <c r="K348" s="239">
        <f>SUM(K312:K347)</f>
        <v>564.94499999999994</v>
      </c>
      <c r="L348" s="239">
        <f>K348+140</f>
        <v>704.94499999999994</v>
      </c>
      <c r="M348" s="377"/>
      <c r="N348" s="378"/>
      <c r="O348" s="382"/>
      <c r="P348" s="379"/>
      <c r="Q348" s="384"/>
      <c r="R348" s="26"/>
      <c r="S348" s="27"/>
      <c r="T348" s="301"/>
      <c r="U348" s="27"/>
      <c r="V348" s="118"/>
    </row>
    <row r="349" spans="1:22" s="119" customFormat="1" ht="24.9" hidden="1" customHeight="1">
      <c r="A349" s="207">
        <v>1</v>
      </c>
      <c r="B349" s="207" t="s">
        <v>1412</v>
      </c>
      <c r="C349" s="380" t="s">
        <v>1413</v>
      </c>
      <c r="D349" s="207" t="s">
        <v>235</v>
      </c>
      <c r="E349" s="380">
        <v>24</v>
      </c>
      <c r="F349" s="207" t="s">
        <v>236</v>
      </c>
      <c r="G349" s="380"/>
      <c r="H349" s="208"/>
      <c r="I349" s="299"/>
      <c r="J349" s="218"/>
      <c r="K349" s="309">
        <v>2.4000000000000004</v>
      </c>
      <c r="L349" s="208"/>
      <c r="M349" s="208"/>
      <c r="N349" s="295"/>
      <c r="O349" s="381"/>
      <c r="P349" s="25"/>
      <c r="Q349" s="300"/>
      <c r="R349" s="26"/>
      <c r="S349" s="27"/>
      <c r="T349" s="301"/>
      <c r="U349" s="27"/>
      <c r="V349" s="118"/>
    </row>
    <row r="350" spans="1:22" s="119" customFormat="1" ht="24.9" hidden="1" customHeight="1">
      <c r="A350" s="207">
        <v>2</v>
      </c>
      <c r="B350" s="207" t="s">
        <v>1412</v>
      </c>
      <c r="C350" s="380" t="s">
        <v>1414</v>
      </c>
      <c r="D350" s="207" t="s">
        <v>235</v>
      </c>
      <c r="E350" s="380">
        <v>24</v>
      </c>
      <c r="F350" s="207" t="s">
        <v>236</v>
      </c>
      <c r="G350" s="380"/>
      <c r="H350" s="208"/>
      <c r="I350" s="299"/>
      <c r="J350" s="218"/>
      <c r="K350" s="309">
        <v>2.4000000000000004</v>
      </c>
      <c r="L350" s="208"/>
      <c r="M350" s="208"/>
      <c r="N350" s="295"/>
      <c r="O350" s="381"/>
      <c r="P350" s="25"/>
      <c r="Q350" s="300"/>
      <c r="R350" s="26"/>
      <c r="S350" s="27"/>
      <c r="T350" s="301"/>
      <c r="U350" s="27"/>
      <c r="V350" s="118"/>
    </row>
    <row r="351" spans="1:22" s="119" customFormat="1" ht="24.9" hidden="1" customHeight="1">
      <c r="A351" s="207">
        <v>3</v>
      </c>
      <c r="B351" s="207" t="s">
        <v>1412</v>
      </c>
      <c r="C351" s="381" t="s">
        <v>1415</v>
      </c>
      <c r="D351" s="207" t="s">
        <v>235</v>
      </c>
      <c r="E351" s="381">
        <v>1</v>
      </c>
      <c r="F351" s="207" t="s">
        <v>236</v>
      </c>
      <c r="G351" s="381"/>
      <c r="H351" s="208"/>
      <c r="I351" s="299"/>
      <c r="J351" s="218"/>
      <c r="K351" s="309">
        <v>80</v>
      </c>
      <c r="L351" s="208"/>
      <c r="M351" s="208"/>
      <c r="N351" s="295"/>
      <c r="O351" s="381"/>
      <c r="P351" s="25"/>
      <c r="Q351" s="300"/>
      <c r="R351" s="26"/>
      <c r="S351" s="27"/>
      <c r="T351" s="301"/>
      <c r="U351" s="27"/>
      <c r="V351" s="118"/>
    </row>
    <row r="352" spans="1:22" s="119" customFormat="1" ht="24.9" hidden="1" customHeight="1">
      <c r="A352" s="207">
        <v>4</v>
      </c>
      <c r="B352" s="207" t="s">
        <v>1412</v>
      </c>
      <c r="C352" s="381" t="s">
        <v>1416</v>
      </c>
      <c r="D352" s="207" t="s">
        <v>235</v>
      </c>
      <c r="E352" s="381">
        <v>1</v>
      </c>
      <c r="F352" s="207" t="s">
        <v>236</v>
      </c>
      <c r="G352" s="381"/>
      <c r="H352" s="208"/>
      <c r="I352" s="299"/>
      <c r="J352" s="218"/>
      <c r="K352" s="309">
        <v>2</v>
      </c>
      <c r="L352" s="208"/>
      <c r="M352" s="208"/>
      <c r="N352" s="295"/>
      <c r="O352" s="381"/>
      <c r="P352" s="25"/>
      <c r="Q352" s="300"/>
      <c r="R352" s="26"/>
      <c r="S352" s="27"/>
      <c r="T352" s="301"/>
      <c r="U352" s="27"/>
      <c r="V352" s="118"/>
    </row>
    <row r="353" spans="1:22" s="119" customFormat="1" ht="24.9" hidden="1" customHeight="1">
      <c r="A353" s="207">
        <v>5</v>
      </c>
      <c r="B353" s="207" t="s">
        <v>1412</v>
      </c>
      <c r="C353" s="381" t="s">
        <v>1417</v>
      </c>
      <c r="D353" s="207" t="s">
        <v>235</v>
      </c>
      <c r="E353" s="381">
        <v>1</v>
      </c>
      <c r="F353" s="207" t="s">
        <v>236</v>
      </c>
      <c r="G353" s="381"/>
      <c r="H353" s="208"/>
      <c r="I353" s="299"/>
      <c r="J353" s="218"/>
      <c r="K353" s="309">
        <v>3</v>
      </c>
      <c r="L353" s="208"/>
      <c r="M353" s="208"/>
      <c r="N353" s="295"/>
      <c r="O353" s="381"/>
      <c r="P353" s="25"/>
      <c r="Q353" s="300"/>
      <c r="R353" s="26"/>
      <c r="S353" s="27"/>
      <c r="T353" s="301"/>
      <c r="U353" s="27"/>
      <c r="V353" s="118"/>
    </row>
    <row r="354" spans="1:22" s="119" customFormat="1" ht="24.9" hidden="1" customHeight="1">
      <c r="A354" s="207">
        <v>6</v>
      </c>
      <c r="B354" s="207" t="s">
        <v>1412</v>
      </c>
      <c r="C354" s="381" t="s">
        <v>1418</v>
      </c>
      <c r="D354" s="207" t="s">
        <v>235</v>
      </c>
      <c r="E354" s="381">
        <v>1</v>
      </c>
      <c r="F354" s="207" t="s">
        <v>236</v>
      </c>
      <c r="G354" s="381"/>
      <c r="H354" s="208"/>
      <c r="I354" s="299"/>
      <c r="J354" s="218"/>
      <c r="K354" s="309">
        <v>4</v>
      </c>
      <c r="L354" s="208"/>
      <c r="M354" s="208"/>
      <c r="N354" s="295"/>
      <c r="O354" s="381"/>
      <c r="P354" s="25"/>
      <c r="Q354" s="300"/>
      <c r="R354" s="26"/>
      <c r="S354" s="27"/>
      <c r="T354" s="301"/>
      <c r="U354" s="27"/>
      <c r="V354" s="118"/>
    </row>
    <row r="355" spans="1:22" s="119" customFormat="1" ht="24.9" hidden="1" customHeight="1">
      <c r="A355" s="207">
        <v>7</v>
      </c>
      <c r="B355" s="207" t="s">
        <v>1412</v>
      </c>
      <c r="C355" s="381" t="s">
        <v>1419</v>
      </c>
      <c r="D355" s="207" t="s">
        <v>235</v>
      </c>
      <c r="E355" s="381">
        <v>1</v>
      </c>
      <c r="F355" s="207" t="s">
        <v>236</v>
      </c>
      <c r="G355" s="381"/>
      <c r="H355" s="208"/>
      <c r="I355" s="299"/>
      <c r="J355" s="218"/>
      <c r="K355" s="309">
        <v>15</v>
      </c>
      <c r="L355" s="208"/>
      <c r="M355" s="208"/>
      <c r="N355" s="295"/>
      <c r="O355" s="381"/>
      <c r="P355" s="25"/>
      <c r="Q355" s="300"/>
      <c r="R355" s="26"/>
      <c r="S355" s="27"/>
      <c r="T355" s="301"/>
      <c r="U355" s="27"/>
      <c r="V355" s="118"/>
    </row>
    <row r="356" spans="1:22" s="119" customFormat="1" ht="24.9" hidden="1" customHeight="1">
      <c r="A356" s="207">
        <v>8</v>
      </c>
      <c r="B356" s="207" t="s">
        <v>1412</v>
      </c>
      <c r="C356" s="381" t="s">
        <v>1420</v>
      </c>
      <c r="D356" s="207" t="s">
        <v>235</v>
      </c>
      <c r="E356" s="381">
        <v>456</v>
      </c>
      <c r="F356" s="207" t="s">
        <v>236</v>
      </c>
      <c r="G356" s="381"/>
      <c r="H356" s="208"/>
      <c r="I356" s="299"/>
      <c r="J356" s="218"/>
      <c r="K356" s="309">
        <v>4.5600000000000005</v>
      </c>
      <c r="L356" s="208"/>
      <c r="M356" s="208"/>
      <c r="N356" s="295"/>
      <c r="O356" s="381"/>
      <c r="P356" s="25"/>
      <c r="Q356" s="300"/>
      <c r="R356" s="26"/>
      <c r="S356" s="27"/>
      <c r="T356" s="301"/>
      <c r="U356" s="27"/>
      <c r="V356" s="118"/>
    </row>
    <row r="357" spans="1:22" s="119" customFormat="1" ht="24.9" hidden="1" customHeight="1">
      <c r="A357" s="207">
        <v>9</v>
      </c>
      <c r="B357" s="207" t="s">
        <v>1412</v>
      </c>
      <c r="C357" s="381" t="s">
        <v>1421</v>
      </c>
      <c r="D357" s="207" t="s">
        <v>235</v>
      </c>
      <c r="E357" s="381">
        <v>8</v>
      </c>
      <c r="F357" s="207" t="s">
        <v>236</v>
      </c>
      <c r="G357" s="381"/>
      <c r="H357" s="208"/>
      <c r="I357" s="299"/>
      <c r="J357" s="218"/>
      <c r="K357" s="309">
        <v>0.08</v>
      </c>
      <c r="L357" s="208"/>
      <c r="M357" s="208"/>
      <c r="N357" s="295"/>
      <c r="O357" s="381"/>
      <c r="P357" s="25"/>
      <c r="Q357" s="300"/>
      <c r="R357" s="26"/>
      <c r="S357" s="27"/>
      <c r="T357" s="301"/>
      <c r="U357" s="27"/>
      <c r="V357" s="118"/>
    </row>
    <row r="358" spans="1:22" s="119" customFormat="1" ht="24.9" hidden="1" customHeight="1">
      <c r="A358" s="207">
        <v>10</v>
      </c>
      <c r="B358" s="207" t="s">
        <v>1412</v>
      </c>
      <c r="C358" s="381" t="s">
        <v>1422</v>
      </c>
      <c r="D358" s="207" t="s">
        <v>235</v>
      </c>
      <c r="E358" s="381">
        <v>12</v>
      </c>
      <c r="F358" s="207" t="s">
        <v>236</v>
      </c>
      <c r="G358" s="381"/>
      <c r="H358" s="208"/>
      <c r="I358" s="299"/>
      <c r="J358" s="218"/>
      <c r="K358" s="309">
        <v>0.12</v>
      </c>
      <c r="L358" s="208"/>
      <c r="M358" s="208"/>
      <c r="N358" s="295"/>
      <c r="O358" s="381"/>
      <c r="P358" s="25"/>
      <c r="Q358" s="300"/>
      <c r="R358" s="26"/>
      <c r="S358" s="27"/>
      <c r="T358" s="301"/>
      <c r="U358" s="27"/>
      <c r="V358" s="118"/>
    </row>
    <row r="359" spans="1:22" s="119" customFormat="1" ht="24.9" hidden="1" customHeight="1">
      <c r="A359" s="207">
        <v>11</v>
      </c>
      <c r="B359" s="207" t="s">
        <v>1412</v>
      </c>
      <c r="C359" s="381" t="s">
        <v>1423</v>
      </c>
      <c r="D359" s="207" t="s">
        <v>235</v>
      </c>
      <c r="E359" s="381">
        <v>16</v>
      </c>
      <c r="F359" s="207" t="s">
        <v>236</v>
      </c>
      <c r="G359" s="381"/>
      <c r="H359" s="208"/>
      <c r="I359" s="299"/>
      <c r="J359" s="218"/>
      <c r="K359" s="309">
        <v>0.16</v>
      </c>
      <c r="L359" s="208"/>
      <c r="M359" s="208"/>
      <c r="N359" s="295"/>
      <c r="O359" s="381"/>
      <c r="P359" s="25"/>
      <c r="Q359" s="300"/>
      <c r="R359" s="26"/>
      <c r="S359" s="27"/>
      <c r="T359" s="301"/>
      <c r="U359" s="27"/>
      <c r="V359" s="118"/>
    </row>
    <row r="360" spans="1:22" s="119" customFormat="1" ht="24.9" hidden="1" customHeight="1">
      <c r="A360" s="207">
        <v>12</v>
      </c>
      <c r="B360" s="207" t="s">
        <v>1412</v>
      </c>
      <c r="C360" s="381" t="s">
        <v>1424</v>
      </c>
      <c r="D360" s="207" t="s">
        <v>235</v>
      </c>
      <c r="E360" s="381">
        <v>48</v>
      </c>
      <c r="F360" s="207" t="s">
        <v>236</v>
      </c>
      <c r="G360" s="381"/>
      <c r="H360" s="208"/>
      <c r="I360" s="299"/>
      <c r="J360" s="218"/>
      <c r="K360" s="309">
        <v>0.48</v>
      </c>
      <c r="L360" s="208"/>
      <c r="M360" s="208"/>
      <c r="N360" s="295"/>
      <c r="O360" s="381"/>
      <c r="P360" s="25"/>
      <c r="Q360" s="300"/>
      <c r="R360" s="26"/>
      <c r="S360" s="27"/>
      <c r="T360" s="301"/>
      <c r="U360" s="27"/>
      <c r="V360" s="118"/>
    </row>
    <row r="361" spans="1:22" s="119" customFormat="1" ht="24.9" hidden="1" customHeight="1">
      <c r="A361" s="207">
        <v>13</v>
      </c>
      <c r="B361" s="207" t="s">
        <v>1412</v>
      </c>
      <c r="C361" s="381" t="s">
        <v>1425</v>
      </c>
      <c r="D361" s="207" t="s">
        <v>235</v>
      </c>
      <c r="E361" s="381">
        <v>2</v>
      </c>
      <c r="F361" s="207" t="s">
        <v>236</v>
      </c>
      <c r="G361" s="381"/>
      <c r="H361" s="208"/>
      <c r="I361" s="299"/>
      <c r="J361" s="218"/>
      <c r="K361" s="309">
        <v>4</v>
      </c>
      <c r="L361" s="208"/>
      <c r="M361" s="208"/>
      <c r="N361" s="295"/>
      <c r="O361" s="381"/>
      <c r="P361" s="25"/>
      <c r="Q361" s="300"/>
      <c r="R361" s="26"/>
      <c r="S361" s="27"/>
      <c r="T361" s="301"/>
      <c r="U361" s="27"/>
      <c r="V361" s="118"/>
    </row>
    <row r="362" spans="1:22" s="119" customFormat="1" ht="24.9" hidden="1" customHeight="1">
      <c r="A362" s="207">
        <v>14</v>
      </c>
      <c r="B362" s="207" t="s">
        <v>1412</v>
      </c>
      <c r="C362" s="381" t="s">
        <v>1426</v>
      </c>
      <c r="D362" s="207" t="s">
        <v>235</v>
      </c>
      <c r="E362" s="381">
        <v>14</v>
      </c>
      <c r="F362" s="207" t="s">
        <v>236</v>
      </c>
      <c r="G362" s="381"/>
      <c r="H362" s="208"/>
      <c r="I362" s="299"/>
      <c r="J362" s="218"/>
      <c r="K362" s="309">
        <v>28</v>
      </c>
      <c r="L362" s="208"/>
      <c r="M362" s="208"/>
      <c r="N362" s="295"/>
      <c r="O362" s="381"/>
      <c r="P362" s="25"/>
      <c r="Q362" s="300"/>
      <c r="R362" s="26"/>
      <c r="S362" s="27"/>
      <c r="T362" s="301"/>
      <c r="U362" s="27"/>
      <c r="V362" s="118"/>
    </row>
    <row r="363" spans="1:22" s="119" customFormat="1" ht="24.9" hidden="1" customHeight="1">
      <c r="A363" s="207">
        <v>15</v>
      </c>
      <c r="B363" s="207" t="s">
        <v>1412</v>
      </c>
      <c r="C363" s="381" t="s">
        <v>1427</v>
      </c>
      <c r="D363" s="207" t="s">
        <v>235</v>
      </c>
      <c r="E363" s="381">
        <v>364</v>
      </c>
      <c r="F363" s="207" t="s">
        <v>236</v>
      </c>
      <c r="G363" s="381"/>
      <c r="H363" s="208"/>
      <c r="I363" s="299"/>
      <c r="J363" s="218"/>
      <c r="K363" s="309">
        <v>3.64</v>
      </c>
      <c r="L363" s="208"/>
      <c r="M363" s="208"/>
      <c r="N363" s="295"/>
      <c r="O363" s="381"/>
      <c r="P363" s="25"/>
      <c r="Q363" s="300"/>
      <c r="R363" s="26"/>
      <c r="S363" s="27"/>
      <c r="T363" s="301"/>
      <c r="U363" s="27"/>
      <c r="V363" s="118"/>
    </row>
    <row r="364" spans="1:22" s="119" customFormat="1" ht="24.9" hidden="1" customHeight="1">
      <c r="A364" s="207">
        <v>16</v>
      </c>
      <c r="B364" s="207" t="s">
        <v>1412</v>
      </c>
      <c r="C364" s="381" t="s">
        <v>1428</v>
      </c>
      <c r="D364" s="207" t="s">
        <v>235</v>
      </c>
      <c r="E364" s="381">
        <v>8</v>
      </c>
      <c r="F364" s="207" t="s">
        <v>236</v>
      </c>
      <c r="G364" s="381"/>
      <c r="H364" s="208"/>
      <c r="I364" s="299"/>
      <c r="J364" s="218"/>
      <c r="K364" s="309">
        <v>0.08</v>
      </c>
      <c r="L364" s="208"/>
      <c r="M364" s="208"/>
      <c r="N364" s="295"/>
      <c r="O364" s="381"/>
      <c r="P364" s="25"/>
      <c r="Q364" s="300"/>
      <c r="R364" s="26"/>
      <c r="S364" s="27"/>
      <c r="T364" s="301"/>
      <c r="U364" s="27"/>
      <c r="V364" s="118"/>
    </row>
    <row r="365" spans="1:22" s="119" customFormat="1" ht="24.9" hidden="1" customHeight="1">
      <c r="A365" s="207">
        <v>17</v>
      </c>
      <c r="B365" s="207" t="s">
        <v>1412</v>
      </c>
      <c r="C365" s="381" t="s">
        <v>1429</v>
      </c>
      <c r="D365" s="207" t="s">
        <v>235</v>
      </c>
      <c r="E365" s="381">
        <v>12</v>
      </c>
      <c r="F365" s="207" t="s">
        <v>236</v>
      </c>
      <c r="G365" s="381"/>
      <c r="H365" s="208"/>
      <c r="I365" s="299"/>
      <c r="J365" s="218"/>
      <c r="K365" s="309">
        <v>0.12</v>
      </c>
      <c r="L365" s="208"/>
      <c r="M365" s="208"/>
      <c r="N365" s="295"/>
      <c r="O365" s="381"/>
      <c r="P365" s="25"/>
      <c r="Q365" s="300"/>
      <c r="R365" s="26"/>
      <c r="S365" s="27"/>
      <c r="T365" s="301"/>
      <c r="U365" s="27"/>
      <c r="V365" s="118"/>
    </row>
    <row r="366" spans="1:22" s="119" customFormat="1" ht="24.9" hidden="1" customHeight="1">
      <c r="A366" s="207">
        <v>18</v>
      </c>
      <c r="B366" s="207" t="s">
        <v>1412</v>
      </c>
      <c r="C366" s="381" t="s">
        <v>1430</v>
      </c>
      <c r="D366" s="207" t="s">
        <v>235</v>
      </c>
      <c r="E366" s="381">
        <v>16</v>
      </c>
      <c r="F366" s="207" t="s">
        <v>236</v>
      </c>
      <c r="G366" s="381"/>
      <c r="H366" s="208"/>
      <c r="I366" s="299"/>
      <c r="J366" s="218"/>
      <c r="K366" s="309">
        <v>0.16</v>
      </c>
      <c r="L366" s="208"/>
      <c r="M366" s="208"/>
      <c r="N366" s="295"/>
      <c r="O366" s="381"/>
      <c r="P366" s="25"/>
      <c r="Q366" s="300"/>
      <c r="R366" s="26"/>
      <c r="S366" s="27"/>
      <c r="T366" s="301"/>
      <c r="U366" s="27"/>
      <c r="V366" s="118"/>
    </row>
    <row r="367" spans="1:22" s="119" customFormat="1" ht="24.9" hidden="1" customHeight="1">
      <c r="A367" s="207">
        <v>19</v>
      </c>
      <c r="B367" s="207" t="s">
        <v>1412</v>
      </c>
      <c r="C367" s="381" t="s">
        <v>1431</v>
      </c>
      <c r="D367" s="207" t="s">
        <v>235</v>
      </c>
      <c r="E367" s="381">
        <v>48</v>
      </c>
      <c r="F367" s="207" t="s">
        <v>236</v>
      </c>
      <c r="G367" s="381"/>
      <c r="H367" s="208"/>
      <c r="I367" s="299"/>
      <c r="J367" s="218"/>
      <c r="K367" s="309">
        <v>0.48</v>
      </c>
      <c r="L367" s="208"/>
      <c r="M367" s="208"/>
      <c r="N367" s="295"/>
      <c r="O367" s="381"/>
      <c r="P367" s="25"/>
      <c r="Q367" s="300"/>
      <c r="R367" s="26"/>
      <c r="S367" s="27"/>
      <c r="T367" s="301"/>
      <c r="U367" s="27"/>
      <c r="V367" s="118"/>
    </row>
    <row r="368" spans="1:22" s="119" customFormat="1" ht="24.9" hidden="1" customHeight="1">
      <c r="A368" s="207">
        <v>20</v>
      </c>
      <c r="B368" s="207" t="s">
        <v>1412</v>
      </c>
      <c r="C368" s="381" t="s">
        <v>1432</v>
      </c>
      <c r="D368" s="207" t="s">
        <v>235</v>
      </c>
      <c r="E368" s="381">
        <v>1094</v>
      </c>
      <c r="F368" s="207" t="s">
        <v>236</v>
      </c>
      <c r="G368" s="381"/>
      <c r="H368" s="208"/>
      <c r="I368" s="299"/>
      <c r="J368" s="218"/>
      <c r="K368" s="309">
        <v>54.7</v>
      </c>
      <c r="L368" s="208"/>
      <c r="M368" s="208"/>
      <c r="N368" s="295"/>
      <c r="O368" s="381"/>
      <c r="P368" s="25"/>
      <c r="Q368" s="300"/>
      <c r="R368" s="26"/>
      <c r="S368" s="27"/>
      <c r="T368" s="301"/>
      <c r="U368" s="27"/>
      <c r="V368" s="118"/>
    </row>
    <row r="369" spans="1:22" s="119" customFormat="1" ht="24.9" hidden="1" customHeight="1">
      <c r="A369" s="207">
        <v>21</v>
      </c>
      <c r="B369" s="207" t="s">
        <v>1412</v>
      </c>
      <c r="C369" s="381" t="s">
        <v>1433</v>
      </c>
      <c r="D369" s="207" t="s">
        <v>235</v>
      </c>
      <c r="E369" s="381">
        <v>27</v>
      </c>
      <c r="F369" s="207" t="s">
        <v>236</v>
      </c>
      <c r="G369" s="381"/>
      <c r="H369" s="208"/>
      <c r="I369" s="299"/>
      <c r="J369" s="218"/>
      <c r="K369" s="309">
        <v>1.35</v>
      </c>
      <c r="L369" s="208"/>
      <c r="M369" s="208"/>
      <c r="N369" s="295"/>
      <c r="O369" s="381"/>
      <c r="P369" s="25"/>
      <c r="Q369" s="300"/>
      <c r="R369" s="26"/>
      <c r="S369" s="27"/>
      <c r="T369" s="301"/>
      <c r="U369" s="27"/>
      <c r="V369" s="118"/>
    </row>
    <row r="370" spans="1:22" s="119" customFormat="1" ht="24.9" hidden="1" customHeight="1">
      <c r="A370" s="207">
        <v>22</v>
      </c>
      <c r="B370" s="207" t="s">
        <v>1412</v>
      </c>
      <c r="C370" s="381" t="s">
        <v>1434</v>
      </c>
      <c r="D370" s="207" t="s">
        <v>235</v>
      </c>
      <c r="E370" s="381">
        <v>81</v>
      </c>
      <c r="F370" s="207" t="s">
        <v>236</v>
      </c>
      <c r="G370" s="381"/>
      <c r="H370" s="208"/>
      <c r="I370" s="299"/>
      <c r="J370" s="218"/>
      <c r="K370" s="309">
        <v>4.05</v>
      </c>
      <c r="L370" s="208"/>
      <c r="M370" s="208"/>
      <c r="N370" s="295"/>
      <c r="O370" s="381"/>
      <c r="P370" s="25"/>
      <c r="Q370" s="300"/>
      <c r="R370" s="26"/>
      <c r="S370" s="27"/>
      <c r="T370" s="301"/>
      <c r="U370" s="27"/>
      <c r="V370" s="118"/>
    </row>
    <row r="371" spans="1:22" s="119" customFormat="1" ht="24.9" hidden="1" customHeight="1">
      <c r="A371" s="207">
        <v>23</v>
      </c>
      <c r="B371" s="207" t="s">
        <v>1412</v>
      </c>
      <c r="C371" s="381" t="s">
        <v>1435</v>
      </c>
      <c r="D371" s="207" t="s">
        <v>235</v>
      </c>
      <c r="E371" s="381">
        <v>32</v>
      </c>
      <c r="F371" s="207" t="s">
        <v>236</v>
      </c>
      <c r="G371" s="381"/>
      <c r="H371" s="208"/>
      <c r="I371" s="299"/>
      <c r="J371" s="218"/>
      <c r="K371" s="309">
        <v>1.6</v>
      </c>
      <c r="L371" s="208"/>
      <c r="M371" s="208"/>
      <c r="N371" s="295"/>
      <c r="O371" s="381"/>
      <c r="P371" s="25"/>
      <c r="Q371" s="300"/>
      <c r="R371" s="26"/>
      <c r="S371" s="27"/>
      <c r="T371" s="301"/>
      <c r="U371" s="27"/>
      <c r="V371" s="118"/>
    </row>
    <row r="372" spans="1:22" s="119" customFormat="1" ht="24.9" hidden="1" customHeight="1">
      <c r="A372" s="207">
        <v>24</v>
      </c>
      <c r="B372" s="207" t="s">
        <v>1412</v>
      </c>
      <c r="C372" s="381" t="s">
        <v>1436</v>
      </c>
      <c r="D372" s="207" t="s">
        <v>235</v>
      </c>
      <c r="E372" s="381">
        <v>204</v>
      </c>
      <c r="F372" s="207" t="s">
        <v>236</v>
      </c>
      <c r="G372" s="381"/>
      <c r="H372" s="208"/>
      <c r="I372" s="299"/>
      <c r="J372" s="218"/>
      <c r="K372" s="309">
        <v>10.200000000000001</v>
      </c>
      <c r="L372" s="208"/>
      <c r="M372" s="208"/>
      <c r="N372" s="295"/>
      <c r="O372" s="381"/>
      <c r="P372" s="25"/>
      <c r="Q372" s="300"/>
      <c r="R372" s="26"/>
      <c r="S372" s="27"/>
      <c r="T372" s="301"/>
      <c r="U372" s="27"/>
      <c r="V372" s="118"/>
    </row>
    <row r="373" spans="1:22" s="119" customFormat="1" ht="24.9" hidden="1" customHeight="1">
      <c r="A373" s="207">
        <v>25</v>
      </c>
      <c r="B373" s="207" t="s">
        <v>1412</v>
      </c>
      <c r="C373" s="381" t="s">
        <v>1437</v>
      </c>
      <c r="D373" s="207" t="s">
        <v>235</v>
      </c>
      <c r="E373" s="381">
        <v>4</v>
      </c>
      <c r="F373" s="207" t="s">
        <v>236</v>
      </c>
      <c r="G373" s="381"/>
      <c r="H373" s="208"/>
      <c r="I373" s="299"/>
      <c r="J373" s="218"/>
      <c r="K373" s="309">
        <v>8</v>
      </c>
      <c r="L373" s="208"/>
      <c r="M373" s="208"/>
      <c r="N373" s="295"/>
      <c r="O373" s="381"/>
      <c r="P373" s="25"/>
      <c r="Q373" s="300"/>
      <c r="R373" s="26"/>
      <c r="S373" s="27"/>
      <c r="T373" s="301"/>
      <c r="U373" s="27"/>
      <c r="V373" s="118"/>
    </row>
    <row r="374" spans="1:22" s="119" customFormat="1" ht="24.9" hidden="1" customHeight="1">
      <c r="A374" s="207">
        <v>26</v>
      </c>
      <c r="B374" s="207" t="s">
        <v>1412</v>
      </c>
      <c r="C374" s="381" t="s">
        <v>1438</v>
      </c>
      <c r="D374" s="207" t="s">
        <v>235</v>
      </c>
      <c r="E374" s="381">
        <v>40</v>
      </c>
      <c r="F374" s="207" t="s">
        <v>236</v>
      </c>
      <c r="G374" s="381"/>
      <c r="H374" s="208"/>
      <c r="I374" s="299"/>
      <c r="J374" s="218"/>
      <c r="K374" s="309">
        <v>4</v>
      </c>
      <c r="L374" s="208"/>
      <c r="M374" s="208"/>
      <c r="N374" s="295"/>
      <c r="O374" s="381"/>
      <c r="P374" s="25"/>
      <c r="Q374" s="300"/>
      <c r="R374" s="26"/>
      <c r="S374" s="27"/>
      <c r="T374" s="301"/>
      <c r="U374" s="27"/>
      <c r="V374" s="118"/>
    </row>
    <row r="375" spans="1:22" s="119" customFormat="1" ht="24.9" hidden="1" customHeight="1">
      <c r="A375" s="207">
        <v>27</v>
      </c>
      <c r="B375" s="207" t="s">
        <v>1412</v>
      </c>
      <c r="C375" s="381" t="s">
        <v>1439</v>
      </c>
      <c r="D375" s="207" t="s">
        <v>235</v>
      </c>
      <c r="E375" s="381">
        <v>4</v>
      </c>
      <c r="F375" s="207" t="s">
        <v>236</v>
      </c>
      <c r="G375" s="381"/>
      <c r="H375" s="208"/>
      <c r="I375" s="299"/>
      <c r="J375" s="218"/>
      <c r="K375" s="309">
        <v>0.4</v>
      </c>
      <c r="L375" s="208"/>
      <c r="M375" s="208"/>
      <c r="N375" s="295"/>
      <c r="O375" s="381"/>
      <c r="P375" s="25"/>
      <c r="Q375" s="300"/>
      <c r="R375" s="26"/>
      <c r="S375" s="27"/>
      <c r="T375" s="301"/>
      <c r="U375" s="27"/>
      <c r="V375" s="118"/>
    </row>
    <row r="376" spans="1:22" s="119" customFormat="1" ht="24.9" hidden="1" customHeight="1">
      <c r="A376" s="207">
        <v>28</v>
      </c>
      <c r="B376" s="207" t="s">
        <v>1412</v>
      </c>
      <c r="C376" s="381" t="s">
        <v>1440</v>
      </c>
      <c r="D376" s="207" t="s">
        <v>235</v>
      </c>
      <c r="E376" s="381">
        <v>339</v>
      </c>
      <c r="F376" s="207" t="s">
        <v>236</v>
      </c>
      <c r="G376" s="381"/>
      <c r="H376" s="208"/>
      <c r="I376" s="299"/>
      <c r="J376" s="218"/>
      <c r="K376" s="309">
        <v>33.9</v>
      </c>
      <c r="L376" s="208"/>
      <c r="M376" s="208"/>
      <c r="N376" s="295"/>
      <c r="O376" s="381"/>
      <c r="P376" s="25"/>
      <c r="Q376" s="300"/>
      <c r="R376" s="26"/>
      <c r="S376" s="27"/>
      <c r="T376" s="301"/>
      <c r="U376" s="27"/>
      <c r="V376" s="118"/>
    </row>
    <row r="377" spans="1:22" s="119" customFormat="1" ht="24.9" hidden="1" customHeight="1">
      <c r="A377" s="207">
        <v>29</v>
      </c>
      <c r="B377" s="207" t="s">
        <v>1412</v>
      </c>
      <c r="C377" s="431" t="s">
        <v>1441</v>
      </c>
      <c r="D377" s="207" t="s">
        <v>235</v>
      </c>
      <c r="E377" s="381">
        <v>15</v>
      </c>
      <c r="F377" s="207" t="s">
        <v>236</v>
      </c>
      <c r="G377" s="381"/>
      <c r="H377" s="208"/>
      <c r="I377" s="299"/>
      <c r="J377" s="218"/>
      <c r="K377" s="309">
        <v>353</v>
      </c>
      <c r="L377" s="208"/>
      <c r="M377" s="208"/>
      <c r="N377" s="295"/>
      <c r="O377" s="381"/>
      <c r="P377" s="25"/>
      <c r="Q377" s="300"/>
      <c r="R377" s="26"/>
      <c r="S377" s="27"/>
      <c r="T377" s="301"/>
      <c r="U377" s="27"/>
      <c r="V377" s="118"/>
    </row>
    <row r="378" spans="1:22" s="119" customFormat="1" ht="24.9" customHeight="1">
      <c r="A378" s="207">
        <v>30</v>
      </c>
      <c r="B378" s="207" t="s">
        <v>1412</v>
      </c>
      <c r="C378" s="381" t="s">
        <v>1442</v>
      </c>
      <c r="D378" s="207" t="s">
        <v>235</v>
      </c>
      <c r="E378" s="381">
        <v>800</v>
      </c>
      <c r="F378" s="207" t="s">
        <v>236</v>
      </c>
      <c r="G378" s="381"/>
      <c r="H378" s="208"/>
      <c r="I378" s="299"/>
      <c r="J378" s="218"/>
      <c r="K378" s="309">
        <v>8</v>
      </c>
      <c r="L378" s="208"/>
      <c r="M378" s="208"/>
      <c r="N378" s="295"/>
      <c r="O378" s="381"/>
      <c r="P378" s="25"/>
      <c r="Q378" s="300"/>
      <c r="R378" s="26"/>
      <c r="S378" s="27"/>
      <c r="T378" s="301"/>
      <c r="U378" s="27"/>
      <c r="V378" s="118"/>
    </row>
    <row r="379" spans="1:22" s="119" customFormat="1" ht="24.9" hidden="1" customHeight="1">
      <c r="A379" s="207">
        <v>31</v>
      </c>
      <c r="B379" s="207" t="s">
        <v>1412</v>
      </c>
      <c r="C379" s="381" t="s">
        <v>1443</v>
      </c>
      <c r="D379" s="207" t="s">
        <v>235</v>
      </c>
      <c r="E379" s="381">
        <v>6</v>
      </c>
      <c r="F379" s="207" t="s">
        <v>236</v>
      </c>
      <c r="G379" s="381"/>
      <c r="H379" s="208"/>
      <c r="I379" s="299"/>
      <c r="J379" s="218"/>
      <c r="K379" s="309">
        <v>3</v>
      </c>
      <c r="L379" s="208"/>
      <c r="M379" s="208"/>
      <c r="N379" s="295"/>
      <c r="O379" s="381"/>
      <c r="P379" s="25"/>
      <c r="Q379" s="300"/>
      <c r="R379" s="26"/>
      <c r="S379" s="27"/>
      <c r="T379" s="301"/>
      <c r="U379" s="27"/>
      <c r="V379" s="118"/>
    </row>
    <row r="380" spans="1:22" s="119" customFormat="1" ht="24.9" hidden="1" customHeight="1">
      <c r="A380" s="207">
        <v>32</v>
      </c>
      <c r="B380" s="207" t="s">
        <v>1412</v>
      </c>
      <c r="C380" s="381" t="s">
        <v>1444</v>
      </c>
      <c r="D380" s="207" t="s">
        <v>235</v>
      </c>
      <c r="E380" s="381">
        <v>6</v>
      </c>
      <c r="F380" s="207" t="s">
        <v>236</v>
      </c>
      <c r="G380" s="381"/>
      <c r="H380" s="208"/>
      <c r="I380" s="299"/>
      <c r="J380" s="218"/>
      <c r="K380" s="309">
        <v>3</v>
      </c>
      <c r="L380" s="208"/>
      <c r="M380" s="208"/>
      <c r="N380" s="295"/>
      <c r="O380" s="381"/>
      <c r="P380" s="25"/>
      <c r="Q380" s="300"/>
      <c r="R380" s="26"/>
      <c r="S380" s="27"/>
      <c r="T380" s="301"/>
      <c r="U380" s="27"/>
      <c r="V380" s="118"/>
    </row>
    <row r="381" spans="1:22" s="119" customFormat="1" ht="24.9" hidden="1" customHeight="1">
      <c r="A381" s="207">
        <v>33</v>
      </c>
      <c r="B381" s="207" t="s">
        <v>1412</v>
      </c>
      <c r="C381" s="381" t="s">
        <v>1445</v>
      </c>
      <c r="D381" s="207" t="s">
        <v>235</v>
      </c>
      <c r="E381" s="381">
        <v>4</v>
      </c>
      <c r="F381" s="207" t="s">
        <v>236</v>
      </c>
      <c r="G381" s="381"/>
      <c r="H381" s="208"/>
      <c r="I381" s="299"/>
      <c r="J381" s="218"/>
      <c r="K381" s="309">
        <v>4</v>
      </c>
      <c r="L381" s="208"/>
      <c r="M381" s="208"/>
      <c r="N381" s="295"/>
      <c r="O381" s="381"/>
      <c r="P381" s="25"/>
      <c r="Q381" s="300"/>
      <c r="R381" s="26"/>
      <c r="S381" s="27"/>
      <c r="T381" s="301"/>
      <c r="U381" s="27"/>
      <c r="V381" s="118"/>
    </row>
    <row r="382" spans="1:22" s="119" customFormat="1" ht="24.9" hidden="1" customHeight="1">
      <c r="A382" s="207">
        <v>34</v>
      </c>
      <c r="B382" s="207" t="s">
        <v>1412</v>
      </c>
      <c r="C382" s="381" t="s">
        <v>1446</v>
      </c>
      <c r="D382" s="207" t="s">
        <v>235</v>
      </c>
      <c r="E382" s="381">
        <v>24</v>
      </c>
      <c r="F382" s="207" t="s">
        <v>236</v>
      </c>
      <c r="G382" s="381"/>
      <c r="H382" s="208"/>
      <c r="I382" s="299"/>
      <c r="J382" s="218"/>
      <c r="K382" s="309">
        <v>48</v>
      </c>
      <c r="L382" s="208"/>
      <c r="M382" s="208"/>
      <c r="N382" s="295"/>
      <c r="O382" s="381"/>
      <c r="P382" s="25"/>
      <c r="Q382" s="300"/>
      <c r="R382" s="26"/>
      <c r="S382" s="27"/>
      <c r="T382" s="301"/>
      <c r="U382" s="27"/>
      <c r="V382" s="118"/>
    </row>
    <row r="383" spans="1:22" s="119" customFormat="1" ht="24.9" hidden="1" customHeight="1">
      <c r="A383" s="207">
        <v>35</v>
      </c>
      <c r="B383" s="207" t="s">
        <v>1412</v>
      </c>
      <c r="C383" s="381" t="s">
        <v>1447</v>
      </c>
      <c r="D383" s="207" t="s">
        <v>235</v>
      </c>
      <c r="E383" s="381">
        <v>36</v>
      </c>
      <c r="F383" s="207" t="s">
        <v>236</v>
      </c>
      <c r="G383" s="381"/>
      <c r="H383" s="208"/>
      <c r="I383" s="299"/>
      <c r="J383" s="218"/>
      <c r="K383" s="309">
        <v>36</v>
      </c>
      <c r="L383" s="208"/>
      <c r="M383" s="208"/>
      <c r="N383" s="295"/>
      <c r="O383" s="381"/>
      <c r="P383" s="25"/>
      <c r="Q383" s="300"/>
      <c r="R383" s="26"/>
      <c r="S383" s="27"/>
      <c r="T383" s="301"/>
      <c r="U383" s="27"/>
      <c r="V383" s="118"/>
    </row>
    <row r="384" spans="1:22" s="119" customFormat="1" ht="24.9" hidden="1" customHeight="1">
      <c r="A384" s="207">
        <v>36</v>
      </c>
      <c r="B384" s="207" t="s">
        <v>1412</v>
      </c>
      <c r="C384" s="381" t="s">
        <v>1448</v>
      </c>
      <c r="D384" s="207" t="s">
        <v>235</v>
      </c>
      <c r="E384" s="381">
        <v>2</v>
      </c>
      <c r="F384" s="207" t="s">
        <v>236</v>
      </c>
      <c r="G384" s="381"/>
      <c r="H384" s="208"/>
      <c r="I384" s="299"/>
      <c r="J384" s="218"/>
      <c r="K384" s="309">
        <v>4</v>
      </c>
      <c r="L384" s="208"/>
      <c r="M384" s="208"/>
      <c r="N384" s="295"/>
      <c r="O384" s="381"/>
      <c r="P384" s="25"/>
      <c r="Q384" s="300"/>
      <c r="R384" s="26"/>
      <c r="S384" s="27"/>
      <c r="T384" s="301"/>
      <c r="U384" s="27"/>
      <c r="V384" s="118"/>
    </row>
    <row r="385" spans="1:22" s="119" customFormat="1" ht="24.9" hidden="1" customHeight="1">
      <c r="A385" s="207">
        <v>37</v>
      </c>
      <c r="B385" s="207" t="s">
        <v>1412</v>
      </c>
      <c r="C385" s="381" t="s">
        <v>1449</v>
      </c>
      <c r="D385" s="207" t="s">
        <v>235</v>
      </c>
      <c r="E385" s="381">
        <v>1000</v>
      </c>
      <c r="F385" s="207" t="s">
        <v>236</v>
      </c>
      <c r="G385" s="381"/>
      <c r="H385" s="208"/>
      <c r="I385" s="299"/>
      <c r="J385" s="218"/>
      <c r="K385" s="309">
        <v>1</v>
      </c>
      <c r="L385" s="208"/>
      <c r="M385" s="208"/>
      <c r="N385" s="295"/>
      <c r="O385" s="381"/>
      <c r="P385" s="25"/>
      <c r="Q385" s="300"/>
      <c r="R385" s="26"/>
      <c r="S385" s="27"/>
      <c r="T385" s="301"/>
      <c r="U385" s="27"/>
      <c r="V385" s="118"/>
    </row>
    <row r="386" spans="1:22" s="119" customFormat="1" ht="24.9" hidden="1" customHeight="1">
      <c r="A386" s="207">
        <v>38</v>
      </c>
      <c r="B386" s="207" t="s">
        <v>1412</v>
      </c>
      <c r="C386" s="381" t="s">
        <v>1450</v>
      </c>
      <c r="D386" s="207" t="s">
        <v>235</v>
      </c>
      <c r="E386" s="381">
        <v>1000</v>
      </c>
      <c r="F386" s="207" t="s">
        <v>236</v>
      </c>
      <c r="G386" s="381"/>
      <c r="H386" s="208"/>
      <c r="I386" s="299"/>
      <c r="J386" s="218"/>
      <c r="K386" s="309">
        <v>1</v>
      </c>
      <c r="L386" s="208"/>
      <c r="M386" s="208"/>
      <c r="N386" s="295"/>
      <c r="O386" s="381"/>
      <c r="P386" s="25"/>
      <c r="Q386" s="300"/>
      <c r="R386" s="26"/>
      <c r="S386" s="27"/>
      <c r="T386" s="301"/>
      <c r="U386" s="27"/>
      <c r="V386" s="118"/>
    </row>
    <row r="387" spans="1:22" s="119" customFormat="1" ht="24.9" hidden="1" customHeight="1">
      <c r="A387" s="207">
        <v>39</v>
      </c>
      <c r="B387" s="207" t="s">
        <v>1412</v>
      </c>
      <c r="C387" s="381" t="s">
        <v>1451</v>
      </c>
      <c r="D387" s="207" t="s">
        <v>235</v>
      </c>
      <c r="E387" s="381">
        <v>2000</v>
      </c>
      <c r="F387" s="207" t="s">
        <v>236</v>
      </c>
      <c r="G387" s="381"/>
      <c r="H387" s="208"/>
      <c r="I387" s="299"/>
      <c r="J387" s="218"/>
      <c r="K387" s="309">
        <v>2</v>
      </c>
      <c r="L387" s="208"/>
      <c r="M387" s="208"/>
      <c r="N387" s="295"/>
      <c r="O387" s="381"/>
      <c r="P387" s="25"/>
      <c r="Q387" s="300"/>
      <c r="R387" s="26"/>
      <c r="S387" s="27"/>
      <c r="T387" s="301"/>
      <c r="U387" s="27"/>
      <c r="V387" s="118"/>
    </row>
    <row r="388" spans="1:22" s="119" customFormat="1" ht="24.9" hidden="1" customHeight="1">
      <c r="A388" s="207">
        <v>40</v>
      </c>
      <c r="B388" s="207" t="s">
        <v>1412</v>
      </c>
      <c r="C388" s="381" t="s">
        <v>1452</v>
      </c>
      <c r="D388" s="207" t="s">
        <v>235</v>
      </c>
      <c r="E388" s="381">
        <v>2000</v>
      </c>
      <c r="F388" s="207" t="s">
        <v>236</v>
      </c>
      <c r="G388" s="381"/>
      <c r="H388" s="208"/>
      <c r="I388" s="299"/>
      <c r="J388" s="218"/>
      <c r="K388" s="309">
        <v>2</v>
      </c>
      <c r="L388" s="208"/>
      <c r="M388" s="208"/>
      <c r="N388" s="295"/>
      <c r="O388" s="381"/>
      <c r="P388" s="25"/>
      <c r="Q388" s="300"/>
      <c r="R388" s="26"/>
      <c r="S388" s="27"/>
      <c r="T388" s="301"/>
      <c r="U388" s="27"/>
      <c r="V388" s="118"/>
    </row>
    <row r="389" spans="1:22" s="119" customFormat="1" ht="24.9" hidden="1" customHeight="1">
      <c r="A389" s="207">
        <v>41</v>
      </c>
      <c r="B389" s="207" t="s">
        <v>1412</v>
      </c>
      <c r="C389" s="381" t="s">
        <v>1453</v>
      </c>
      <c r="D389" s="207" t="s">
        <v>235</v>
      </c>
      <c r="E389" s="381">
        <v>40</v>
      </c>
      <c r="F389" s="207" t="s">
        <v>236</v>
      </c>
      <c r="G389" s="381"/>
      <c r="H389" s="208"/>
      <c r="I389" s="299"/>
      <c r="J389" s="218"/>
      <c r="K389" s="309">
        <v>0.04</v>
      </c>
      <c r="L389" s="208"/>
      <c r="M389" s="208"/>
      <c r="N389" s="295"/>
      <c r="O389" s="381"/>
      <c r="P389" s="25"/>
      <c r="Q389" s="300"/>
      <c r="R389" s="26"/>
      <c r="S389" s="27"/>
      <c r="T389" s="301"/>
      <c r="U389" s="27"/>
      <c r="V389" s="118"/>
    </row>
    <row r="390" spans="1:22" s="119" customFormat="1" ht="24.9" hidden="1" customHeight="1">
      <c r="A390" s="207">
        <v>42</v>
      </c>
      <c r="B390" s="207" t="s">
        <v>1412</v>
      </c>
      <c r="C390" s="381" t="s">
        <v>1454</v>
      </c>
      <c r="D390" s="207" t="s">
        <v>235</v>
      </c>
      <c r="E390" s="381">
        <v>140</v>
      </c>
      <c r="F390" s="207" t="s">
        <v>236</v>
      </c>
      <c r="G390" s="381"/>
      <c r="H390" s="208"/>
      <c r="I390" s="299"/>
      <c r="J390" s="218"/>
      <c r="K390" s="309">
        <v>0.14000000000000001</v>
      </c>
      <c r="L390" s="208"/>
      <c r="M390" s="208"/>
      <c r="N390" s="295"/>
      <c r="O390" s="381"/>
      <c r="P390" s="25"/>
      <c r="Q390" s="300"/>
      <c r="R390" s="26"/>
      <c r="S390" s="27"/>
      <c r="T390" s="301"/>
      <c r="U390" s="27"/>
      <c r="V390" s="118"/>
    </row>
    <row r="391" spans="1:22" s="119" customFormat="1" ht="24.9" hidden="1" customHeight="1">
      <c r="A391" s="207">
        <v>43</v>
      </c>
      <c r="B391" s="207" t="s">
        <v>1412</v>
      </c>
      <c r="C391" s="381" t="s">
        <v>1455</v>
      </c>
      <c r="D391" s="207" t="s">
        <v>235</v>
      </c>
      <c r="E391" s="381">
        <v>200</v>
      </c>
      <c r="F391" s="207" t="s">
        <v>236</v>
      </c>
      <c r="G391" s="381"/>
      <c r="H391" s="208"/>
      <c r="I391" s="299"/>
      <c r="J391" s="218"/>
      <c r="K391" s="309">
        <v>0.2</v>
      </c>
      <c r="L391" s="208"/>
      <c r="M391" s="208"/>
      <c r="N391" s="295"/>
      <c r="O391" s="381"/>
      <c r="P391" s="25"/>
      <c r="Q391" s="300"/>
      <c r="R391" s="26"/>
      <c r="S391" s="27"/>
      <c r="T391" s="301"/>
      <c r="U391" s="27"/>
      <c r="V391" s="118"/>
    </row>
    <row r="392" spans="1:22" s="119" customFormat="1" ht="24.9" hidden="1" customHeight="1">
      <c r="A392" s="207">
        <v>44</v>
      </c>
      <c r="B392" s="207" t="s">
        <v>1412</v>
      </c>
      <c r="C392" s="381" t="s">
        <v>1456</v>
      </c>
      <c r="D392" s="207" t="s">
        <v>235</v>
      </c>
      <c r="E392" s="381">
        <v>1</v>
      </c>
      <c r="F392" s="207" t="s">
        <v>236</v>
      </c>
      <c r="G392" s="381"/>
      <c r="H392" s="208"/>
      <c r="I392" s="299"/>
      <c r="J392" s="218"/>
      <c r="K392" s="309">
        <v>2</v>
      </c>
      <c r="L392" s="208"/>
      <c r="M392" s="208"/>
      <c r="N392" s="295"/>
      <c r="O392" s="381"/>
      <c r="P392" s="25"/>
      <c r="Q392" s="300"/>
      <c r="R392" s="26"/>
      <c r="S392" s="27"/>
      <c r="T392" s="301"/>
      <c r="U392" s="27"/>
      <c r="V392" s="118"/>
    </row>
    <row r="393" spans="1:22" s="119" customFormat="1" ht="24.9" hidden="1" customHeight="1">
      <c r="A393" s="207">
        <v>45</v>
      </c>
      <c r="B393" s="207" t="s">
        <v>1412</v>
      </c>
      <c r="C393" s="381" t="s">
        <v>1457</v>
      </c>
      <c r="D393" s="207" t="s">
        <v>235</v>
      </c>
      <c r="E393" s="381">
        <v>1</v>
      </c>
      <c r="F393" s="207" t="s">
        <v>236</v>
      </c>
      <c r="G393" s="381"/>
      <c r="H393" s="208"/>
      <c r="I393" s="299"/>
      <c r="J393" s="218"/>
      <c r="K393" s="309">
        <v>2</v>
      </c>
      <c r="L393" s="208"/>
      <c r="M393" s="208"/>
      <c r="N393" s="295"/>
      <c r="O393" s="381"/>
      <c r="P393" s="25"/>
      <c r="Q393" s="300"/>
      <c r="R393" s="26"/>
      <c r="S393" s="27"/>
      <c r="T393" s="301"/>
      <c r="U393" s="27"/>
      <c r="V393" s="118"/>
    </row>
    <row r="394" spans="1:22" s="119" customFormat="1" ht="24.9" hidden="1" customHeight="1">
      <c r="A394" s="207">
        <v>46</v>
      </c>
      <c r="B394" s="207" t="s">
        <v>1412</v>
      </c>
      <c r="C394" s="381" t="s">
        <v>1458</v>
      </c>
      <c r="D394" s="207" t="s">
        <v>235</v>
      </c>
      <c r="E394" s="381">
        <v>1</v>
      </c>
      <c r="F394" s="207" t="s">
        <v>236</v>
      </c>
      <c r="G394" s="381"/>
      <c r="H394" s="208"/>
      <c r="I394" s="299"/>
      <c r="J394" s="218"/>
      <c r="K394" s="309">
        <v>2</v>
      </c>
      <c r="L394" s="208"/>
      <c r="M394" s="208"/>
      <c r="N394" s="295"/>
      <c r="O394" s="381"/>
      <c r="P394" s="25"/>
      <c r="Q394" s="300"/>
      <c r="R394" s="26"/>
      <c r="S394" s="27"/>
      <c r="T394" s="301"/>
      <c r="U394" s="27"/>
      <c r="V394" s="118"/>
    </row>
    <row r="395" spans="1:22" s="119" customFormat="1" ht="24.9" hidden="1" customHeight="1">
      <c r="A395" s="207">
        <v>47</v>
      </c>
      <c r="B395" s="207" t="s">
        <v>1412</v>
      </c>
      <c r="C395" s="381" t="s">
        <v>1459</v>
      </c>
      <c r="D395" s="207" t="s">
        <v>235</v>
      </c>
      <c r="E395" s="381">
        <v>1</v>
      </c>
      <c r="F395" s="207" t="s">
        <v>236</v>
      </c>
      <c r="G395" s="381"/>
      <c r="H395" s="208"/>
      <c r="I395" s="299"/>
      <c r="J395" s="218"/>
      <c r="K395" s="309">
        <v>2</v>
      </c>
      <c r="L395" s="208"/>
      <c r="M395" s="208"/>
      <c r="N395" s="295"/>
      <c r="O395" s="381"/>
      <c r="P395" s="25"/>
      <c r="Q395" s="300"/>
      <c r="R395" s="26"/>
      <c r="S395" s="27"/>
      <c r="T395" s="301"/>
      <c r="U395" s="27"/>
      <c r="V395" s="118"/>
    </row>
    <row r="396" spans="1:22" s="119" customFormat="1" ht="24.9" hidden="1" customHeight="1">
      <c r="A396" s="207">
        <v>48</v>
      </c>
      <c r="B396" s="207" t="s">
        <v>1412</v>
      </c>
      <c r="C396" s="381" t="s">
        <v>1460</v>
      </c>
      <c r="D396" s="207" t="s">
        <v>235</v>
      </c>
      <c r="E396" s="381">
        <v>1</v>
      </c>
      <c r="F396" s="207" t="s">
        <v>236</v>
      </c>
      <c r="G396" s="381"/>
      <c r="H396" s="208"/>
      <c r="I396" s="299"/>
      <c r="J396" s="218"/>
      <c r="K396" s="309">
        <v>2</v>
      </c>
      <c r="L396" s="208"/>
      <c r="M396" s="208"/>
      <c r="N396" s="295"/>
      <c r="O396" s="381"/>
      <c r="P396" s="25"/>
      <c r="Q396" s="300"/>
      <c r="R396" s="26"/>
      <c r="S396" s="27"/>
      <c r="T396" s="301"/>
      <c r="U396" s="27"/>
      <c r="V396" s="118"/>
    </row>
    <row r="397" spans="1:22" s="119" customFormat="1" ht="24.9" hidden="1" customHeight="1">
      <c r="A397" s="207">
        <v>49</v>
      </c>
      <c r="B397" s="207" t="s">
        <v>1412</v>
      </c>
      <c r="C397" s="381" t="s">
        <v>1461</v>
      </c>
      <c r="D397" s="207" t="s">
        <v>235</v>
      </c>
      <c r="E397" s="381">
        <v>1</v>
      </c>
      <c r="F397" s="207" t="s">
        <v>236</v>
      </c>
      <c r="G397" s="381"/>
      <c r="H397" s="208"/>
      <c r="I397" s="299"/>
      <c r="J397" s="218"/>
      <c r="K397" s="309">
        <v>2</v>
      </c>
      <c r="L397" s="208"/>
      <c r="M397" s="208"/>
      <c r="N397" s="295"/>
      <c r="O397" s="381"/>
      <c r="P397" s="25"/>
      <c r="Q397" s="300"/>
      <c r="R397" s="26"/>
      <c r="S397" s="27"/>
      <c r="T397" s="301"/>
      <c r="U397" s="27"/>
      <c r="V397" s="118"/>
    </row>
    <row r="398" spans="1:22" s="119" customFormat="1" ht="24.9" hidden="1" customHeight="1">
      <c r="A398" s="207">
        <v>50</v>
      </c>
      <c r="B398" s="207" t="s">
        <v>1412</v>
      </c>
      <c r="C398" s="381" t="s">
        <v>1462</v>
      </c>
      <c r="D398" s="207" t="s">
        <v>235</v>
      </c>
      <c r="E398" s="381">
        <v>1</v>
      </c>
      <c r="F398" s="207" t="s">
        <v>236</v>
      </c>
      <c r="G398" s="381"/>
      <c r="H398" s="208"/>
      <c r="I398" s="299"/>
      <c r="J398" s="218"/>
      <c r="K398" s="309">
        <v>2</v>
      </c>
      <c r="L398" s="208"/>
      <c r="M398" s="208"/>
      <c r="N398" s="295"/>
      <c r="O398" s="381"/>
      <c r="P398" s="25"/>
      <c r="Q398" s="300"/>
      <c r="R398" s="26"/>
      <c r="S398" s="27"/>
      <c r="T398" s="301"/>
      <c r="U398" s="27"/>
      <c r="V398" s="118"/>
    </row>
    <row r="399" spans="1:22" s="119" customFormat="1" ht="24.9" hidden="1" customHeight="1">
      <c r="A399" s="207">
        <v>51</v>
      </c>
      <c r="B399" s="207" t="s">
        <v>1412</v>
      </c>
      <c r="C399" s="381" t="s">
        <v>1463</v>
      </c>
      <c r="D399" s="207" t="s">
        <v>235</v>
      </c>
      <c r="E399" s="381">
        <v>1</v>
      </c>
      <c r="F399" s="207" t="s">
        <v>236</v>
      </c>
      <c r="G399" s="381"/>
      <c r="H399" s="208"/>
      <c r="I399" s="299"/>
      <c r="J399" s="218"/>
      <c r="K399" s="309">
        <v>2</v>
      </c>
      <c r="L399" s="208"/>
      <c r="M399" s="208"/>
      <c r="N399" s="295"/>
      <c r="O399" s="381"/>
      <c r="P399" s="25"/>
      <c r="Q399" s="300"/>
      <c r="R399" s="26"/>
      <c r="S399" s="27"/>
      <c r="T399" s="301"/>
      <c r="U399" s="27"/>
      <c r="V399" s="118"/>
    </row>
    <row r="400" spans="1:22" s="119" customFormat="1" ht="24.9" hidden="1" customHeight="1">
      <c r="A400" s="207">
        <v>52</v>
      </c>
      <c r="B400" s="207" t="s">
        <v>1412</v>
      </c>
      <c r="C400" s="381" t="s">
        <v>1464</v>
      </c>
      <c r="D400" s="207" t="s">
        <v>235</v>
      </c>
      <c r="E400" s="381">
        <v>1</v>
      </c>
      <c r="F400" s="207" t="s">
        <v>236</v>
      </c>
      <c r="G400" s="381"/>
      <c r="H400" s="208"/>
      <c r="I400" s="299"/>
      <c r="J400" s="218"/>
      <c r="K400" s="309">
        <v>2</v>
      </c>
      <c r="L400" s="208"/>
      <c r="M400" s="208"/>
      <c r="N400" s="295"/>
      <c r="O400" s="381"/>
      <c r="P400" s="25"/>
      <c r="Q400" s="300"/>
      <c r="R400" s="26"/>
      <c r="S400" s="27"/>
      <c r="T400" s="301"/>
      <c r="U400" s="27"/>
      <c r="V400" s="118"/>
    </row>
    <row r="401" spans="1:22" s="119" customFormat="1" ht="24.9" customHeight="1">
      <c r="A401" s="207">
        <v>53</v>
      </c>
      <c r="B401" s="207" t="s">
        <v>1412</v>
      </c>
      <c r="C401" s="381" t="s">
        <v>1465</v>
      </c>
      <c r="D401" s="207" t="s">
        <v>235</v>
      </c>
      <c r="E401" s="381">
        <v>240</v>
      </c>
      <c r="F401" s="207" t="s">
        <v>236</v>
      </c>
      <c r="G401" s="381"/>
      <c r="H401" s="208"/>
      <c r="I401" s="299"/>
      <c r="J401" s="218"/>
      <c r="K401" s="309">
        <v>0.24</v>
      </c>
      <c r="L401" s="208"/>
      <c r="M401" s="208"/>
      <c r="N401" s="295"/>
      <c r="O401" s="381"/>
      <c r="P401" s="25"/>
      <c r="Q401" s="300"/>
      <c r="R401" s="26"/>
      <c r="S401" s="27"/>
      <c r="T401" s="301"/>
      <c r="U401" s="27"/>
      <c r="V401" s="118"/>
    </row>
    <row r="402" spans="1:22" s="119" customFormat="1" ht="24.9" customHeight="1">
      <c r="A402" s="207">
        <v>54</v>
      </c>
      <c r="B402" s="207" t="s">
        <v>1412</v>
      </c>
      <c r="C402" s="381" t="s">
        <v>1466</v>
      </c>
      <c r="D402" s="207" t="s">
        <v>235</v>
      </c>
      <c r="E402" s="381">
        <v>500</v>
      </c>
      <c r="F402" s="207" t="s">
        <v>236</v>
      </c>
      <c r="G402" s="381"/>
      <c r="H402" s="208"/>
      <c r="I402" s="299"/>
      <c r="J402" s="218"/>
      <c r="K402" s="309">
        <v>0.5</v>
      </c>
      <c r="L402" s="208"/>
      <c r="M402" s="208"/>
      <c r="N402" s="295"/>
      <c r="O402" s="381"/>
      <c r="P402" s="25"/>
      <c r="Q402" s="300"/>
      <c r="R402" s="26"/>
      <c r="S402" s="27"/>
      <c r="T402" s="301"/>
      <c r="U402" s="27"/>
      <c r="V402" s="118"/>
    </row>
    <row r="403" spans="1:22" s="119" customFormat="1" ht="24.9" customHeight="1">
      <c r="A403" s="207">
        <v>55</v>
      </c>
      <c r="B403" s="207" t="s">
        <v>1412</v>
      </c>
      <c r="C403" s="381" t="s">
        <v>1467</v>
      </c>
      <c r="D403" s="207" t="s">
        <v>235</v>
      </c>
      <c r="E403" s="381">
        <v>200</v>
      </c>
      <c r="F403" s="207" t="s">
        <v>236</v>
      </c>
      <c r="G403" s="381"/>
      <c r="H403" s="208"/>
      <c r="I403" s="299"/>
      <c r="J403" s="218"/>
      <c r="K403" s="309">
        <v>0.2</v>
      </c>
      <c r="L403" s="208"/>
      <c r="M403" s="208"/>
      <c r="N403" s="295"/>
      <c r="O403" s="381"/>
      <c r="P403" s="25"/>
      <c r="Q403" s="300"/>
      <c r="R403" s="26"/>
      <c r="S403" s="27"/>
      <c r="T403" s="301"/>
      <c r="U403" s="27"/>
      <c r="V403" s="118"/>
    </row>
    <row r="404" spans="1:22" s="119" customFormat="1" ht="24.9" customHeight="1">
      <c r="A404" s="207">
        <v>56</v>
      </c>
      <c r="B404" s="207" t="s">
        <v>1412</v>
      </c>
      <c r="C404" s="381" t="s">
        <v>1468</v>
      </c>
      <c r="D404" s="207" t="s">
        <v>235</v>
      </c>
      <c r="E404" s="381">
        <v>200</v>
      </c>
      <c r="F404" s="207" t="s">
        <v>236</v>
      </c>
      <c r="G404" s="381"/>
      <c r="H404" s="208"/>
      <c r="I404" s="299"/>
      <c r="J404" s="218"/>
      <c r="K404" s="309">
        <v>0.2</v>
      </c>
      <c r="L404" s="208"/>
      <c r="M404" s="208"/>
      <c r="N404" s="295"/>
      <c r="O404" s="381"/>
      <c r="P404" s="25"/>
      <c r="Q404" s="300"/>
      <c r="R404" s="26"/>
      <c r="S404" s="27"/>
      <c r="T404" s="301"/>
      <c r="U404" s="27"/>
      <c r="V404" s="118"/>
    </row>
    <row r="405" spans="1:22" s="119" customFormat="1" ht="24.9" customHeight="1">
      <c r="A405" s="207">
        <v>57</v>
      </c>
      <c r="B405" s="207" t="s">
        <v>1412</v>
      </c>
      <c r="C405" s="381" t="s">
        <v>1469</v>
      </c>
      <c r="D405" s="207" t="s">
        <v>235</v>
      </c>
      <c r="E405" s="381">
        <v>100</v>
      </c>
      <c r="F405" s="207" t="s">
        <v>236</v>
      </c>
      <c r="G405" s="381"/>
      <c r="H405" s="208"/>
      <c r="I405" s="299"/>
      <c r="J405" s="218"/>
      <c r="K405" s="309">
        <v>0.1</v>
      </c>
      <c r="L405" s="208"/>
      <c r="M405" s="208"/>
      <c r="N405" s="295"/>
      <c r="O405" s="381"/>
      <c r="P405" s="25"/>
      <c r="Q405" s="300"/>
      <c r="R405" s="26"/>
      <c r="S405" s="27"/>
      <c r="T405" s="301"/>
      <c r="U405" s="27"/>
      <c r="V405" s="118"/>
    </row>
    <row r="406" spans="1:22" s="119" customFormat="1" ht="24.9" customHeight="1">
      <c r="A406" s="207">
        <v>58</v>
      </c>
      <c r="B406" s="207" t="s">
        <v>1412</v>
      </c>
      <c r="C406" s="381" t="s">
        <v>1470</v>
      </c>
      <c r="D406" s="207" t="s">
        <v>235</v>
      </c>
      <c r="E406" s="381">
        <v>100</v>
      </c>
      <c r="F406" s="207" t="s">
        <v>236</v>
      </c>
      <c r="G406" s="381"/>
      <c r="H406" s="208"/>
      <c r="I406" s="299"/>
      <c r="J406" s="218"/>
      <c r="K406" s="309">
        <v>0.1</v>
      </c>
      <c r="L406" s="208"/>
      <c r="M406" s="208"/>
      <c r="N406" s="295"/>
      <c r="O406" s="381"/>
      <c r="P406" s="25"/>
      <c r="Q406" s="300"/>
      <c r="R406" s="26"/>
      <c r="S406" s="27"/>
      <c r="T406" s="301"/>
      <c r="U406" s="27"/>
      <c r="V406" s="118"/>
    </row>
    <row r="407" spans="1:22" s="119" customFormat="1" ht="24.9" customHeight="1">
      <c r="A407" s="207">
        <v>59</v>
      </c>
      <c r="B407" s="207" t="s">
        <v>1412</v>
      </c>
      <c r="C407" s="381" t="s">
        <v>1471</v>
      </c>
      <c r="D407" s="207" t="s">
        <v>235</v>
      </c>
      <c r="E407" s="381">
        <v>100</v>
      </c>
      <c r="F407" s="207" t="s">
        <v>236</v>
      </c>
      <c r="G407" s="381"/>
      <c r="H407" s="208"/>
      <c r="I407" s="299"/>
      <c r="J407" s="218"/>
      <c r="K407" s="309">
        <v>0.1</v>
      </c>
      <c r="L407" s="208"/>
      <c r="M407" s="208"/>
      <c r="N407" s="295"/>
      <c r="O407" s="381"/>
      <c r="P407" s="25"/>
      <c r="Q407" s="300"/>
      <c r="R407" s="26"/>
      <c r="S407" s="27"/>
      <c r="T407" s="301"/>
      <c r="U407" s="27"/>
      <c r="V407" s="118"/>
    </row>
    <row r="408" spans="1:22" s="119" customFormat="1" ht="24.9" customHeight="1">
      <c r="A408" s="207">
        <v>60</v>
      </c>
      <c r="B408" s="207" t="s">
        <v>1412</v>
      </c>
      <c r="C408" s="381" t="s">
        <v>1472</v>
      </c>
      <c r="D408" s="207" t="s">
        <v>235</v>
      </c>
      <c r="E408" s="381">
        <v>500</v>
      </c>
      <c r="F408" s="207" t="s">
        <v>236</v>
      </c>
      <c r="G408" s="381"/>
      <c r="H408" s="208"/>
      <c r="I408" s="299"/>
      <c r="J408" s="218"/>
      <c r="K408" s="309">
        <v>0.5</v>
      </c>
      <c r="L408" s="208"/>
      <c r="M408" s="208"/>
      <c r="N408" s="295"/>
      <c r="O408" s="381"/>
      <c r="P408" s="25"/>
      <c r="Q408" s="300"/>
      <c r="R408" s="26"/>
      <c r="S408" s="27"/>
      <c r="T408" s="301"/>
      <c r="U408" s="27"/>
      <c r="V408" s="118"/>
    </row>
    <row r="409" spans="1:22" s="119" customFormat="1" ht="24.9" customHeight="1">
      <c r="A409" s="207">
        <v>61</v>
      </c>
      <c r="B409" s="207" t="s">
        <v>1412</v>
      </c>
      <c r="C409" s="381" t="s">
        <v>1473</v>
      </c>
      <c r="D409" s="207" t="s">
        <v>235</v>
      </c>
      <c r="E409" s="381">
        <v>100</v>
      </c>
      <c r="F409" s="207" t="s">
        <v>236</v>
      </c>
      <c r="G409" s="381"/>
      <c r="H409" s="208"/>
      <c r="I409" s="299"/>
      <c r="J409" s="218"/>
      <c r="K409" s="309">
        <v>0.1</v>
      </c>
      <c r="L409" s="208"/>
      <c r="M409" s="208"/>
      <c r="N409" s="295"/>
      <c r="O409" s="381"/>
      <c r="P409" s="25"/>
      <c r="Q409" s="300"/>
      <c r="R409" s="26"/>
      <c r="S409" s="27"/>
      <c r="T409" s="301"/>
      <c r="U409" s="27"/>
      <c r="V409" s="118"/>
    </row>
    <row r="410" spans="1:22" s="119" customFormat="1" ht="24.9" customHeight="1">
      <c r="A410" s="207">
        <v>62</v>
      </c>
      <c r="B410" s="207" t="s">
        <v>1412</v>
      </c>
      <c r="C410" s="381" t="s">
        <v>1474</v>
      </c>
      <c r="D410" s="207" t="s">
        <v>235</v>
      </c>
      <c r="E410" s="381">
        <v>100</v>
      </c>
      <c r="F410" s="207" t="s">
        <v>236</v>
      </c>
      <c r="G410" s="381"/>
      <c r="H410" s="208"/>
      <c r="I410" s="299"/>
      <c r="J410" s="218"/>
      <c r="K410" s="309">
        <v>0.1</v>
      </c>
      <c r="L410" s="208"/>
      <c r="M410" s="208"/>
      <c r="N410" s="295"/>
      <c r="O410" s="381"/>
      <c r="P410" s="25"/>
      <c r="Q410" s="300"/>
      <c r="R410" s="26"/>
      <c r="S410" s="27"/>
      <c r="T410" s="301"/>
      <c r="U410" s="27"/>
      <c r="V410" s="118"/>
    </row>
    <row r="411" spans="1:22" s="119" customFormat="1" ht="24.9" customHeight="1">
      <c r="A411" s="207">
        <v>63</v>
      </c>
      <c r="B411" s="207" t="s">
        <v>1412</v>
      </c>
      <c r="C411" s="381" t="s">
        <v>1475</v>
      </c>
      <c r="D411" s="207" t="s">
        <v>235</v>
      </c>
      <c r="E411" s="381">
        <v>100</v>
      </c>
      <c r="F411" s="207" t="s">
        <v>236</v>
      </c>
      <c r="G411" s="381"/>
      <c r="H411" s="208"/>
      <c r="I411" s="299"/>
      <c r="J411" s="218"/>
      <c r="K411" s="309">
        <v>0.1</v>
      </c>
      <c r="L411" s="208"/>
      <c r="M411" s="208"/>
      <c r="N411" s="295"/>
      <c r="O411" s="381"/>
      <c r="P411" s="25"/>
      <c r="Q411" s="300"/>
      <c r="R411" s="26"/>
      <c r="S411" s="27"/>
      <c r="T411" s="301"/>
      <c r="U411" s="27"/>
      <c r="V411" s="118"/>
    </row>
    <row r="412" spans="1:22" s="119" customFormat="1" ht="24.9" customHeight="1">
      <c r="A412" s="207">
        <v>64</v>
      </c>
      <c r="B412" s="207" t="s">
        <v>1412</v>
      </c>
      <c r="C412" s="381" t="s">
        <v>1476</v>
      </c>
      <c r="D412" s="207" t="s">
        <v>235</v>
      </c>
      <c r="E412" s="381">
        <v>300</v>
      </c>
      <c r="F412" s="207" t="s">
        <v>236</v>
      </c>
      <c r="G412" s="381"/>
      <c r="H412" s="208"/>
      <c r="I412" s="299"/>
      <c r="J412" s="218"/>
      <c r="K412" s="309">
        <v>0.3</v>
      </c>
      <c r="L412" s="208"/>
      <c r="M412" s="208"/>
      <c r="N412" s="295"/>
      <c r="O412" s="381"/>
      <c r="P412" s="25"/>
      <c r="Q412" s="300"/>
      <c r="R412" s="26"/>
      <c r="S412" s="27"/>
      <c r="T412" s="301"/>
      <c r="U412" s="27"/>
      <c r="V412" s="118"/>
    </row>
    <row r="413" spans="1:22" s="119" customFormat="1" ht="24.9" customHeight="1">
      <c r="A413" s="207">
        <v>65</v>
      </c>
      <c r="B413" s="207" t="s">
        <v>1412</v>
      </c>
      <c r="C413" s="381" t="s">
        <v>1477</v>
      </c>
      <c r="D413" s="207" t="s">
        <v>235</v>
      </c>
      <c r="E413" s="381">
        <v>100</v>
      </c>
      <c r="F413" s="207" t="s">
        <v>236</v>
      </c>
      <c r="G413" s="381"/>
      <c r="H413" s="208"/>
      <c r="I413" s="299"/>
      <c r="J413" s="218"/>
      <c r="K413" s="309">
        <v>0.1</v>
      </c>
      <c r="L413" s="208"/>
      <c r="M413" s="208"/>
      <c r="N413" s="295"/>
      <c r="O413" s="381"/>
      <c r="P413" s="25"/>
      <c r="Q413" s="300"/>
      <c r="R413" s="26"/>
      <c r="S413" s="27"/>
      <c r="T413" s="301"/>
      <c r="U413" s="27"/>
      <c r="V413" s="118"/>
    </row>
    <row r="414" spans="1:22" s="119" customFormat="1" ht="24.9" customHeight="1">
      <c r="A414" s="207">
        <v>66</v>
      </c>
      <c r="B414" s="207" t="s">
        <v>1412</v>
      </c>
      <c r="C414" s="381" t="s">
        <v>1478</v>
      </c>
      <c r="D414" s="207" t="s">
        <v>235</v>
      </c>
      <c r="E414" s="381">
        <v>100</v>
      </c>
      <c r="F414" s="207" t="s">
        <v>236</v>
      </c>
      <c r="G414" s="381"/>
      <c r="H414" s="208"/>
      <c r="I414" s="299"/>
      <c r="J414" s="218"/>
      <c r="K414" s="309">
        <v>0.1</v>
      </c>
      <c r="L414" s="208"/>
      <c r="M414" s="208"/>
      <c r="N414" s="295"/>
      <c r="O414" s="381"/>
      <c r="P414" s="25"/>
      <c r="Q414" s="300"/>
      <c r="R414" s="26"/>
      <c r="S414" s="27"/>
      <c r="T414" s="301"/>
      <c r="U414" s="27"/>
      <c r="V414" s="118"/>
    </row>
    <row r="415" spans="1:22" s="119" customFormat="1" ht="24.9" customHeight="1">
      <c r="A415" s="207">
        <v>67</v>
      </c>
      <c r="B415" s="207" t="s">
        <v>1412</v>
      </c>
      <c r="C415" s="381" t="s">
        <v>1479</v>
      </c>
      <c r="D415" s="207" t="s">
        <v>235</v>
      </c>
      <c r="E415" s="381">
        <v>100</v>
      </c>
      <c r="F415" s="207" t="s">
        <v>236</v>
      </c>
      <c r="G415" s="381"/>
      <c r="H415" s="208"/>
      <c r="I415" s="299"/>
      <c r="J415" s="218"/>
      <c r="K415" s="309">
        <v>0.1</v>
      </c>
      <c r="L415" s="208"/>
      <c r="M415" s="208"/>
      <c r="N415" s="295"/>
      <c r="O415" s="381"/>
      <c r="P415" s="25"/>
      <c r="Q415" s="300"/>
      <c r="R415" s="26"/>
      <c r="S415" s="27"/>
      <c r="T415" s="301"/>
      <c r="U415" s="27"/>
      <c r="V415" s="118"/>
    </row>
    <row r="416" spans="1:22" s="119" customFormat="1" ht="24.9" customHeight="1">
      <c r="A416" s="207">
        <v>68</v>
      </c>
      <c r="B416" s="207" t="s">
        <v>1412</v>
      </c>
      <c r="C416" s="381" t="s">
        <v>1480</v>
      </c>
      <c r="D416" s="207" t="s">
        <v>235</v>
      </c>
      <c r="E416" s="381">
        <v>100</v>
      </c>
      <c r="F416" s="207" t="s">
        <v>236</v>
      </c>
      <c r="G416" s="381"/>
      <c r="H416" s="208"/>
      <c r="I416" s="299"/>
      <c r="J416" s="218"/>
      <c r="K416" s="309">
        <v>0.1</v>
      </c>
      <c r="L416" s="208"/>
      <c r="M416" s="208"/>
      <c r="N416" s="295"/>
      <c r="O416" s="381"/>
      <c r="P416" s="25"/>
      <c r="Q416" s="300"/>
      <c r="R416" s="26"/>
      <c r="S416" s="27"/>
      <c r="T416" s="301"/>
      <c r="U416" s="27"/>
      <c r="V416" s="118"/>
    </row>
    <row r="417" spans="1:22" s="119" customFormat="1" ht="24.9" customHeight="1">
      <c r="A417" s="207">
        <v>69</v>
      </c>
      <c r="B417" s="207" t="s">
        <v>1412</v>
      </c>
      <c r="C417" s="381" t="s">
        <v>1481</v>
      </c>
      <c r="D417" s="207" t="s">
        <v>235</v>
      </c>
      <c r="E417" s="381">
        <v>100</v>
      </c>
      <c r="F417" s="207" t="s">
        <v>236</v>
      </c>
      <c r="G417" s="381"/>
      <c r="H417" s="208"/>
      <c r="I417" s="299"/>
      <c r="J417" s="218"/>
      <c r="K417" s="309">
        <v>0.1</v>
      </c>
      <c r="L417" s="208"/>
      <c r="M417" s="208"/>
      <c r="N417" s="295"/>
      <c r="O417" s="381"/>
      <c r="P417" s="25"/>
      <c r="Q417" s="300"/>
      <c r="R417" s="26"/>
      <c r="S417" s="27"/>
      <c r="T417" s="301"/>
      <c r="U417" s="27"/>
      <c r="V417" s="118"/>
    </row>
    <row r="418" spans="1:22" s="119" customFormat="1" ht="24.9" customHeight="1">
      <c r="A418" s="207">
        <v>70</v>
      </c>
      <c r="B418" s="207" t="s">
        <v>1412</v>
      </c>
      <c r="C418" s="381" t="s">
        <v>1482</v>
      </c>
      <c r="D418" s="207" t="s">
        <v>235</v>
      </c>
      <c r="E418" s="381">
        <v>100</v>
      </c>
      <c r="F418" s="207" t="s">
        <v>236</v>
      </c>
      <c r="G418" s="381"/>
      <c r="H418" s="208"/>
      <c r="I418" s="299"/>
      <c r="J418" s="218"/>
      <c r="K418" s="309">
        <v>0.1</v>
      </c>
      <c r="L418" s="208"/>
      <c r="M418" s="208"/>
      <c r="N418" s="295"/>
      <c r="O418" s="381"/>
      <c r="P418" s="25"/>
      <c r="Q418" s="300"/>
      <c r="R418" s="26"/>
      <c r="S418" s="27"/>
      <c r="T418" s="301"/>
      <c r="U418" s="27"/>
      <c r="V418" s="118"/>
    </row>
    <row r="419" spans="1:22" s="119" customFormat="1" ht="24.9" customHeight="1">
      <c r="A419" s="207">
        <v>71</v>
      </c>
      <c r="B419" s="207" t="s">
        <v>1412</v>
      </c>
      <c r="C419" s="381" t="s">
        <v>1483</v>
      </c>
      <c r="D419" s="207" t="s">
        <v>235</v>
      </c>
      <c r="E419" s="381">
        <v>100</v>
      </c>
      <c r="F419" s="207" t="s">
        <v>236</v>
      </c>
      <c r="G419" s="381"/>
      <c r="H419" s="208"/>
      <c r="I419" s="299"/>
      <c r="J419" s="218"/>
      <c r="K419" s="309">
        <v>0.1</v>
      </c>
      <c r="L419" s="208"/>
      <c r="M419" s="208"/>
      <c r="N419" s="295"/>
      <c r="O419" s="381"/>
      <c r="P419" s="25"/>
      <c r="Q419" s="300"/>
      <c r="R419" s="26"/>
      <c r="S419" s="27"/>
      <c r="T419" s="301"/>
      <c r="U419" s="27"/>
      <c r="V419" s="118"/>
    </row>
    <row r="420" spans="1:22" s="119" customFormat="1" ht="24.9" customHeight="1">
      <c r="A420" s="207">
        <v>72</v>
      </c>
      <c r="B420" s="207" t="s">
        <v>1412</v>
      </c>
      <c r="C420" s="381" t="s">
        <v>1484</v>
      </c>
      <c r="D420" s="207" t="s">
        <v>235</v>
      </c>
      <c r="E420" s="381">
        <v>200</v>
      </c>
      <c r="F420" s="207" t="s">
        <v>236</v>
      </c>
      <c r="G420" s="381"/>
      <c r="H420" s="208"/>
      <c r="I420" s="299"/>
      <c r="J420" s="218"/>
      <c r="K420" s="309">
        <v>0.2</v>
      </c>
      <c r="L420" s="208"/>
      <c r="M420" s="208"/>
      <c r="N420" s="295"/>
      <c r="O420" s="381"/>
      <c r="P420" s="25"/>
      <c r="Q420" s="300"/>
      <c r="R420" s="26"/>
      <c r="S420" s="27"/>
      <c r="T420" s="301"/>
      <c r="U420" s="27"/>
      <c r="V420" s="118"/>
    </row>
    <row r="421" spans="1:22" s="119" customFormat="1" ht="24.9" customHeight="1">
      <c r="A421" s="207">
        <v>73</v>
      </c>
      <c r="B421" s="207" t="s">
        <v>1412</v>
      </c>
      <c r="C421" s="381" t="s">
        <v>1485</v>
      </c>
      <c r="D421" s="207" t="s">
        <v>235</v>
      </c>
      <c r="E421" s="381">
        <v>100</v>
      </c>
      <c r="F421" s="207" t="s">
        <v>236</v>
      </c>
      <c r="G421" s="381"/>
      <c r="H421" s="208"/>
      <c r="I421" s="299"/>
      <c r="J421" s="218"/>
      <c r="K421" s="309">
        <v>0.1</v>
      </c>
      <c r="L421" s="208"/>
      <c r="M421" s="208"/>
      <c r="N421" s="295"/>
      <c r="O421" s="381"/>
      <c r="P421" s="25"/>
      <c r="Q421" s="300"/>
      <c r="R421" s="26"/>
      <c r="S421" s="27"/>
      <c r="T421" s="301"/>
      <c r="U421" s="27"/>
      <c r="V421" s="118"/>
    </row>
    <row r="422" spans="1:22" s="119" customFormat="1" ht="24.9" customHeight="1">
      <c r="A422" s="207">
        <v>74</v>
      </c>
      <c r="B422" s="207" t="s">
        <v>1412</v>
      </c>
      <c r="C422" s="381" t="s">
        <v>1486</v>
      </c>
      <c r="D422" s="207" t="s">
        <v>235</v>
      </c>
      <c r="E422" s="381">
        <v>100</v>
      </c>
      <c r="F422" s="207" t="s">
        <v>236</v>
      </c>
      <c r="G422" s="381"/>
      <c r="H422" s="208"/>
      <c r="I422" s="299"/>
      <c r="J422" s="218"/>
      <c r="K422" s="309">
        <v>0.1</v>
      </c>
      <c r="L422" s="208"/>
      <c r="M422" s="208"/>
      <c r="N422" s="295"/>
      <c r="O422" s="381"/>
      <c r="P422" s="25"/>
      <c r="Q422" s="300"/>
      <c r="R422" s="26"/>
      <c r="S422" s="27"/>
      <c r="T422" s="301"/>
      <c r="U422" s="27"/>
      <c r="V422" s="118"/>
    </row>
    <row r="423" spans="1:22" s="119" customFormat="1" ht="24.9" customHeight="1">
      <c r="A423" s="207">
        <v>75</v>
      </c>
      <c r="B423" s="207" t="s">
        <v>1412</v>
      </c>
      <c r="C423" s="381" t="s">
        <v>1487</v>
      </c>
      <c r="D423" s="207" t="s">
        <v>235</v>
      </c>
      <c r="E423" s="381">
        <v>100</v>
      </c>
      <c r="F423" s="207" t="s">
        <v>236</v>
      </c>
      <c r="G423" s="381"/>
      <c r="H423" s="208"/>
      <c r="I423" s="299"/>
      <c r="J423" s="218"/>
      <c r="K423" s="309">
        <v>0.1</v>
      </c>
      <c r="L423" s="208"/>
      <c r="M423" s="208"/>
      <c r="N423" s="295"/>
      <c r="O423" s="381"/>
      <c r="P423" s="25"/>
      <c r="Q423" s="300"/>
      <c r="R423" s="26"/>
      <c r="S423" s="27"/>
      <c r="T423" s="301"/>
      <c r="U423" s="27"/>
      <c r="V423" s="118"/>
    </row>
    <row r="424" spans="1:22" s="119" customFormat="1" ht="24.9" customHeight="1">
      <c r="A424" s="207">
        <v>76</v>
      </c>
      <c r="B424" s="207" t="s">
        <v>1412</v>
      </c>
      <c r="C424" s="381" t="s">
        <v>1488</v>
      </c>
      <c r="D424" s="207" t="s">
        <v>235</v>
      </c>
      <c r="E424" s="381">
        <v>500</v>
      </c>
      <c r="F424" s="207" t="s">
        <v>236</v>
      </c>
      <c r="G424" s="381"/>
      <c r="H424" s="208"/>
      <c r="I424" s="299"/>
      <c r="J424" s="218"/>
      <c r="K424" s="309">
        <v>0.5</v>
      </c>
      <c r="L424" s="208"/>
      <c r="M424" s="208"/>
      <c r="N424" s="295"/>
      <c r="O424" s="381"/>
      <c r="P424" s="25"/>
      <c r="Q424" s="300"/>
      <c r="R424" s="26"/>
      <c r="S424" s="27"/>
      <c r="T424" s="301"/>
      <c r="U424" s="27"/>
      <c r="V424" s="118"/>
    </row>
    <row r="425" spans="1:22" s="119" customFormat="1" ht="24.9" hidden="1" customHeight="1">
      <c r="A425" s="207">
        <v>77</v>
      </c>
      <c r="B425" s="207" t="s">
        <v>1412</v>
      </c>
      <c r="C425" s="381" t="s">
        <v>1489</v>
      </c>
      <c r="D425" s="207" t="s">
        <v>235</v>
      </c>
      <c r="E425" s="381">
        <v>90</v>
      </c>
      <c r="F425" s="207" t="s">
        <v>236</v>
      </c>
      <c r="G425" s="381"/>
      <c r="H425" s="208"/>
      <c r="I425" s="299"/>
      <c r="J425" s="218"/>
      <c r="K425" s="309">
        <v>90</v>
      </c>
      <c r="L425" s="208"/>
      <c r="M425" s="208"/>
      <c r="N425" s="295"/>
      <c r="O425" s="381"/>
      <c r="P425" s="25"/>
      <c r="Q425" s="300"/>
      <c r="R425" s="26"/>
      <c r="S425" s="27"/>
      <c r="T425" s="301"/>
      <c r="U425" s="27"/>
      <c r="V425" s="118"/>
    </row>
    <row r="426" spans="1:22" s="119" customFormat="1" ht="24.9" hidden="1" customHeight="1">
      <c r="A426" s="207">
        <v>78</v>
      </c>
      <c r="B426" s="207" t="s">
        <v>1412</v>
      </c>
      <c r="C426" s="381" t="s">
        <v>1490</v>
      </c>
      <c r="D426" s="207" t="s">
        <v>235</v>
      </c>
      <c r="E426" s="381">
        <v>30</v>
      </c>
      <c r="F426" s="207" t="s">
        <v>236</v>
      </c>
      <c r="G426" s="381"/>
      <c r="H426" s="208"/>
      <c r="I426" s="299"/>
      <c r="J426" s="218"/>
      <c r="K426" s="309">
        <v>30</v>
      </c>
      <c r="L426" s="208"/>
      <c r="M426" s="208"/>
      <c r="N426" s="295"/>
      <c r="O426" s="381"/>
      <c r="P426" s="25"/>
      <c r="Q426" s="300"/>
      <c r="R426" s="26"/>
      <c r="S426" s="27"/>
      <c r="T426" s="301"/>
      <c r="U426" s="27"/>
      <c r="V426" s="118"/>
    </row>
    <row r="427" spans="1:22" s="119" customFormat="1" ht="24.9" hidden="1" customHeight="1">
      <c r="A427" s="207">
        <v>79</v>
      </c>
      <c r="B427" s="207" t="s">
        <v>1412</v>
      </c>
      <c r="C427" s="381" t="s">
        <v>1491</v>
      </c>
      <c r="D427" s="207" t="s">
        <v>235</v>
      </c>
      <c r="E427" s="381">
        <v>50</v>
      </c>
      <c r="F427" s="207" t="s">
        <v>236</v>
      </c>
      <c r="G427" s="381"/>
      <c r="H427" s="208"/>
      <c r="I427" s="299"/>
      <c r="J427" s="218"/>
      <c r="K427" s="309">
        <v>50</v>
      </c>
      <c r="L427" s="208"/>
      <c r="M427" s="208"/>
      <c r="N427" s="295"/>
      <c r="O427" s="381"/>
      <c r="P427" s="25"/>
      <c r="Q427" s="300"/>
      <c r="R427" s="26"/>
      <c r="S427" s="27"/>
      <c r="T427" s="301"/>
      <c r="U427" s="27"/>
      <c r="V427" s="118"/>
    </row>
    <row r="428" spans="1:22" s="119" customFormat="1" ht="24.9" hidden="1" customHeight="1">
      <c r="A428" s="207">
        <v>80</v>
      </c>
      <c r="B428" s="207" t="s">
        <v>1412</v>
      </c>
      <c r="C428" s="381" t="s">
        <v>1492</v>
      </c>
      <c r="D428" s="207" t="s">
        <v>235</v>
      </c>
      <c r="E428" s="381">
        <v>4</v>
      </c>
      <c r="F428" s="207" t="s">
        <v>236</v>
      </c>
      <c r="G428" s="381"/>
      <c r="H428" s="208"/>
      <c r="I428" s="299"/>
      <c r="J428" s="218"/>
      <c r="K428" s="309">
        <v>4</v>
      </c>
      <c r="L428" s="208"/>
      <c r="M428" s="208"/>
      <c r="N428" s="295"/>
      <c r="O428" s="381"/>
      <c r="P428" s="25"/>
      <c r="Q428" s="300"/>
      <c r="R428" s="26"/>
      <c r="S428" s="27"/>
      <c r="T428" s="301"/>
      <c r="U428" s="27"/>
      <c r="V428" s="118"/>
    </row>
    <row r="429" spans="1:22" s="119" customFormat="1" ht="24.9" hidden="1" customHeight="1">
      <c r="A429" s="207">
        <v>81</v>
      </c>
      <c r="B429" s="207" t="s">
        <v>1412</v>
      </c>
      <c r="C429" s="381" t="s">
        <v>1493</v>
      </c>
      <c r="D429" s="207" t="s">
        <v>235</v>
      </c>
      <c r="E429" s="381">
        <v>10</v>
      </c>
      <c r="F429" s="207" t="s">
        <v>236</v>
      </c>
      <c r="G429" s="381"/>
      <c r="H429" s="208"/>
      <c r="I429" s="299"/>
      <c r="J429" s="218"/>
      <c r="K429" s="309">
        <v>20</v>
      </c>
      <c r="L429" s="208"/>
      <c r="M429" s="208"/>
      <c r="N429" s="295"/>
      <c r="O429" s="381"/>
      <c r="P429" s="25"/>
      <c r="Q429" s="300"/>
      <c r="R429" s="26"/>
      <c r="S429" s="27"/>
      <c r="T429" s="301"/>
      <c r="U429" s="27"/>
      <c r="V429" s="118"/>
    </row>
    <row r="430" spans="1:22" s="119" customFormat="1" ht="24.9" customHeight="1">
      <c r="A430" s="207">
        <v>82</v>
      </c>
      <c r="B430" s="207" t="s">
        <v>1412</v>
      </c>
      <c r="C430" s="381" t="s">
        <v>1494</v>
      </c>
      <c r="D430" s="207" t="s">
        <v>235</v>
      </c>
      <c r="E430" s="381">
        <v>10</v>
      </c>
      <c r="F430" s="207" t="s">
        <v>236</v>
      </c>
      <c r="G430" s="381"/>
      <c r="H430" s="208"/>
      <c r="I430" s="299"/>
      <c r="J430" s="218"/>
      <c r="K430" s="309">
        <v>1</v>
      </c>
      <c r="L430" s="208"/>
      <c r="M430" s="208"/>
      <c r="N430" s="295"/>
      <c r="O430" s="381"/>
      <c r="P430" s="25"/>
      <c r="Q430" s="300"/>
      <c r="R430" s="26"/>
      <c r="S430" s="27"/>
      <c r="T430" s="301"/>
      <c r="U430" s="27"/>
      <c r="V430" s="118"/>
    </row>
    <row r="431" spans="1:22" s="119" customFormat="1" ht="24.9" hidden="1" customHeight="1">
      <c r="A431" s="207">
        <v>83</v>
      </c>
      <c r="B431" s="207" t="s">
        <v>1412</v>
      </c>
      <c r="C431" s="381" t="s">
        <v>1495</v>
      </c>
      <c r="D431" s="207" t="s">
        <v>235</v>
      </c>
      <c r="E431" s="381">
        <v>40</v>
      </c>
      <c r="F431" s="207" t="s">
        <v>236</v>
      </c>
      <c r="G431" s="381"/>
      <c r="H431" s="208"/>
      <c r="I431" s="299"/>
      <c r="J431" s="218"/>
      <c r="K431" s="309">
        <v>4</v>
      </c>
      <c r="L431" s="208"/>
      <c r="M431" s="208"/>
      <c r="N431" s="295"/>
      <c r="O431" s="381"/>
      <c r="P431" s="25"/>
      <c r="Q431" s="300"/>
      <c r="R431" s="26"/>
      <c r="S431" s="27"/>
      <c r="T431" s="301"/>
      <c r="U431" s="27"/>
      <c r="V431" s="118"/>
    </row>
    <row r="432" spans="1:22" s="119" customFormat="1" ht="24.9" hidden="1" customHeight="1">
      <c r="A432" s="207">
        <v>84</v>
      </c>
      <c r="B432" s="207" t="s">
        <v>1412</v>
      </c>
      <c r="C432" s="381" t="s">
        <v>1496</v>
      </c>
      <c r="D432" s="207" t="s">
        <v>235</v>
      </c>
      <c r="E432" s="381">
        <v>20</v>
      </c>
      <c r="F432" s="207" t="s">
        <v>236</v>
      </c>
      <c r="G432" s="381"/>
      <c r="H432" s="208"/>
      <c r="I432" s="299"/>
      <c r="J432" s="218"/>
      <c r="K432" s="309">
        <v>2</v>
      </c>
      <c r="L432" s="208"/>
      <c r="M432" s="208"/>
      <c r="N432" s="295"/>
      <c r="O432" s="381"/>
      <c r="P432" s="25"/>
      <c r="Q432" s="300"/>
      <c r="R432" s="26"/>
      <c r="S432" s="27"/>
      <c r="T432" s="301"/>
      <c r="U432" s="27"/>
      <c r="V432" s="118"/>
    </row>
    <row r="433" spans="1:22" s="119" customFormat="1" ht="24.9" hidden="1" customHeight="1">
      <c r="A433" s="207">
        <v>85</v>
      </c>
      <c r="B433" s="207" t="s">
        <v>1412</v>
      </c>
      <c r="C433" s="381" t="s">
        <v>1497</v>
      </c>
      <c r="D433" s="207" t="s">
        <v>235</v>
      </c>
      <c r="E433" s="381">
        <v>96</v>
      </c>
      <c r="F433" s="207" t="s">
        <v>236</v>
      </c>
      <c r="G433" s="428"/>
      <c r="H433" s="208"/>
      <c r="I433" s="299"/>
      <c r="J433" s="218"/>
      <c r="K433" s="309">
        <v>9.6000000000000014</v>
      </c>
      <c r="L433" s="208"/>
      <c r="M433" s="208"/>
      <c r="N433" s="295"/>
      <c r="O433" s="381"/>
      <c r="P433" s="25"/>
      <c r="Q433" s="300"/>
      <c r="R433" s="26"/>
      <c r="S433" s="27"/>
      <c r="T433" s="301"/>
      <c r="U433" s="27"/>
      <c r="V433" s="118"/>
    </row>
    <row r="434" spans="1:22" s="119" customFormat="1" ht="24.9" hidden="1" customHeight="1">
      <c r="A434" s="207">
        <v>86</v>
      </c>
      <c r="B434" s="207" t="s">
        <v>1412</v>
      </c>
      <c r="C434" s="381" t="s">
        <v>1498</v>
      </c>
      <c r="D434" s="207" t="s">
        <v>235</v>
      </c>
      <c r="E434" s="381">
        <v>16</v>
      </c>
      <c r="F434" s="207" t="s">
        <v>236</v>
      </c>
      <c r="G434" s="381"/>
      <c r="H434" s="208"/>
      <c r="I434" s="299"/>
      <c r="J434" s="218"/>
      <c r="K434" s="309">
        <v>1.6</v>
      </c>
      <c r="L434" s="208"/>
      <c r="M434" s="208"/>
      <c r="N434" s="295"/>
      <c r="O434" s="381"/>
      <c r="P434" s="25"/>
      <c r="Q434" s="300"/>
      <c r="R434" s="26"/>
      <c r="S434" s="27"/>
      <c r="T434" s="301"/>
      <c r="U434" s="27"/>
      <c r="V434" s="118"/>
    </row>
    <row r="435" spans="1:22" s="119" customFormat="1" ht="24.9" hidden="1" customHeight="1">
      <c r="A435" s="207">
        <v>87</v>
      </c>
      <c r="B435" s="207" t="s">
        <v>1412</v>
      </c>
      <c r="C435" s="381" t="s">
        <v>1499</v>
      </c>
      <c r="D435" s="207" t="s">
        <v>235</v>
      </c>
      <c r="E435" s="381">
        <v>4</v>
      </c>
      <c r="F435" s="207" t="s">
        <v>236</v>
      </c>
      <c r="G435" s="381"/>
      <c r="H435" s="208"/>
      <c r="I435" s="299"/>
      <c r="J435" s="218"/>
      <c r="K435" s="309">
        <v>80</v>
      </c>
      <c r="L435" s="208"/>
      <c r="M435" s="208"/>
      <c r="N435" s="295"/>
      <c r="O435" s="381"/>
      <c r="P435" s="25"/>
      <c r="Q435" s="300"/>
      <c r="R435" s="26"/>
      <c r="S435" s="27"/>
      <c r="T435" s="301"/>
      <c r="U435" s="27"/>
      <c r="V435" s="118"/>
    </row>
    <row r="436" spans="1:22" s="119" customFormat="1" ht="24.9" hidden="1" customHeight="1">
      <c r="A436" s="207">
        <v>88</v>
      </c>
      <c r="B436" s="207" t="s">
        <v>1412</v>
      </c>
      <c r="C436" s="381" t="s">
        <v>1500</v>
      </c>
      <c r="D436" s="207" t="s">
        <v>235</v>
      </c>
      <c r="E436" s="381">
        <v>8</v>
      </c>
      <c r="F436" s="207" t="s">
        <v>236</v>
      </c>
      <c r="G436" s="428"/>
      <c r="H436" s="208"/>
      <c r="I436" s="299"/>
      <c r="J436" s="218"/>
      <c r="K436" s="309">
        <v>16</v>
      </c>
      <c r="L436" s="208"/>
      <c r="M436" s="208"/>
      <c r="N436" s="295"/>
      <c r="O436" s="381"/>
      <c r="P436" s="25"/>
      <c r="Q436" s="300"/>
      <c r="R436" s="26"/>
      <c r="S436" s="27"/>
      <c r="T436" s="301"/>
      <c r="U436" s="27"/>
      <c r="V436" s="118"/>
    </row>
    <row r="437" spans="1:22" s="119" customFormat="1" ht="24.9" hidden="1" customHeight="1">
      <c r="A437" s="207">
        <v>89</v>
      </c>
      <c r="B437" s="207" t="s">
        <v>1412</v>
      </c>
      <c r="C437" s="381" t="s">
        <v>1501</v>
      </c>
      <c r="D437" s="207" t="s">
        <v>235</v>
      </c>
      <c r="E437" s="381">
        <v>3</v>
      </c>
      <c r="F437" s="207" t="s">
        <v>236</v>
      </c>
      <c r="G437" s="381"/>
      <c r="H437" s="208"/>
      <c r="I437" s="299"/>
      <c r="J437" s="218"/>
      <c r="K437" s="309">
        <v>6</v>
      </c>
      <c r="L437" s="208"/>
      <c r="M437" s="208"/>
      <c r="N437" s="295"/>
      <c r="O437" s="381"/>
      <c r="P437" s="25"/>
      <c r="Q437" s="300"/>
      <c r="R437" s="26"/>
      <c r="S437" s="27"/>
      <c r="T437" s="301"/>
      <c r="U437" s="27"/>
      <c r="V437" s="118"/>
    </row>
    <row r="438" spans="1:22" s="119" customFormat="1" ht="24.9" hidden="1" customHeight="1">
      <c r="A438" s="207">
        <v>90</v>
      </c>
      <c r="B438" s="207" t="s">
        <v>1412</v>
      </c>
      <c r="C438" s="202" t="s">
        <v>1502</v>
      </c>
      <c r="D438" s="207" t="s">
        <v>235</v>
      </c>
      <c r="E438" s="298">
        <v>196</v>
      </c>
      <c r="F438" s="207" t="s">
        <v>236</v>
      </c>
      <c r="G438" s="429"/>
      <c r="H438" s="208"/>
      <c r="I438" s="299"/>
      <c r="J438" s="218"/>
      <c r="K438" s="309">
        <v>3</v>
      </c>
      <c r="L438" s="208"/>
      <c r="M438" s="208"/>
      <c r="N438" s="295"/>
      <c r="O438" s="209"/>
      <c r="P438" s="25"/>
      <c r="Q438" s="347"/>
      <c r="R438" s="26"/>
      <c r="S438" s="27"/>
      <c r="T438" s="301"/>
      <c r="U438" s="27"/>
      <c r="V438" s="118"/>
    </row>
    <row r="439" spans="1:22" s="119" customFormat="1" ht="24.9" hidden="1" customHeight="1">
      <c r="A439" s="207">
        <v>91</v>
      </c>
      <c r="B439" s="207" t="s">
        <v>1412</v>
      </c>
      <c r="C439" s="202" t="s">
        <v>1503</v>
      </c>
      <c r="D439" s="207" t="s">
        <v>235</v>
      </c>
      <c r="E439" s="298">
        <v>196</v>
      </c>
      <c r="F439" s="207" t="s">
        <v>236</v>
      </c>
      <c r="G439" s="429"/>
      <c r="H439" s="208"/>
      <c r="I439" s="299"/>
      <c r="J439" s="218"/>
      <c r="K439" s="309">
        <v>3</v>
      </c>
      <c r="L439" s="208"/>
      <c r="M439" s="208"/>
      <c r="N439" s="295"/>
      <c r="O439" s="209"/>
      <c r="P439" s="25"/>
      <c r="Q439" s="347"/>
      <c r="R439" s="302"/>
      <c r="S439" s="27"/>
      <c r="T439" s="301"/>
      <c r="U439" s="27"/>
      <c r="V439" s="118"/>
    </row>
    <row r="440" spans="1:22" s="119" customFormat="1" ht="24.9" hidden="1" customHeight="1">
      <c r="A440" s="207">
        <v>92</v>
      </c>
      <c r="B440" s="207" t="s">
        <v>1412</v>
      </c>
      <c r="C440" s="303" t="s">
        <v>1504</v>
      </c>
      <c r="D440" s="207" t="s">
        <v>235</v>
      </c>
      <c r="E440" s="298">
        <v>96</v>
      </c>
      <c r="F440" s="207" t="s">
        <v>236</v>
      </c>
      <c r="G440" s="208"/>
      <c r="H440" s="208"/>
      <c r="I440" s="299"/>
      <c r="J440" s="218"/>
      <c r="K440" s="309">
        <v>8.9855999999999998</v>
      </c>
      <c r="L440" s="208"/>
      <c r="M440" s="208"/>
      <c r="N440" s="295"/>
      <c r="O440" s="209"/>
      <c r="P440" s="25"/>
      <c r="Q440" s="347"/>
      <c r="R440" s="302"/>
      <c r="S440" s="27"/>
      <c r="T440" s="301"/>
      <c r="U440" s="27"/>
      <c r="V440" s="118"/>
    </row>
    <row r="441" spans="1:22" s="119" customFormat="1" ht="24.9" hidden="1" customHeight="1">
      <c r="A441" s="207">
        <v>93</v>
      </c>
      <c r="B441" s="207" t="s">
        <v>1412</v>
      </c>
      <c r="C441" s="303" t="s">
        <v>1505</v>
      </c>
      <c r="D441" s="207" t="s">
        <v>235</v>
      </c>
      <c r="E441" s="298">
        <v>48</v>
      </c>
      <c r="F441" s="207" t="s">
        <v>236</v>
      </c>
      <c r="G441" s="208"/>
      <c r="H441" s="208"/>
      <c r="I441" s="299"/>
      <c r="J441" s="218"/>
      <c r="K441" s="309">
        <v>4.4927999999999999</v>
      </c>
      <c r="L441" s="208"/>
      <c r="M441" s="208"/>
      <c r="N441" s="295"/>
      <c r="O441" s="209"/>
      <c r="P441" s="25"/>
      <c r="Q441" s="347"/>
      <c r="R441" s="26"/>
      <c r="S441" s="27"/>
      <c r="T441" s="301"/>
      <c r="U441" s="27"/>
      <c r="V441" s="118"/>
    </row>
    <row r="442" spans="1:22" s="119" customFormat="1" ht="24.9" hidden="1" customHeight="1">
      <c r="A442" s="207">
        <v>94</v>
      </c>
      <c r="B442" s="207" t="s">
        <v>1412</v>
      </c>
      <c r="C442" s="303" t="s">
        <v>1506</v>
      </c>
      <c r="D442" s="207" t="s">
        <v>235</v>
      </c>
      <c r="E442" s="298">
        <v>96</v>
      </c>
      <c r="F442" s="207" t="s">
        <v>236</v>
      </c>
      <c r="G442" s="208"/>
      <c r="H442" s="208"/>
      <c r="I442" s="299"/>
      <c r="J442" s="218"/>
      <c r="K442" s="309">
        <v>44.927999999999997</v>
      </c>
      <c r="L442" s="208"/>
      <c r="M442" s="208"/>
      <c r="N442" s="295"/>
      <c r="O442" s="209"/>
      <c r="P442" s="25"/>
      <c r="Q442" s="347"/>
      <c r="R442" s="302"/>
      <c r="S442" s="27"/>
      <c r="T442" s="301"/>
      <c r="U442" s="27"/>
      <c r="V442" s="118"/>
    </row>
    <row r="443" spans="1:22" s="119" customFormat="1" ht="24.9" hidden="1" customHeight="1">
      <c r="A443" s="207">
        <v>95</v>
      </c>
      <c r="B443" s="207" t="s">
        <v>1412</v>
      </c>
      <c r="C443" s="303" t="s">
        <v>1507</v>
      </c>
      <c r="D443" s="207" t="s">
        <v>235</v>
      </c>
      <c r="E443" s="298">
        <v>48</v>
      </c>
      <c r="F443" s="207" t="s">
        <v>236</v>
      </c>
      <c r="G443" s="208"/>
      <c r="H443" s="208"/>
      <c r="I443" s="299"/>
      <c r="J443" s="218"/>
      <c r="K443" s="309">
        <v>22.463999999999999</v>
      </c>
      <c r="L443" s="208"/>
      <c r="M443" s="208"/>
      <c r="N443" s="295"/>
      <c r="O443" s="209"/>
      <c r="P443" s="25"/>
      <c r="Q443" s="347"/>
      <c r="R443" s="26"/>
      <c r="S443" s="27"/>
      <c r="T443" s="301"/>
      <c r="U443" s="27"/>
      <c r="V443" s="118"/>
    </row>
    <row r="444" spans="1:22" s="119" customFormat="1" ht="24.9" hidden="1" customHeight="1">
      <c r="A444" s="207">
        <v>96</v>
      </c>
      <c r="B444" s="207" t="s">
        <v>1412</v>
      </c>
      <c r="C444" s="303" t="s">
        <v>1508</v>
      </c>
      <c r="D444" s="207" t="s">
        <v>235</v>
      </c>
      <c r="E444" s="298">
        <v>96</v>
      </c>
      <c r="F444" s="207" t="s">
        <v>236</v>
      </c>
      <c r="G444" s="208"/>
      <c r="H444" s="208"/>
      <c r="I444" s="299"/>
      <c r="J444" s="218"/>
      <c r="K444" s="309">
        <v>224.64</v>
      </c>
      <c r="L444" s="208"/>
      <c r="M444" s="208"/>
      <c r="N444" s="295"/>
      <c r="O444" s="209"/>
      <c r="P444" s="25"/>
      <c r="Q444" s="347"/>
      <c r="R444" s="302"/>
      <c r="S444" s="27"/>
      <c r="T444" s="301"/>
      <c r="U444" s="27"/>
      <c r="V444" s="118"/>
    </row>
    <row r="445" spans="1:22" s="119" customFormat="1" ht="24.9" hidden="1" customHeight="1">
      <c r="A445" s="207">
        <v>97</v>
      </c>
      <c r="B445" s="207" t="s">
        <v>1412</v>
      </c>
      <c r="C445" s="303" t="s">
        <v>1509</v>
      </c>
      <c r="D445" s="207" t="s">
        <v>235</v>
      </c>
      <c r="E445" s="298">
        <v>96</v>
      </c>
      <c r="F445" s="207" t="s">
        <v>236</v>
      </c>
      <c r="G445" s="208"/>
      <c r="H445" s="208"/>
      <c r="I445" s="299"/>
      <c r="J445" s="218"/>
      <c r="K445" s="309">
        <v>8.9855999999999998</v>
      </c>
      <c r="L445" s="208"/>
      <c r="M445" s="208"/>
      <c r="N445" s="295"/>
      <c r="O445" s="209"/>
      <c r="P445" s="25"/>
      <c r="Q445" s="347"/>
      <c r="R445" s="302"/>
      <c r="S445" s="27"/>
      <c r="T445" s="301"/>
      <c r="U445" s="27"/>
      <c r="V445" s="118"/>
    </row>
    <row r="446" spans="1:22" s="119" customFormat="1" ht="24.9" hidden="1" customHeight="1">
      <c r="A446" s="207">
        <v>98</v>
      </c>
      <c r="B446" s="207" t="s">
        <v>1412</v>
      </c>
      <c r="C446" s="303" t="s">
        <v>1510</v>
      </c>
      <c r="D446" s="207" t="s">
        <v>235</v>
      </c>
      <c r="E446" s="298">
        <v>48</v>
      </c>
      <c r="F446" s="207" t="s">
        <v>236</v>
      </c>
      <c r="G446" s="208"/>
      <c r="H446" s="208"/>
      <c r="I446" s="299"/>
      <c r="J446" s="218"/>
      <c r="K446" s="309">
        <v>4.4927999999999999</v>
      </c>
      <c r="L446" s="208"/>
      <c r="M446" s="208"/>
      <c r="N446" s="295"/>
      <c r="O446" s="209"/>
      <c r="P446" s="25"/>
      <c r="Q446" s="347"/>
      <c r="R446" s="26"/>
      <c r="S446" s="27"/>
      <c r="T446" s="301"/>
      <c r="U446" s="27"/>
      <c r="V446" s="118"/>
    </row>
    <row r="447" spans="1:22" s="119" customFormat="1" ht="24.9" hidden="1" customHeight="1">
      <c r="A447" s="207">
        <v>99</v>
      </c>
      <c r="B447" s="207" t="s">
        <v>1412</v>
      </c>
      <c r="C447" s="303" t="s">
        <v>1511</v>
      </c>
      <c r="D447" s="207" t="s">
        <v>235</v>
      </c>
      <c r="E447" s="298">
        <v>96</v>
      </c>
      <c r="F447" s="207" t="s">
        <v>236</v>
      </c>
      <c r="G447" s="208"/>
      <c r="H447" s="208"/>
      <c r="I447" s="299"/>
      <c r="J447" s="218"/>
      <c r="K447" s="309">
        <v>44.927999999999997</v>
      </c>
      <c r="L447" s="208"/>
      <c r="M447" s="208"/>
      <c r="N447" s="295"/>
      <c r="O447" s="209"/>
      <c r="P447" s="25"/>
      <c r="Q447" s="347"/>
      <c r="R447" s="302"/>
      <c r="S447" s="27"/>
      <c r="T447" s="301"/>
      <c r="U447" s="27"/>
      <c r="V447" s="118"/>
    </row>
    <row r="448" spans="1:22" s="119" customFormat="1" ht="24.9" hidden="1" customHeight="1">
      <c r="A448" s="207">
        <v>100</v>
      </c>
      <c r="B448" s="207" t="s">
        <v>1412</v>
      </c>
      <c r="C448" s="303" t="s">
        <v>1512</v>
      </c>
      <c r="D448" s="207" t="s">
        <v>235</v>
      </c>
      <c r="E448" s="298">
        <v>48</v>
      </c>
      <c r="F448" s="207" t="s">
        <v>236</v>
      </c>
      <c r="G448" s="208"/>
      <c r="H448" s="208"/>
      <c r="I448" s="299"/>
      <c r="J448" s="218"/>
      <c r="K448" s="309">
        <v>22.463999999999999</v>
      </c>
      <c r="L448" s="208"/>
      <c r="M448" s="208"/>
      <c r="N448" s="295"/>
      <c r="O448" s="209"/>
      <c r="P448" s="25"/>
      <c r="Q448" s="347"/>
      <c r="R448" s="26"/>
      <c r="S448" s="27"/>
      <c r="T448" s="301"/>
      <c r="U448" s="27"/>
      <c r="V448" s="118"/>
    </row>
    <row r="449" spans="1:22" s="119" customFormat="1" ht="24.9" hidden="1" customHeight="1">
      <c r="A449" s="207">
        <v>101</v>
      </c>
      <c r="B449" s="207" t="s">
        <v>1412</v>
      </c>
      <c r="C449" s="303" t="s">
        <v>1513</v>
      </c>
      <c r="D449" s="207" t="s">
        <v>235</v>
      </c>
      <c r="E449" s="298">
        <v>96</v>
      </c>
      <c r="F449" s="207" t="s">
        <v>236</v>
      </c>
      <c r="G449" s="208"/>
      <c r="H449" s="208"/>
      <c r="I449" s="299"/>
      <c r="J449" s="218"/>
      <c r="K449" s="309">
        <v>224.64</v>
      </c>
      <c r="L449" s="208"/>
      <c r="M449" s="208"/>
      <c r="N449" s="295"/>
      <c r="O449" s="209"/>
      <c r="P449" s="25"/>
      <c r="Q449" s="347"/>
      <c r="R449" s="302"/>
      <c r="S449" s="27"/>
      <c r="T449" s="301"/>
      <c r="U449" s="27"/>
      <c r="V449" s="118"/>
    </row>
    <row r="450" spans="1:22" s="119" customFormat="1" ht="24.9" hidden="1" customHeight="1">
      <c r="A450" s="207">
        <v>102</v>
      </c>
      <c r="B450" s="207" t="s">
        <v>1412</v>
      </c>
      <c r="C450" s="303" t="s">
        <v>1514</v>
      </c>
      <c r="D450" s="207" t="s">
        <v>235</v>
      </c>
      <c r="E450" s="298">
        <v>144</v>
      </c>
      <c r="F450" s="207" t="s">
        <v>236</v>
      </c>
      <c r="G450" s="208"/>
      <c r="H450" s="208"/>
      <c r="I450" s="299"/>
      <c r="J450" s="218"/>
      <c r="K450" s="309">
        <v>141.79737599999999</v>
      </c>
      <c r="L450" s="208"/>
      <c r="M450" s="208"/>
      <c r="N450" s="295"/>
      <c r="O450" s="209"/>
      <c r="P450" s="25"/>
      <c r="Q450" s="347"/>
      <c r="R450" s="302"/>
      <c r="S450" s="27"/>
      <c r="T450" s="301"/>
      <c r="U450" s="27"/>
      <c r="V450" s="118"/>
    </row>
    <row r="451" spans="1:22" s="119" customFormat="1" ht="25.2" hidden="1" customHeight="1">
      <c r="A451" s="207">
        <v>103</v>
      </c>
      <c r="B451" s="207" t="s">
        <v>1412</v>
      </c>
      <c r="C451" s="303" t="s">
        <v>1515</v>
      </c>
      <c r="D451" s="207" t="s">
        <v>235</v>
      </c>
      <c r="E451" s="298">
        <v>144</v>
      </c>
      <c r="F451" s="207" t="s">
        <v>236</v>
      </c>
      <c r="G451" s="208"/>
      <c r="H451" s="208"/>
      <c r="I451" s="299"/>
      <c r="J451" s="218"/>
      <c r="K451" s="309">
        <v>283.59475199999997</v>
      </c>
      <c r="L451" s="208"/>
      <c r="M451" s="208"/>
      <c r="N451" s="295"/>
      <c r="O451" s="209"/>
      <c r="P451" s="25"/>
      <c r="Q451" s="347"/>
      <c r="R451" s="26"/>
      <c r="S451" s="27"/>
      <c r="T451" s="301"/>
      <c r="U451" s="27"/>
      <c r="V451" s="118"/>
    </row>
    <row r="452" spans="1:22" s="119" customFormat="1" ht="24.9" hidden="1" customHeight="1">
      <c r="A452" s="207">
        <v>104</v>
      </c>
      <c r="B452" s="207" t="s">
        <v>1412</v>
      </c>
      <c r="C452" s="303" t="s">
        <v>1516</v>
      </c>
      <c r="D452" s="207" t="s">
        <v>235</v>
      </c>
      <c r="E452" s="298">
        <v>144</v>
      </c>
      <c r="F452" s="207" t="s">
        <v>236</v>
      </c>
      <c r="G452" s="208"/>
      <c r="H452" s="208"/>
      <c r="I452" s="299"/>
      <c r="J452" s="218"/>
      <c r="K452" s="309">
        <v>398.80511999999999</v>
      </c>
      <c r="L452" s="208"/>
      <c r="M452" s="208"/>
      <c r="N452" s="295"/>
      <c r="O452" s="209"/>
      <c r="P452" s="25"/>
      <c r="Q452" s="347"/>
      <c r="R452" s="302"/>
      <c r="S452" s="27"/>
      <c r="T452" s="301"/>
      <c r="U452" s="27"/>
      <c r="V452" s="118"/>
    </row>
    <row r="453" spans="1:22" s="119" customFormat="1" ht="24.9" hidden="1" customHeight="1">
      <c r="A453" s="207">
        <v>105</v>
      </c>
      <c r="B453" s="207" t="s">
        <v>1412</v>
      </c>
      <c r="C453" s="303" t="s">
        <v>1517</v>
      </c>
      <c r="D453" s="207" t="s">
        <v>235</v>
      </c>
      <c r="E453" s="298">
        <v>144</v>
      </c>
      <c r="F453" s="207" t="s">
        <v>236</v>
      </c>
      <c r="G453" s="208"/>
      <c r="H453" s="208"/>
      <c r="I453" s="299"/>
      <c r="J453" s="218"/>
      <c r="K453" s="309">
        <v>531.74015999999995</v>
      </c>
      <c r="L453" s="208"/>
      <c r="M453" s="208"/>
      <c r="N453" s="295"/>
      <c r="O453" s="209"/>
      <c r="P453" s="25"/>
      <c r="Q453" s="347"/>
      <c r="R453" s="26"/>
      <c r="S453" s="27"/>
      <c r="T453" s="301"/>
      <c r="U453" s="27"/>
      <c r="V453" s="118"/>
    </row>
    <row r="454" spans="1:22" s="119" customFormat="1" ht="24.9" hidden="1" customHeight="1">
      <c r="A454" s="207">
        <v>106</v>
      </c>
      <c r="B454" s="207" t="s">
        <v>1412</v>
      </c>
      <c r="C454" s="303" t="s">
        <v>1518</v>
      </c>
      <c r="D454" s="207" t="s">
        <v>235</v>
      </c>
      <c r="E454" s="298">
        <v>32</v>
      </c>
      <c r="F454" s="207" t="s">
        <v>236</v>
      </c>
      <c r="G454" s="208"/>
      <c r="H454" s="208"/>
      <c r="I454" s="299"/>
      <c r="J454" s="218"/>
      <c r="K454" s="309">
        <v>25.119999999999997</v>
      </c>
      <c r="L454" s="208"/>
      <c r="M454" s="208"/>
      <c r="N454" s="295"/>
      <c r="O454" s="209"/>
      <c r="P454" s="25"/>
      <c r="Q454" s="347"/>
      <c r="R454" s="302"/>
      <c r="S454" s="27"/>
      <c r="T454" s="301"/>
      <c r="U454" s="27"/>
      <c r="V454" s="118"/>
    </row>
    <row r="455" spans="1:22" s="119" customFormat="1" ht="24.9" hidden="1" customHeight="1">
      <c r="A455" s="207">
        <v>107</v>
      </c>
      <c r="B455" s="207" t="s">
        <v>1412</v>
      </c>
      <c r="C455" s="303" t="s">
        <v>1519</v>
      </c>
      <c r="D455" s="207" t="s">
        <v>235</v>
      </c>
      <c r="E455" s="298">
        <v>32</v>
      </c>
      <c r="F455" s="207" t="s">
        <v>236</v>
      </c>
      <c r="G455" s="208"/>
      <c r="H455" s="208"/>
      <c r="I455" s="299"/>
      <c r="J455" s="218"/>
      <c r="K455" s="309">
        <v>54.949999999999996</v>
      </c>
      <c r="L455" s="208"/>
      <c r="M455" s="208"/>
      <c r="N455" s="295"/>
      <c r="O455" s="209"/>
      <c r="P455" s="25"/>
      <c r="Q455" s="347"/>
      <c r="R455" s="26"/>
      <c r="S455" s="27"/>
      <c r="T455" s="301"/>
      <c r="U455" s="27"/>
      <c r="V455" s="118"/>
    </row>
    <row r="456" spans="1:22" s="119" customFormat="1" ht="24.9" hidden="1" customHeight="1">
      <c r="A456" s="207">
        <v>108</v>
      </c>
      <c r="B456" s="207" t="s">
        <v>1412</v>
      </c>
      <c r="C456" s="303" t="s">
        <v>1520</v>
      </c>
      <c r="D456" s="207" t="s">
        <v>235</v>
      </c>
      <c r="E456" s="298">
        <v>144</v>
      </c>
      <c r="F456" s="207" t="s">
        <v>236</v>
      </c>
      <c r="G456" s="208"/>
      <c r="H456" s="208"/>
      <c r="I456" s="299"/>
      <c r="J456" s="218"/>
      <c r="K456" s="309">
        <v>141.79737599999999</v>
      </c>
      <c r="L456" s="208"/>
      <c r="M456" s="208"/>
      <c r="N456" s="295"/>
      <c r="O456" s="209"/>
      <c r="P456" s="25"/>
      <c r="Q456" s="347"/>
      <c r="R456" s="26"/>
      <c r="S456" s="27"/>
      <c r="T456" s="301"/>
      <c r="U456" s="27"/>
      <c r="V456" s="118"/>
    </row>
    <row r="457" spans="1:22" s="119" customFormat="1" ht="24.9" hidden="1" customHeight="1">
      <c r="A457" s="207">
        <v>109</v>
      </c>
      <c r="B457" s="207" t="s">
        <v>1412</v>
      </c>
      <c r="C457" s="303" t="s">
        <v>1521</v>
      </c>
      <c r="D457" s="207" t="s">
        <v>235</v>
      </c>
      <c r="E457" s="298">
        <v>144</v>
      </c>
      <c r="F457" s="207" t="s">
        <v>236</v>
      </c>
      <c r="G457" s="208"/>
      <c r="H457" s="208"/>
      <c r="I457" s="299"/>
      <c r="J457" s="218"/>
      <c r="K457" s="309">
        <v>283.59475199999997</v>
      </c>
      <c r="L457" s="208"/>
      <c r="M457" s="208"/>
      <c r="N457" s="295"/>
      <c r="O457" s="209"/>
      <c r="P457" s="25"/>
      <c r="Q457" s="347"/>
      <c r="R457" s="302"/>
      <c r="S457" s="27"/>
      <c r="T457" s="301"/>
      <c r="U457" s="27"/>
      <c r="V457" s="118"/>
    </row>
    <row r="458" spans="1:22" s="119" customFormat="1" ht="24.9" hidden="1" customHeight="1">
      <c r="A458" s="207">
        <v>110</v>
      </c>
      <c r="B458" s="207" t="s">
        <v>1412</v>
      </c>
      <c r="C458" s="303" t="s">
        <v>1522</v>
      </c>
      <c r="D458" s="207" t="s">
        <v>235</v>
      </c>
      <c r="E458" s="298">
        <v>144</v>
      </c>
      <c r="F458" s="207" t="s">
        <v>236</v>
      </c>
      <c r="G458" s="208"/>
      <c r="H458" s="208"/>
      <c r="I458" s="299"/>
      <c r="J458" s="218"/>
      <c r="K458" s="309">
        <v>398.80511999999999</v>
      </c>
      <c r="L458" s="208"/>
      <c r="M458" s="208"/>
      <c r="N458" s="295"/>
      <c r="O458" s="209"/>
      <c r="P458" s="25"/>
      <c r="Q458" s="347"/>
      <c r="R458" s="26"/>
      <c r="S458" s="27"/>
      <c r="T458" s="301"/>
      <c r="U458" s="27"/>
      <c r="V458" s="118"/>
    </row>
    <row r="459" spans="1:22" s="119" customFormat="1" ht="24.9" hidden="1" customHeight="1">
      <c r="A459" s="207">
        <v>111</v>
      </c>
      <c r="B459" s="207" t="s">
        <v>1412</v>
      </c>
      <c r="C459" s="303" t="s">
        <v>1523</v>
      </c>
      <c r="D459" s="207" t="s">
        <v>235</v>
      </c>
      <c r="E459" s="298">
        <v>144</v>
      </c>
      <c r="F459" s="207" t="s">
        <v>236</v>
      </c>
      <c r="G459" s="208"/>
      <c r="H459" s="208"/>
      <c r="I459" s="299"/>
      <c r="J459" s="218"/>
      <c r="K459" s="309">
        <v>531.74015999999995</v>
      </c>
      <c r="L459" s="208"/>
      <c r="M459" s="208"/>
      <c r="N459" s="295"/>
      <c r="O459" s="209"/>
      <c r="P459" s="25"/>
      <c r="Q459" s="347"/>
      <c r="R459" s="302"/>
      <c r="S459" s="27"/>
      <c r="T459" s="301"/>
      <c r="U459" s="27"/>
      <c r="V459" s="118"/>
    </row>
    <row r="460" spans="1:22" s="119" customFormat="1" ht="24.9" hidden="1" customHeight="1">
      <c r="A460" s="207">
        <v>112</v>
      </c>
      <c r="B460" s="207" t="s">
        <v>1412</v>
      </c>
      <c r="C460" s="303" t="s">
        <v>1518</v>
      </c>
      <c r="D460" s="207" t="s">
        <v>235</v>
      </c>
      <c r="E460" s="298">
        <v>32</v>
      </c>
      <c r="F460" s="207" t="s">
        <v>236</v>
      </c>
      <c r="G460" s="208"/>
      <c r="H460" s="208"/>
      <c r="I460" s="299"/>
      <c r="J460" s="218"/>
      <c r="K460" s="309">
        <v>25.119999999999997</v>
      </c>
      <c r="L460" s="208"/>
      <c r="M460" s="208"/>
      <c r="N460" s="295"/>
      <c r="O460" s="209"/>
      <c r="P460" s="25"/>
      <c r="Q460" s="347"/>
      <c r="R460" s="26"/>
      <c r="S460" s="27"/>
      <c r="T460" s="301"/>
      <c r="U460" s="27"/>
      <c r="V460" s="118"/>
    </row>
    <row r="461" spans="1:22" s="119" customFormat="1" ht="24.9" hidden="1" customHeight="1">
      <c r="A461" s="207">
        <v>113</v>
      </c>
      <c r="B461" s="207" t="s">
        <v>1412</v>
      </c>
      <c r="C461" s="303" t="s">
        <v>1519</v>
      </c>
      <c r="D461" s="207" t="s">
        <v>235</v>
      </c>
      <c r="E461" s="298">
        <v>32</v>
      </c>
      <c r="F461" s="207" t="s">
        <v>236</v>
      </c>
      <c r="G461" s="208"/>
      <c r="H461" s="208"/>
      <c r="I461" s="299"/>
      <c r="J461" s="218"/>
      <c r="K461" s="309">
        <v>54.949999999999996</v>
      </c>
      <c r="L461" s="208"/>
      <c r="M461" s="208"/>
      <c r="N461" s="295"/>
      <c r="O461" s="209"/>
      <c r="P461" s="25"/>
      <c r="Q461" s="347"/>
      <c r="R461" s="302"/>
      <c r="S461" s="27"/>
      <c r="T461" s="301"/>
      <c r="U461" s="27"/>
      <c r="V461" s="118"/>
    </row>
    <row r="462" spans="1:22" s="119" customFormat="1" ht="24.9" hidden="1" customHeight="1">
      <c r="A462" s="234"/>
      <c r="B462" s="235"/>
      <c r="C462" s="435"/>
      <c r="D462" s="382"/>
      <c r="E462" s="238">
        <f>SUM(E349:E461)</f>
        <v>17225</v>
      </c>
      <c r="F462" s="383"/>
      <c r="G462" s="239">
        <v>520</v>
      </c>
      <c r="H462" s="239">
        <v>200</v>
      </c>
      <c r="I462" s="240">
        <v>120</v>
      </c>
      <c r="J462" s="241">
        <f>ROUND(I462*H462*G462/1000000,3)</f>
        <v>12.48</v>
      </c>
      <c r="K462" s="239">
        <f>SUM(K349:K461)</f>
        <v>4559.735615999999</v>
      </c>
      <c r="L462" s="239">
        <f>K462+140</f>
        <v>4699.735615999999</v>
      </c>
      <c r="M462" s="377"/>
      <c r="N462" s="378"/>
      <c r="O462" s="382"/>
      <c r="P462" s="379"/>
      <c r="Q462" s="384"/>
      <c r="R462" s="26"/>
      <c r="S462" s="27"/>
      <c r="T462" s="301"/>
      <c r="U462" s="27"/>
      <c r="V462" s="118"/>
    </row>
    <row r="463" spans="1:22" s="119" customFormat="1" ht="24.9" hidden="1" customHeight="1">
      <c r="A463" s="207">
        <v>1</v>
      </c>
      <c r="B463" s="207" t="s">
        <v>1524</v>
      </c>
      <c r="C463" s="303" t="s">
        <v>1525</v>
      </c>
      <c r="D463" s="207" t="s">
        <v>235</v>
      </c>
      <c r="E463" s="381">
        <v>1</v>
      </c>
      <c r="F463" s="207" t="s">
        <v>236</v>
      </c>
      <c r="G463" s="381"/>
      <c r="H463" s="208"/>
      <c r="I463" s="299"/>
      <c r="J463" s="218"/>
      <c r="K463" s="309">
        <v>30</v>
      </c>
      <c r="L463" s="208"/>
      <c r="M463" s="208"/>
      <c r="N463" s="295"/>
      <c r="O463" s="381"/>
      <c r="P463" s="25"/>
      <c r="Q463" s="300"/>
      <c r="R463" s="26"/>
      <c r="S463" s="27"/>
      <c r="T463" s="301"/>
      <c r="U463" s="27"/>
      <c r="V463" s="118"/>
    </row>
    <row r="464" spans="1:22" s="119" customFormat="1" ht="24.9" hidden="1" customHeight="1">
      <c r="A464" s="207">
        <v>2</v>
      </c>
      <c r="B464" s="207" t="s">
        <v>1524</v>
      </c>
      <c r="C464" s="303" t="s">
        <v>1526</v>
      </c>
      <c r="D464" s="207" t="s">
        <v>235</v>
      </c>
      <c r="E464" s="381">
        <v>1</v>
      </c>
      <c r="F464" s="207" t="s">
        <v>236</v>
      </c>
      <c r="G464" s="381"/>
      <c r="H464" s="208"/>
      <c r="I464" s="299"/>
      <c r="J464" s="218"/>
      <c r="K464" s="309">
        <f>30*6</f>
        <v>180</v>
      </c>
      <c r="L464" s="208"/>
      <c r="M464" s="208"/>
      <c r="N464" s="295"/>
      <c r="O464" s="381"/>
      <c r="P464" s="25"/>
      <c r="Q464" s="300"/>
      <c r="R464" s="26"/>
      <c r="S464" s="27"/>
      <c r="T464" s="301"/>
      <c r="U464" s="27"/>
      <c r="V464" s="118"/>
    </row>
    <row r="465" spans="1:24" s="119" customFormat="1" ht="24.9" hidden="1" customHeight="1">
      <c r="A465" s="207">
        <v>3</v>
      </c>
      <c r="B465" s="207" t="s">
        <v>1524</v>
      </c>
      <c r="C465" s="303" t="s">
        <v>1527</v>
      </c>
      <c r="D465" s="207" t="s">
        <v>235</v>
      </c>
      <c r="E465" s="303">
        <v>26</v>
      </c>
      <c r="F465" s="207" t="s">
        <v>236</v>
      </c>
      <c r="G465" s="381"/>
      <c r="H465" s="208"/>
      <c r="I465" s="299"/>
      <c r="J465" s="218"/>
      <c r="K465" s="309">
        <v>26</v>
      </c>
      <c r="L465" s="208"/>
      <c r="M465" s="208"/>
      <c r="N465" s="295"/>
      <c r="O465" s="381"/>
      <c r="P465" s="25"/>
      <c r="Q465" s="300"/>
      <c r="R465" s="26"/>
      <c r="S465" s="27"/>
      <c r="T465" s="301"/>
      <c r="U465" s="27"/>
      <c r="V465" s="118"/>
    </row>
    <row r="466" spans="1:24" s="119" customFormat="1" ht="24.9" hidden="1" customHeight="1">
      <c r="A466" s="207">
        <v>4</v>
      </c>
      <c r="B466" s="207" t="s">
        <v>1524</v>
      </c>
      <c r="C466" s="303" t="s">
        <v>1528</v>
      </c>
      <c r="D466" s="207" t="s">
        <v>235</v>
      </c>
      <c r="E466" s="303">
        <v>26</v>
      </c>
      <c r="F466" s="207" t="s">
        <v>236</v>
      </c>
      <c r="G466" s="381"/>
      <c r="H466" s="208"/>
      <c r="I466" s="299"/>
      <c r="J466" s="218"/>
      <c r="K466" s="309">
        <f>26*2</f>
        <v>52</v>
      </c>
      <c r="L466" s="208"/>
      <c r="M466" s="208"/>
      <c r="N466" s="295"/>
      <c r="O466" s="381"/>
      <c r="P466" s="25"/>
      <c r="Q466" s="300"/>
      <c r="R466" s="26"/>
      <c r="S466" s="27"/>
      <c r="T466" s="301"/>
      <c r="U466" s="27"/>
      <c r="V466" s="118"/>
    </row>
    <row r="467" spans="1:24" s="119" customFormat="1" ht="24.9" hidden="1" customHeight="1">
      <c r="A467" s="207">
        <v>5</v>
      </c>
      <c r="B467" s="207" t="s">
        <v>1524</v>
      </c>
      <c r="C467" s="303" t="s">
        <v>1529</v>
      </c>
      <c r="D467" s="207" t="s">
        <v>235</v>
      </c>
      <c r="E467" s="303">
        <v>26</v>
      </c>
      <c r="F467" s="207" t="s">
        <v>236</v>
      </c>
      <c r="G467" s="381"/>
      <c r="H467" s="208"/>
      <c r="I467" s="299"/>
      <c r="J467" s="218"/>
      <c r="K467" s="309">
        <v>26</v>
      </c>
      <c r="L467" s="208"/>
      <c r="M467" s="208"/>
      <c r="N467" s="295"/>
      <c r="O467" s="381"/>
      <c r="P467" s="25"/>
      <c r="Q467" s="300"/>
      <c r="R467" s="26"/>
      <c r="S467" s="27"/>
      <c r="T467" s="301"/>
      <c r="U467" s="27"/>
      <c r="V467" s="118"/>
    </row>
    <row r="468" spans="1:24" s="119" customFormat="1" ht="24.9" hidden="1" customHeight="1">
      <c r="A468" s="207">
        <v>6</v>
      </c>
      <c r="B468" s="207" t="s">
        <v>1524</v>
      </c>
      <c r="C468" s="303" t="s">
        <v>1530</v>
      </c>
      <c r="D468" s="207" t="s">
        <v>235</v>
      </c>
      <c r="E468" s="303">
        <v>1</v>
      </c>
      <c r="F468" s="207" t="s">
        <v>236</v>
      </c>
      <c r="G468" s="381"/>
      <c r="H468" s="208"/>
      <c r="I468" s="299"/>
      <c r="J468" s="218"/>
      <c r="K468" s="309">
        <v>10</v>
      </c>
      <c r="L468" s="208"/>
      <c r="M468" s="208"/>
      <c r="N468" s="295"/>
      <c r="O468" s="381"/>
      <c r="P468" s="25"/>
      <c r="Q468" s="300"/>
      <c r="R468" s="26"/>
      <c r="S468" s="27"/>
      <c r="T468" s="301"/>
      <c r="U468" s="27"/>
      <c r="V468" s="118"/>
    </row>
    <row r="469" spans="1:24" s="119" customFormat="1" ht="24.9" hidden="1" customHeight="1">
      <c r="A469" s="207">
        <v>7</v>
      </c>
      <c r="B469" s="207" t="s">
        <v>1524</v>
      </c>
      <c r="C469" s="303" t="s">
        <v>1531</v>
      </c>
      <c r="D469" s="207" t="s">
        <v>235</v>
      </c>
      <c r="E469" s="303">
        <v>6</v>
      </c>
      <c r="F469" s="207" t="s">
        <v>236</v>
      </c>
      <c r="G469" s="381"/>
      <c r="H469" s="208"/>
      <c r="I469" s="299"/>
      <c r="J469" s="218"/>
      <c r="K469" s="309">
        <v>3</v>
      </c>
      <c r="L469" s="208"/>
      <c r="M469" s="208"/>
      <c r="N469" s="295"/>
      <c r="O469" s="381"/>
      <c r="P469" s="25"/>
      <c r="Q469" s="300"/>
      <c r="R469" s="26"/>
      <c r="S469" s="27"/>
      <c r="T469" s="301"/>
      <c r="U469" s="27"/>
      <c r="V469" s="118"/>
    </row>
    <row r="470" spans="1:24" s="119" customFormat="1" ht="24.9" hidden="1" customHeight="1">
      <c r="A470" s="207">
        <v>8</v>
      </c>
      <c r="B470" s="207" t="s">
        <v>1524</v>
      </c>
      <c r="C470" s="303" t="s">
        <v>1532</v>
      </c>
      <c r="D470" s="207" t="s">
        <v>235</v>
      </c>
      <c r="E470" s="303">
        <v>72</v>
      </c>
      <c r="F470" s="207" t="s">
        <v>236</v>
      </c>
      <c r="G470" s="381"/>
      <c r="H470" s="208"/>
      <c r="I470" s="299"/>
      <c r="J470" s="218"/>
      <c r="K470" s="309">
        <v>15</v>
      </c>
      <c r="L470" s="208"/>
      <c r="M470" s="208"/>
      <c r="N470" s="295"/>
      <c r="O470" s="381"/>
      <c r="P470" s="25"/>
      <c r="Q470" s="300"/>
      <c r="R470" s="26"/>
      <c r="S470" s="27"/>
      <c r="T470" s="301"/>
      <c r="U470" s="27"/>
      <c r="V470" s="118"/>
    </row>
    <row r="471" spans="1:24" s="119" customFormat="1" ht="24.9" hidden="1" customHeight="1">
      <c r="A471" s="207">
        <v>9</v>
      </c>
      <c r="B471" s="207" t="s">
        <v>1524</v>
      </c>
      <c r="C471" s="303" t="s">
        <v>1533</v>
      </c>
      <c r="D471" s="207" t="s">
        <v>235</v>
      </c>
      <c r="E471" s="303">
        <v>72</v>
      </c>
      <c r="F471" s="207" t="s">
        <v>236</v>
      </c>
      <c r="G471" s="381"/>
      <c r="H471" s="208"/>
      <c r="I471" s="299"/>
      <c r="J471" s="218"/>
      <c r="K471" s="309">
        <v>15</v>
      </c>
      <c r="L471" s="208"/>
      <c r="M471" s="208"/>
      <c r="N471" s="295"/>
      <c r="O471" s="381"/>
      <c r="P471" s="25"/>
      <c r="Q471" s="300"/>
      <c r="R471" s="26"/>
      <c r="S471" s="27"/>
      <c r="T471" s="301"/>
      <c r="U471" s="27"/>
      <c r="V471" s="118"/>
    </row>
    <row r="472" spans="1:24" s="119" customFormat="1" ht="24.9" hidden="1" customHeight="1">
      <c r="A472" s="207">
        <v>10</v>
      </c>
      <c r="B472" s="207" t="s">
        <v>1524</v>
      </c>
      <c r="C472" s="303" t="s">
        <v>1534</v>
      </c>
      <c r="D472" s="207" t="s">
        <v>235</v>
      </c>
      <c r="E472" s="303">
        <v>26</v>
      </c>
      <c r="F472" s="207" t="s">
        <v>236</v>
      </c>
      <c r="G472" s="381"/>
      <c r="H472" s="208"/>
      <c r="I472" s="299"/>
      <c r="J472" s="218"/>
      <c r="K472" s="309">
        <f>10*26</f>
        <v>260</v>
      </c>
      <c r="L472" s="208"/>
      <c r="M472" s="208"/>
      <c r="N472" s="295"/>
      <c r="O472" s="381"/>
      <c r="P472" s="25"/>
      <c r="Q472" s="300"/>
      <c r="R472" s="26"/>
      <c r="S472" s="27"/>
      <c r="T472" s="301"/>
      <c r="U472" s="27"/>
      <c r="V472" s="118"/>
    </row>
    <row r="473" spans="1:24" s="119" customFormat="1" ht="24.9" hidden="1" customHeight="1">
      <c r="A473" s="234"/>
      <c r="B473" s="235"/>
      <c r="C473" s="435"/>
      <c r="D473" s="382"/>
      <c r="E473" s="238">
        <f>SUM(E463:E472)</f>
        <v>257</v>
      </c>
      <c r="F473" s="383"/>
      <c r="G473" s="239">
        <v>180</v>
      </c>
      <c r="H473" s="239">
        <v>180</v>
      </c>
      <c r="I473" s="240">
        <v>130</v>
      </c>
      <c r="J473" s="241">
        <f>ROUND(I473*H473*G473/1000000,3)</f>
        <v>4.2119999999999997</v>
      </c>
      <c r="K473" s="239">
        <f>SUM(K463:K472)</f>
        <v>617</v>
      </c>
      <c r="L473" s="239">
        <f>K473+140</f>
        <v>757</v>
      </c>
      <c r="M473" s="377"/>
      <c r="N473" s="378"/>
      <c r="O473" s="382"/>
      <c r="P473" s="379"/>
      <c r="Q473" s="384"/>
      <c r="R473" s="26"/>
      <c r="S473" s="27"/>
      <c r="T473" s="301"/>
      <c r="U473" s="27"/>
      <c r="V473" s="118"/>
    </row>
    <row r="474" spans="1:24" s="119" customFormat="1" ht="24.9" customHeight="1">
      <c r="A474" s="207">
        <v>1</v>
      </c>
      <c r="B474" s="605" t="s">
        <v>1535</v>
      </c>
      <c r="C474" s="381" t="s">
        <v>1536</v>
      </c>
      <c r="D474" s="207" t="s">
        <v>235</v>
      </c>
      <c r="E474" s="381">
        <v>1</v>
      </c>
      <c r="F474" s="207" t="s">
        <v>236</v>
      </c>
      <c r="G474" s="207"/>
      <c r="H474" s="208"/>
      <c r="I474" s="299"/>
      <c r="J474" s="218"/>
      <c r="K474" s="309">
        <f>456*2</f>
        <v>912</v>
      </c>
      <c r="L474" s="208"/>
      <c r="M474" s="208"/>
      <c r="N474" s="295"/>
      <c r="O474" s="381"/>
      <c r="P474" s="25"/>
      <c r="Q474" s="300"/>
      <c r="R474" s="26"/>
      <c r="S474" s="27"/>
      <c r="T474" s="301"/>
      <c r="U474" s="27"/>
      <c r="V474" s="118"/>
    </row>
    <row r="475" spans="1:24" s="119" customFormat="1" ht="24.9" customHeight="1">
      <c r="A475" s="207">
        <v>2</v>
      </c>
      <c r="B475" s="605" t="s">
        <v>1535</v>
      </c>
      <c r="C475" s="381" t="s">
        <v>1537</v>
      </c>
      <c r="D475" s="207" t="s">
        <v>235</v>
      </c>
      <c r="E475" s="381">
        <v>1</v>
      </c>
      <c r="F475" s="207" t="s">
        <v>236</v>
      </c>
      <c r="G475" s="207"/>
      <c r="H475" s="208"/>
      <c r="I475" s="299"/>
      <c r="J475" s="218"/>
      <c r="K475" s="309">
        <v>259</v>
      </c>
      <c r="L475" s="208"/>
      <c r="M475" s="208"/>
      <c r="N475" s="295"/>
      <c r="O475" s="381"/>
      <c r="P475" s="25"/>
      <c r="Q475" s="300"/>
      <c r="R475" s="26"/>
      <c r="S475" s="27"/>
      <c r="T475" s="301"/>
      <c r="U475" s="27"/>
      <c r="V475" s="118"/>
    </row>
    <row r="476" spans="1:24" s="119" customFormat="1" ht="24.9" customHeight="1">
      <c r="A476" s="207">
        <v>3</v>
      </c>
      <c r="B476" s="605" t="s">
        <v>1535</v>
      </c>
      <c r="C476" s="381" t="s">
        <v>1538</v>
      </c>
      <c r="D476" s="207" t="s">
        <v>235</v>
      </c>
      <c r="E476" s="381">
        <v>1</v>
      </c>
      <c r="F476" s="207" t="s">
        <v>236</v>
      </c>
      <c r="G476" s="207"/>
      <c r="H476" s="208"/>
      <c r="I476" s="299"/>
      <c r="J476" s="218"/>
      <c r="K476" s="309">
        <v>58</v>
      </c>
      <c r="L476" s="208"/>
      <c r="M476" s="208"/>
      <c r="N476" s="295"/>
      <c r="O476" s="381"/>
      <c r="P476" s="25"/>
      <c r="Q476" s="300"/>
      <c r="R476" s="26"/>
      <c r="S476" s="27"/>
      <c r="T476" s="301"/>
      <c r="U476" s="27"/>
      <c r="V476" s="118"/>
    </row>
    <row r="477" spans="1:24" s="119" customFormat="1" ht="24.9" customHeight="1">
      <c r="A477" s="207">
        <v>4</v>
      </c>
      <c r="B477" s="605" t="s">
        <v>1535</v>
      </c>
      <c r="C477" s="381" t="s">
        <v>1539</v>
      </c>
      <c r="D477" s="207" t="s">
        <v>235</v>
      </c>
      <c r="E477" s="381">
        <v>1</v>
      </c>
      <c r="F477" s="207" t="s">
        <v>236</v>
      </c>
      <c r="G477" s="207"/>
      <c r="H477" s="208"/>
      <c r="I477" s="299"/>
      <c r="J477" s="218"/>
      <c r="K477" s="309">
        <v>266</v>
      </c>
      <c r="L477" s="208"/>
      <c r="M477" s="208"/>
      <c r="N477" s="295"/>
      <c r="O477" s="381"/>
      <c r="P477" s="25"/>
      <c r="Q477" s="300"/>
      <c r="R477" s="26"/>
      <c r="S477" s="27"/>
      <c r="T477" s="301"/>
      <c r="U477" s="27"/>
      <c r="V477" s="118"/>
    </row>
    <row r="478" spans="1:24" s="119" customFormat="1" ht="24.9" customHeight="1">
      <c r="A478" s="207">
        <v>5</v>
      </c>
      <c r="B478" s="605" t="s">
        <v>1535</v>
      </c>
      <c r="C478" s="432" t="s">
        <v>1540</v>
      </c>
      <c r="D478" s="207" t="s">
        <v>235</v>
      </c>
      <c r="E478" s="381">
        <v>1</v>
      </c>
      <c r="F478" s="207" t="s">
        <v>236</v>
      </c>
      <c r="G478" s="207"/>
      <c r="H478" s="208"/>
      <c r="I478" s="299"/>
      <c r="J478" s="218"/>
      <c r="K478" s="309">
        <v>161</v>
      </c>
      <c r="L478" s="208"/>
      <c r="M478" s="208"/>
      <c r="N478" s="295"/>
      <c r="O478" s="381"/>
      <c r="P478" s="25"/>
      <c r="Q478" s="300"/>
      <c r="R478" s="26"/>
      <c r="S478" s="27"/>
      <c r="T478" s="301"/>
      <c r="U478" s="27"/>
      <c r="V478" s="118"/>
    </row>
    <row r="479" spans="1:24" s="119" customFormat="1" ht="24.9" hidden="1" customHeight="1">
      <c r="A479" s="234"/>
      <c r="B479" s="235"/>
      <c r="C479" s="435"/>
      <c r="D479" s="382"/>
      <c r="E479" s="238">
        <f>SUM(E474:E478)</f>
        <v>5</v>
      </c>
      <c r="F479" s="383"/>
      <c r="G479" s="239">
        <v>225</v>
      </c>
      <c r="H479" s="239">
        <v>180</v>
      </c>
      <c r="I479" s="240">
        <v>150</v>
      </c>
      <c r="J479" s="241">
        <f>ROUND(I479*H479*G479/1000000,3)</f>
        <v>6.0750000000000002</v>
      </c>
      <c r="K479" s="239">
        <f>SUM(K474:K478)</f>
        <v>1656</v>
      </c>
      <c r="L479" s="239">
        <f>K479+140</f>
        <v>1796</v>
      </c>
      <c r="M479" s="377"/>
      <c r="N479" s="378"/>
      <c r="O479" s="382"/>
      <c r="P479" s="379"/>
      <c r="Q479" s="384"/>
      <c r="R479" s="26"/>
      <c r="S479" s="27"/>
      <c r="T479" s="301"/>
      <c r="U479" s="27"/>
      <c r="V479" s="118"/>
    </row>
    <row r="480" spans="1:24" s="119" customFormat="1" ht="24.9" hidden="1" customHeight="1">
      <c r="A480" s="296">
        <v>1</v>
      </c>
      <c r="B480" s="207" t="s">
        <v>1541</v>
      </c>
      <c r="C480" s="303" t="s">
        <v>1542</v>
      </c>
      <c r="D480" s="207" t="s">
        <v>235</v>
      </c>
      <c r="E480" s="298">
        <v>1</v>
      </c>
      <c r="F480" s="207" t="s">
        <v>236</v>
      </c>
      <c r="G480" s="208">
        <v>70</v>
      </c>
      <c r="H480" s="208">
        <v>42</v>
      </c>
      <c r="I480" s="299">
        <v>50</v>
      </c>
      <c r="J480" s="218"/>
      <c r="K480" s="208">
        <v>7.3774800000000003</v>
      </c>
      <c r="L480" s="208"/>
      <c r="M480" s="208" t="s">
        <v>1543</v>
      </c>
      <c r="N480" s="295"/>
      <c r="O480" s="209"/>
      <c r="P480" s="25"/>
      <c r="Q480" s="347">
        <v>4.1399999999999997</v>
      </c>
      <c r="R480" s="26"/>
      <c r="S480" s="420">
        <f t="shared" ref="S480:S488" si="24">Q480*G480/100</f>
        <v>2.8979999999999997</v>
      </c>
      <c r="T480" s="420">
        <f t="shared" ref="T480:T488" si="25">Q480*H480/100</f>
        <v>1.7387999999999999</v>
      </c>
      <c r="U480" s="420">
        <f t="shared" ref="U480:U488" si="26">Q480*I480/100</f>
        <v>2.0699999999999998</v>
      </c>
      <c r="V480" s="118"/>
      <c r="W480" s="424">
        <f t="shared" ref="W480:W517" si="27">S480+T480+U480</f>
        <v>6.7067999999999994</v>
      </c>
      <c r="X480" s="424">
        <f t="shared" ref="X480:X517" si="28">W480*1.1</f>
        <v>7.3774800000000003</v>
      </c>
    </row>
    <row r="481" spans="1:24" s="119" customFormat="1" ht="24.9" hidden="1" customHeight="1">
      <c r="A481" s="296">
        <v>2</v>
      </c>
      <c r="B481" s="207" t="s">
        <v>1541</v>
      </c>
      <c r="C481" s="303" t="s">
        <v>1544</v>
      </c>
      <c r="D481" s="207" t="s">
        <v>235</v>
      </c>
      <c r="E481" s="298">
        <v>1</v>
      </c>
      <c r="F481" s="207" t="s">
        <v>236</v>
      </c>
      <c r="G481" s="208">
        <v>30</v>
      </c>
      <c r="H481" s="208">
        <v>10</v>
      </c>
      <c r="I481" s="299">
        <v>10</v>
      </c>
      <c r="J481" s="218"/>
      <c r="K481" s="208">
        <v>2.2770000000000001</v>
      </c>
      <c r="L481" s="208"/>
      <c r="M481" s="208" t="s">
        <v>1543</v>
      </c>
      <c r="N481" s="295"/>
      <c r="O481" s="209"/>
      <c r="P481" s="25"/>
      <c r="Q481" s="347">
        <v>4.1399999999999997</v>
      </c>
      <c r="R481" s="302"/>
      <c r="S481" s="420">
        <f t="shared" si="24"/>
        <v>1.242</v>
      </c>
      <c r="T481" s="420">
        <f t="shared" si="25"/>
        <v>0.41399999999999998</v>
      </c>
      <c r="U481" s="420">
        <f t="shared" si="26"/>
        <v>0.41399999999999998</v>
      </c>
      <c r="V481" s="118"/>
      <c r="W481" s="424">
        <f t="shared" si="27"/>
        <v>2.0699999999999998</v>
      </c>
      <c r="X481" s="424">
        <f t="shared" si="28"/>
        <v>2.2770000000000001</v>
      </c>
    </row>
    <row r="482" spans="1:24" s="119" customFormat="1" ht="24.9" hidden="1" customHeight="1">
      <c r="A482" s="296">
        <v>3</v>
      </c>
      <c r="B482" s="207" t="s">
        <v>1541</v>
      </c>
      <c r="C482" s="303" t="s">
        <v>1545</v>
      </c>
      <c r="D482" s="207" t="s">
        <v>235</v>
      </c>
      <c r="E482" s="298">
        <v>1</v>
      </c>
      <c r="F482" s="207" t="s">
        <v>236</v>
      </c>
      <c r="G482" s="208">
        <v>35</v>
      </c>
      <c r="H482" s="208">
        <v>10</v>
      </c>
      <c r="I482" s="299">
        <v>10</v>
      </c>
      <c r="J482" s="218"/>
      <c r="K482" s="208">
        <v>2.5046999999999997</v>
      </c>
      <c r="L482" s="208"/>
      <c r="M482" s="208" t="s">
        <v>1543</v>
      </c>
      <c r="N482" s="295"/>
      <c r="O482" s="209"/>
      <c r="P482" s="25"/>
      <c r="Q482" s="347">
        <v>4.1399999999999997</v>
      </c>
      <c r="R482" s="26"/>
      <c r="S482" s="420">
        <f t="shared" si="24"/>
        <v>1.4489999999999998</v>
      </c>
      <c r="T482" s="420">
        <f t="shared" si="25"/>
        <v>0.41399999999999998</v>
      </c>
      <c r="U482" s="420">
        <f t="shared" si="26"/>
        <v>0.41399999999999998</v>
      </c>
      <c r="V482" s="118"/>
      <c r="W482" s="424">
        <f t="shared" si="27"/>
        <v>2.2769999999999997</v>
      </c>
      <c r="X482" s="424">
        <f t="shared" si="28"/>
        <v>2.5046999999999997</v>
      </c>
    </row>
    <row r="483" spans="1:24" s="119" customFormat="1" ht="24.9" hidden="1" customHeight="1">
      <c r="A483" s="296">
        <v>4</v>
      </c>
      <c r="B483" s="207" t="s">
        <v>1541</v>
      </c>
      <c r="C483" s="303" t="s">
        <v>1546</v>
      </c>
      <c r="D483" s="207" t="s">
        <v>235</v>
      </c>
      <c r="E483" s="298">
        <v>1</v>
      </c>
      <c r="F483" s="207" t="s">
        <v>236</v>
      </c>
      <c r="G483" s="208">
        <v>15</v>
      </c>
      <c r="H483" s="208">
        <v>10</v>
      </c>
      <c r="I483" s="299">
        <v>10</v>
      </c>
      <c r="J483" s="218"/>
      <c r="K483" s="208">
        <v>1.5938999999999999</v>
      </c>
      <c r="L483" s="208"/>
      <c r="M483" s="208" t="s">
        <v>1543</v>
      </c>
      <c r="N483" s="295"/>
      <c r="O483" s="209"/>
      <c r="P483" s="25"/>
      <c r="Q483" s="347">
        <v>4.1399999999999997</v>
      </c>
      <c r="R483" s="302"/>
      <c r="S483" s="420">
        <f t="shared" si="24"/>
        <v>0.621</v>
      </c>
      <c r="T483" s="420">
        <f t="shared" si="25"/>
        <v>0.41399999999999998</v>
      </c>
      <c r="U483" s="420">
        <f t="shared" si="26"/>
        <v>0.41399999999999998</v>
      </c>
      <c r="V483" s="118"/>
      <c r="W483" s="424">
        <f t="shared" si="27"/>
        <v>1.4489999999999998</v>
      </c>
      <c r="X483" s="424">
        <f t="shared" si="28"/>
        <v>1.5938999999999999</v>
      </c>
    </row>
    <row r="484" spans="1:24" s="119" customFormat="1" ht="24.9" hidden="1" customHeight="1">
      <c r="A484" s="296">
        <v>5</v>
      </c>
      <c r="B484" s="207" t="s">
        <v>1541</v>
      </c>
      <c r="C484" s="303" t="s">
        <v>1547</v>
      </c>
      <c r="D484" s="207" t="s">
        <v>235</v>
      </c>
      <c r="E484" s="298">
        <v>1</v>
      </c>
      <c r="F484" s="207" t="s">
        <v>236</v>
      </c>
      <c r="G484" s="208">
        <v>200</v>
      </c>
      <c r="H484" s="208">
        <v>15</v>
      </c>
      <c r="I484" s="299">
        <v>10</v>
      </c>
      <c r="J484" s="218"/>
      <c r="K484" s="208">
        <v>10.246500000000001</v>
      </c>
      <c r="L484" s="208"/>
      <c r="M484" s="208" t="s">
        <v>1543</v>
      </c>
      <c r="N484" s="295"/>
      <c r="O484" s="209"/>
      <c r="P484" s="25"/>
      <c r="Q484" s="347">
        <v>4.1399999999999997</v>
      </c>
      <c r="R484" s="26"/>
      <c r="S484" s="420">
        <f t="shared" si="24"/>
        <v>8.2799999999999994</v>
      </c>
      <c r="T484" s="420">
        <f t="shared" si="25"/>
        <v>0.621</v>
      </c>
      <c r="U484" s="420">
        <f t="shared" si="26"/>
        <v>0.41399999999999998</v>
      </c>
      <c r="V484" s="118"/>
      <c r="W484" s="424">
        <f t="shared" si="27"/>
        <v>9.3149999999999995</v>
      </c>
      <c r="X484" s="424">
        <f t="shared" si="28"/>
        <v>10.246500000000001</v>
      </c>
    </row>
    <row r="485" spans="1:24" s="119" customFormat="1" ht="24.9" hidden="1" customHeight="1">
      <c r="A485" s="296">
        <v>6</v>
      </c>
      <c r="B485" s="207" t="s">
        <v>1541</v>
      </c>
      <c r="C485" s="303" t="s">
        <v>1548</v>
      </c>
      <c r="D485" s="207" t="s">
        <v>235</v>
      </c>
      <c r="E485" s="298">
        <v>1</v>
      </c>
      <c r="F485" s="207" t="s">
        <v>236</v>
      </c>
      <c r="G485" s="208">
        <v>70</v>
      </c>
      <c r="H485" s="208">
        <v>52</v>
      </c>
      <c r="I485" s="299">
        <v>10</v>
      </c>
      <c r="J485" s="218"/>
      <c r="K485" s="208">
        <v>6.0112799999999993</v>
      </c>
      <c r="L485" s="208"/>
      <c r="M485" s="208" t="s">
        <v>1543</v>
      </c>
      <c r="N485" s="295"/>
      <c r="O485" s="209"/>
      <c r="P485" s="25"/>
      <c r="Q485" s="347">
        <v>4.1399999999999997</v>
      </c>
      <c r="R485" s="302"/>
      <c r="S485" s="420">
        <f t="shared" si="24"/>
        <v>2.8979999999999997</v>
      </c>
      <c r="T485" s="420">
        <f t="shared" si="25"/>
        <v>2.1527999999999996</v>
      </c>
      <c r="U485" s="420">
        <f t="shared" si="26"/>
        <v>0.41399999999999998</v>
      </c>
      <c r="V485" s="118"/>
      <c r="W485" s="424">
        <f t="shared" si="27"/>
        <v>5.4647999999999985</v>
      </c>
      <c r="X485" s="424">
        <f t="shared" si="28"/>
        <v>6.0112799999999993</v>
      </c>
    </row>
    <row r="486" spans="1:24" s="119" customFormat="1" ht="24.9" hidden="1" customHeight="1">
      <c r="A486" s="296">
        <v>7</v>
      </c>
      <c r="B486" s="207" t="s">
        <v>1541</v>
      </c>
      <c r="C486" s="303" t="s">
        <v>1549</v>
      </c>
      <c r="D486" s="207" t="s">
        <v>235</v>
      </c>
      <c r="E486" s="298">
        <v>1</v>
      </c>
      <c r="F486" s="207" t="s">
        <v>236</v>
      </c>
      <c r="G486" s="208">
        <v>36</v>
      </c>
      <c r="H486" s="208">
        <v>10</v>
      </c>
      <c r="I486" s="299">
        <v>10</v>
      </c>
      <c r="J486" s="218"/>
      <c r="K486" s="208">
        <v>2.5502400000000001</v>
      </c>
      <c r="L486" s="208"/>
      <c r="M486" s="208" t="s">
        <v>1543</v>
      </c>
      <c r="N486" s="295"/>
      <c r="O486" s="209"/>
      <c r="P486" s="25"/>
      <c r="Q486" s="347">
        <v>4.1399999999999997</v>
      </c>
      <c r="R486" s="26"/>
      <c r="S486" s="420">
        <f t="shared" si="24"/>
        <v>1.4903999999999999</v>
      </c>
      <c r="T486" s="420">
        <f t="shared" si="25"/>
        <v>0.41399999999999998</v>
      </c>
      <c r="U486" s="420">
        <f t="shared" si="26"/>
        <v>0.41399999999999998</v>
      </c>
      <c r="V486" s="118"/>
      <c r="W486" s="424">
        <f t="shared" si="27"/>
        <v>2.3184</v>
      </c>
      <c r="X486" s="424">
        <f t="shared" si="28"/>
        <v>2.5502400000000001</v>
      </c>
    </row>
    <row r="487" spans="1:24" s="119" customFormat="1" ht="24.9" hidden="1" customHeight="1">
      <c r="A487" s="296">
        <v>8</v>
      </c>
      <c r="B487" s="207" t="s">
        <v>1541</v>
      </c>
      <c r="C487" s="303" t="s">
        <v>1550</v>
      </c>
      <c r="D487" s="207" t="s">
        <v>235</v>
      </c>
      <c r="E487" s="298">
        <v>1</v>
      </c>
      <c r="F487" s="207" t="s">
        <v>236</v>
      </c>
      <c r="G487" s="208">
        <v>43</v>
      </c>
      <c r="H487" s="208">
        <v>10</v>
      </c>
      <c r="I487" s="299">
        <v>10</v>
      </c>
      <c r="J487" s="218"/>
      <c r="K487" s="208">
        <v>2.8690200000000003</v>
      </c>
      <c r="L487" s="208"/>
      <c r="M487" s="208" t="s">
        <v>1543</v>
      </c>
      <c r="N487" s="295"/>
      <c r="O487" s="209"/>
      <c r="P487" s="25"/>
      <c r="Q487" s="347">
        <v>4.1399999999999997</v>
      </c>
      <c r="R487" s="302"/>
      <c r="S487" s="420">
        <f t="shared" si="24"/>
        <v>1.7801999999999998</v>
      </c>
      <c r="T487" s="420">
        <f t="shared" si="25"/>
        <v>0.41399999999999998</v>
      </c>
      <c r="U487" s="420">
        <f t="shared" si="26"/>
        <v>0.41399999999999998</v>
      </c>
      <c r="V487" s="118"/>
      <c r="W487" s="424">
        <f t="shared" si="27"/>
        <v>2.6082000000000001</v>
      </c>
      <c r="X487" s="424">
        <f t="shared" si="28"/>
        <v>2.8690200000000003</v>
      </c>
    </row>
    <row r="488" spans="1:24" s="119" customFormat="1" ht="24.9" hidden="1" customHeight="1">
      <c r="A488" s="296">
        <v>9</v>
      </c>
      <c r="B488" s="207" t="s">
        <v>1541</v>
      </c>
      <c r="C488" s="303" t="s">
        <v>1551</v>
      </c>
      <c r="D488" s="207" t="s">
        <v>235</v>
      </c>
      <c r="E488" s="298">
        <v>1</v>
      </c>
      <c r="F488" s="207" t="s">
        <v>236</v>
      </c>
      <c r="G488" s="208">
        <v>15</v>
      </c>
      <c r="H488" s="208">
        <v>10</v>
      </c>
      <c r="I488" s="299">
        <v>10</v>
      </c>
      <c r="J488" s="218"/>
      <c r="K488" s="208">
        <v>1.5938999999999999</v>
      </c>
      <c r="L488" s="208"/>
      <c r="M488" s="208" t="s">
        <v>1543</v>
      </c>
      <c r="N488" s="295"/>
      <c r="O488" s="209"/>
      <c r="P488" s="25"/>
      <c r="Q488" s="347">
        <v>4.1399999999999997</v>
      </c>
      <c r="R488" s="26"/>
      <c r="S488" s="420">
        <f t="shared" si="24"/>
        <v>0.621</v>
      </c>
      <c r="T488" s="420">
        <f t="shared" si="25"/>
        <v>0.41399999999999998</v>
      </c>
      <c r="U488" s="420">
        <f t="shared" si="26"/>
        <v>0.41399999999999998</v>
      </c>
      <c r="V488" s="118"/>
      <c r="W488" s="424">
        <f t="shared" si="27"/>
        <v>1.4489999999999998</v>
      </c>
      <c r="X488" s="424">
        <f t="shared" si="28"/>
        <v>1.5938999999999999</v>
      </c>
    </row>
    <row r="489" spans="1:24" s="307" customFormat="1" ht="24.9" hidden="1" customHeight="1">
      <c r="A489" s="296">
        <v>10</v>
      </c>
      <c r="B489" s="207" t="s">
        <v>1541</v>
      </c>
      <c r="C489" s="303" t="s">
        <v>1552</v>
      </c>
      <c r="D489" s="207" t="s">
        <v>235</v>
      </c>
      <c r="E489" s="298">
        <v>1</v>
      </c>
      <c r="F489" s="207" t="s">
        <v>236</v>
      </c>
      <c r="G489" s="208">
        <v>20</v>
      </c>
      <c r="H489" s="299">
        <v>15</v>
      </c>
      <c r="I489" s="299">
        <v>15</v>
      </c>
      <c r="J489" s="436"/>
      <c r="K489" s="437">
        <v>2.2770000000000001</v>
      </c>
      <c r="L489" s="438"/>
      <c r="M489" s="208" t="s">
        <v>1543</v>
      </c>
      <c r="N489" s="423"/>
      <c r="O489" s="209"/>
      <c r="P489" s="422"/>
      <c r="Q489" s="347">
        <v>4.1399999999999997</v>
      </c>
      <c r="R489" s="26"/>
      <c r="S489" s="420">
        <f t="shared" ref="S489:S497" si="29">Q489*G489/100</f>
        <v>0.82799999999999996</v>
      </c>
      <c r="T489" s="420">
        <f t="shared" ref="T489:T497" si="30">Q489*H489/100</f>
        <v>0.621</v>
      </c>
      <c r="U489" s="420">
        <f t="shared" ref="U489:U497" si="31">Q489*I489/100</f>
        <v>0.621</v>
      </c>
      <c r="V489" s="306"/>
      <c r="W489" s="424">
        <f t="shared" si="27"/>
        <v>2.0699999999999998</v>
      </c>
      <c r="X489" s="424">
        <f t="shared" si="28"/>
        <v>2.2770000000000001</v>
      </c>
    </row>
    <row r="490" spans="1:24" s="307" customFormat="1" ht="24.9" hidden="1" customHeight="1">
      <c r="A490" s="296">
        <v>11</v>
      </c>
      <c r="B490" s="207" t="s">
        <v>1541</v>
      </c>
      <c r="C490" s="303" t="s">
        <v>1553</v>
      </c>
      <c r="D490" s="207" t="s">
        <v>235</v>
      </c>
      <c r="E490" s="298">
        <v>1</v>
      </c>
      <c r="F490" s="207" t="s">
        <v>236</v>
      </c>
      <c r="G490" s="208">
        <v>38</v>
      </c>
      <c r="H490" s="299">
        <v>15</v>
      </c>
      <c r="I490" s="299">
        <v>15</v>
      </c>
      <c r="J490" s="436"/>
      <c r="K490" s="437">
        <v>3.0967200000000004</v>
      </c>
      <c r="L490" s="438"/>
      <c r="M490" s="208" t="s">
        <v>1543</v>
      </c>
      <c r="N490" s="423"/>
      <c r="O490" s="209"/>
      <c r="P490" s="422"/>
      <c r="Q490" s="347">
        <v>4.1399999999999997</v>
      </c>
      <c r="R490" s="302"/>
      <c r="S490" s="420">
        <f t="shared" si="29"/>
        <v>1.5731999999999999</v>
      </c>
      <c r="T490" s="420">
        <f t="shared" si="30"/>
        <v>0.621</v>
      </c>
      <c r="U490" s="420">
        <f t="shared" si="31"/>
        <v>0.621</v>
      </c>
      <c r="V490" s="306"/>
      <c r="W490" s="424">
        <f t="shared" si="27"/>
        <v>2.8151999999999999</v>
      </c>
      <c r="X490" s="424">
        <f t="shared" si="28"/>
        <v>3.0967200000000004</v>
      </c>
    </row>
    <row r="491" spans="1:24" s="307" customFormat="1" ht="24.9" hidden="1" customHeight="1">
      <c r="A491" s="296">
        <v>12</v>
      </c>
      <c r="B491" s="207" t="s">
        <v>1541</v>
      </c>
      <c r="C491" s="303" t="s">
        <v>1554</v>
      </c>
      <c r="D491" s="207" t="s">
        <v>235</v>
      </c>
      <c r="E491" s="298">
        <v>1</v>
      </c>
      <c r="F491" s="207" t="s">
        <v>236</v>
      </c>
      <c r="G491" s="208">
        <v>32</v>
      </c>
      <c r="H491" s="299">
        <v>15</v>
      </c>
      <c r="I491" s="299">
        <v>15</v>
      </c>
      <c r="J491" s="436"/>
      <c r="K491" s="437">
        <v>2.82348</v>
      </c>
      <c r="L491" s="438"/>
      <c r="M491" s="208" t="s">
        <v>1543</v>
      </c>
      <c r="N491" s="423"/>
      <c r="O491" s="209"/>
      <c r="P491" s="422"/>
      <c r="Q491" s="347">
        <v>4.1399999999999997</v>
      </c>
      <c r="R491" s="26"/>
      <c r="S491" s="420">
        <f t="shared" si="29"/>
        <v>1.3248</v>
      </c>
      <c r="T491" s="420">
        <f t="shared" si="30"/>
        <v>0.621</v>
      </c>
      <c r="U491" s="420">
        <f t="shared" si="31"/>
        <v>0.621</v>
      </c>
      <c r="V491" s="306"/>
      <c r="W491" s="424">
        <f t="shared" si="27"/>
        <v>2.5667999999999997</v>
      </c>
      <c r="X491" s="424">
        <f t="shared" si="28"/>
        <v>2.82348</v>
      </c>
    </row>
    <row r="492" spans="1:24" s="307" customFormat="1" ht="24.9" hidden="1" customHeight="1">
      <c r="A492" s="296">
        <v>13</v>
      </c>
      <c r="B492" s="207" t="s">
        <v>1541</v>
      </c>
      <c r="C492" s="303" t="s">
        <v>1555</v>
      </c>
      <c r="D492" s="207" t="s">
        <v>235</v>
      </c>
      <c r="E492" s="298">
        <v>1</v>
      </c>
      <c r="F492" s="207" t="s">
        <v>236</v>
      </c>
      <c r="G492" s="208">
        <v>75</v>
      </c>
      <c r="H492" s="208">
        <v>52</v>
      </c>
      <c r="I492" s="299">
        <v>15</v>
      </c>
      <c r="J492" s="436"/>
      <c r="K492" s="437">
        <v>6.4666800000000002</v>
      </c>
      <c r="L492" s="438"/>
      <c r="M492" s="208" t="s">
        <v>1543</v>
      </c>
      <c r="N492" s="423"/>
      <c r="O492" s="209"/>
      <c r="P492" s="422"/>
      <c r="Q492" s="347">
        <v>4.1399999999999997</v>
      </c>
      <c r="R492" s="302"/>
      <c r="S492" s="420">
        <f t="shared" si="29"/>
        <v>3.105</v>
      </c>
      <c r="T492" s="420">
        <f t="shared" si="30"/>
        <v>2.1527999999999996</v>
      </c>
      <c r="U492" s="420">
        <f t="shared" si="31"/>
        <v>0.621</v>
      </c>
      <c r="V492" s="306"/>
      <c r="W492" s="424">
        <f t="shared" si="27"/>
        <v>5.8788</v>
      </c>
      <c r="X492" s="424">
        <f t="shared" si="28"/>
        <v>6.4666800000000002</v>
      </c>
    </row>
    <row r="493" spans="1:24" s="307" customFormat="1" ht="24.9" hidden="1" customHeight="1">
      <c r="A493" s="296">
        <v>14</v>
      </c>
      <c r="B493" s="207" t="s">
        <v>1541</v>
      </c>
      <c r="C493" s="303" t="s">
        <v>1556</v>
      </c>
      <c r="D493" s="207" t="s">
        <v>235</v>
      </c>
      <c r="E493" s="298">
        <v>1</v>
      </c>
      <c r="F493" s="207" t="s">
        <v>236</v>
      </c>
      <c r="G493" s="208">
        <v>23</v>
      </c>
      <c r="H493" s="299">
        <v>15</v>
      </c>
      <c r="I493" s="299">
        <v>15</v>
      </c>
      <c r="J493" s="436"/>
      <c r="K493" s="437">
        <v>2.4136200000000003</v>
      </c>
      <c r="L493" s="438"/>
      <c r="M493" s="208" t="s">
        <v>1543</v>
      </c>
      <c r="N493" s="423"/>
      <c r="O493" s="209"/>
      <c r="P493" s="422"/>
      <c r="Q493" s="347">
        <v>4.1399999999999997</v>
      </c>
      <c r="R493" s="26"/>
      <c r="S493" s="420">
        <f t="shared" si="29"/>
        <v>0.95219999999999994</v>
      </c>
      <c r="T493" s="420">
        <f t="shared" si="30"/>
        <v>0.621</v>
      </c>
      <c r="U493" s="420">
        <f t="shared" si="31"/>
        <v>0.621</v>
      </c>
      <c r="V493" s="306"/>
      <c r="W493" s="424">
        <f t="shared" si="27"/>
        <v>2.1941999999999999</v>
      </c>
      <c r="X493" s="424">
        <f t="shared" si="28"/>
        <v>2.4136200000000003</v>
      </c>
    </row>
    <row r="494" spans="1:24" s="307" customFormat="1" ht="24.9" hidden="1" customHeight="1">
      <c r="A494" s="296">
        <v>15</v>
      </c>
      <c r="B494" s="207" t="s">
        <v>1541</v>
      </c>
      <c r="C494" s="303" t="s">
        <v>1557</v>
      </c>
      <c r="D494" s="207" t="s">
        <v>235</v>
      </c>
      <c r="E494" s="298">
        <v>1</v>
      </c>
      <c r="F494" s="207" t="s">
        <v>236</v>
      </c>
      <c r="G494" s="208">
        <v>43</v>
      </c>
      <c r="H494" s="299">
        <v>15</v>
      </c>
      <c r="I494" s="299">
        <v>15</v>
      </c>
      <c r="J494" s="436"/>
      <c r="K494" s="437">
        <v>3.3244199999999999</v>
      </c>
      <c r="L494" s="438"/>
      <c r="M494" s="208" t="s">
        <v>1543</v>
      </c>
      <c r="N494" s="423"/>
      <c r="O494" s="209"/>
      <c r="P494" s="422"/>
      <c r="Q494" s="347">
        <v>4.1399999999999997</v>
      </c>
      <c r="R494" s="302"/>
      <c r="S494" s="420">
        <f t="shared" si="29"/>
        <v>1.7801999999999998</v>
      </c>
      <c r="T494" s="420">
        <f t="shared" si="30"/>
        <v>0.621</v>
      </c>
      <c r="U494" s="420">
        <f t="shared" si="31"/>
        <v>0.621</v>
      </c>
      <c r="V494" s="306"/>
      <c r="W494" s="424">
        <f t="shared" si="27"/>
        <v>3.0221999999999998</v>
      </c>
      <c r="X494" s="424">
        <f t="shared" si="28"/>
        <v>3.3244199999999999</v>
      </c>
    </row>
    <row r="495" spans="1:24" s="307" customFormat="1" ht="24.9" hidden="1" customHeight="1">
      <c r="A495" s="296">
        <v>16</v>
      </c>
      <c r="B495" s="207" t="s">
        <v>1541</v>
      </c>
      <c r="C495" s="303" t="s">
        <v>1558</v>
      </c>
      <c r="D495" s="207" t="s">
        <v>235</v>
      </c>
      <c r="E495" s="298">
        <v>1</v>
      </c>
      <c r="F495" s="207" t="s">
        <v>236</v>
      </c>
      <c r="G495" s="208">
        <v>36</v>
      </c>
      <c r="H495" s="299">
        <v>15</v>
      </c>
      <c r="I495" s="299">
        <v>15</v>
      </c>
      <c r="J495" s="436"/>
      <c r="K495" s="437">
        <v>3.0056400000000001</v>
      </c>
      <c r="L495" s="438"/>
      <c r="M495" s="208" t="s">
        <v>1543</v>
      </c>
      <c r="N495" s="423"/>
      <c r="O495" s="209"/>
      <c r="P495" s="422"/>
      <c r="Q495" s="347">
        <v>4.1399999999999997</v>
      </c>
      <c r="R495" s="26"/>
      <c r="S495" s="420">
        <f t="shared" si="29"/>
        <v>1.4903999999999999</v>
      </c>
      <c r="T495" s="420">
        <f t="shared" si="30"/>
        <v>0.621</v>
      </c>
      <c r="U495" s="420">
        <f t="shared" si="31"/>
        <v>0.621</v>
      </c>
      <c r="V495" s="306"/>
      <c r="W495" s="424">
        <f t="shared" si="27"/>
        <v>2.7323999999999997</v>
      </c>
      <c r="X495" s="424">
        <f t="shared" si="28"/>
        <v>3.0056400000000001</v>
      </c>
    </row>
    <row r="496" spans="1:24" s="307" customFormat="1" ht="24.9" hidden="1" customHeight="1">
      <c r="A496" s="296">
        <v>17</v>
      </c>
      <c r="B496" s="207" t="s">
        <v>1541</v>
      </c>
      <c r="C496" s="303" t="s">
        <v>1559</v>
      </c>
      <c r="D496" s="207" t="s">
        <v>235</v>
      </c>
      <c r="E496" s="298">
        <v>1</v>
      </c>
      <c r="F496" s="207" t="s">
        <v>236</v>
      </c>
      <c r="G496" s="208">
        <v>78</v>
      </c>
      <c r="H496" s="208">
        <v>52</v>
      </c>
      <c r="I496" s="299">
        <v>15</v>
      </c>
      <c r="J496" s="436"/>
      <c r="K496" s="437">
        <v>6.6033000000000008</v>
      </c>
      <c r="L496" s="438"/>
      <c r="M496" s="208" t="s">
        <v>1543</v>
      </c>
      <c r="N496" s="423"/>
      <c r="O496" s="209"/>
      <c r="P496" s="422"/>
      <c r="Q496" s="347">
        <v>4.1399999999999997</v>
      </c>
      <c r="R496" s="302"/>
      <c r="S496" s="420">
        <f t="shared" si="29"/>
        <v>3.2291999999999996</v>
      </c>
      <c r="T496" s="420">
        <f t="shared" si="30"/>
        <v>2.1527999999999996</v>
      </c>
      <c r="U496" s="420">
        <f t="shared" si="31"/>
        <v>0.621</v>
      </c>
      <c r="V496" s="306"/>
      <c r="W496" s="424">
        <f t="shared" si="27"/>
        <v>6.0030000000000001</v>
      </c>
      <c r="X496" s="424">
        <f t="shared" si="28"/>
        <v>6.6033000000000008</v>
      </c>
    </row>
    <row r="497" spans="1:24" s="307" customFormat="1" ht="24.9" hidden="1" customHeight="1">
      <c r="A497" s="296">
        <v>18</v>
      </c>
      <c r="B497" s="207" t="s">
        <v>1541</v>
      </c>
      <c r="C497" s="303" t="s">
        <v>1560</v>
      </c>
      <c r="D497" s="207" t="s">
        <v>235</v>
      </c>
      <c r="E497" s="298">
        <v>1</v>
      </c>
      <c r="F497" s="207" t="s">
        <v>236</v>
      </c>
      <c r="G497" s="208">
        <v>200</v>
      </c>
      <c r="H497" s="208">
        <v>17</v>
      </c>
      <c r="I497" s="299">
        <v>15</v>
      </c>
      <c r="J497" s="436"/>
      <c r="K497" s="437">
        <v>10.56528</v>
      </c>
      <c r="L497" s="438"/>
      <c r="M497" s="208" t="s">
        <v>1543</v>
      </c>
      <c r="N497" s="423"/>
      <c r="O497" s="209"/>
      <c r="P497" s="422"/>
      <c r="Q497" s="347">
        <v>4.1399999999999997</v>
      </c>
      <c r="R497" s="26"/>
      <c r="S497" s="420">
        <f t="shared" si="29"/>
        <v>8.2799999999999994</v>
      </c>
      <c r="T497" s="420">
        <f t="shared" si="30"/>
        <v>0.70379999999999998</v>
      </c>
      <c r="U497" s="420">
        <f t="shared" si="31"/>
        <v>0.621</v>
      </c>
      <c r="V497" s="306"/>
      <c r="W497" s="424">
        <f t="shared" si="27"/>
        <v>9.6047999999999991</v>
      </c>
      <c r="X497" s="424">
        <f t="shared" si="28"/>
        <v>10.56528</v>
      </c>
    </row>
    <row r="498" spans="1:24" s="119" customFormat="1" ht="24.9" hidden="1" customHeight="1">
      <c r="A498" s="296">
        <v>19</v>
      </c>
      <c r="B498" s="207" t="s">
        <v>1541</v>
      </c>
      <c r="C498" s="303" t="s">
        <v>1561</v>
      </c>
      <c r="D498" s="207" t="s">
        <v>235</v>
      </c>
      <c r="E498" s="298">
        <v>1</v>
      </c>
      <c r="F498" s="207" t="s">
        <v>236</v>
      </c>
      <c r="G498" s="208">
        <v>100</v>
      </c>
      <c r="H498" s="208">
        <v>10</v>
      </c>
      <c r="I498" s="299">
        <v>50</v>
      </c>
      <c r="J498" s="218"/>
      <c r="K498" s="208">
        <v>7.2863999999999995</v>
      </c>
      <c r="L498" s="208"/>
      <c r="M498" s="208" t="s">
        <v>1543</v>
      </c>
      <c r="N498" s="295"/>
      <c r="O498" s="209"/>
      <c r="P498" s="25"/>
      <c r="Q498" s="347">
        <v>4.1399999999999997</v>
      </c>
      <c r="R498" s="26"/>
      <c r="S498" s="420">
        <f>Q498*G498/100</f>
        <v>4.1399999999999997</v>
      </c>
      <c r="T498" s="420">
        <f>Q498*H498/100</f>
        <v>0.41399999999999998</v>
      </c>
      <c r="U498" s="420">
        <f>Q498*I498/100</f>
        <v>2.0699999999999998</v>
      </c>
      <c r="V498" s="118"/>
      <c r="W498" s="424">
        <f t="shared" si="27"/>
        <v>6.6239999999999988</v>
      </c>
      <c r="X498" s="424">
        <f t="shared" si="28"/>
        <v>7.2863999999999995</v>
      </c>
    </row>
    <row r="499" spans="1:24" s="119" customFormat="1" ht="24.9" hidden="1" customHeight="1">
      <c r="A499" s="296">
        <v>20</v>
      </c>
      <c r="B499" s="207" t="s">
        <v>1541</v>
      </c>
      <c r="C499" s="303" t="s">
        <v>1562</v>
      </c>
      <c r="D499" s="207" t="s">
        <v>235</v>
      </c>
      <c r="E499" s="298">
        <v>1</v>
      </c>
      <c r="F499" s="207" t="s">
        <v>236</v>
      </c>
      <c r="G499" s="208">
        <v>160</v>
      </c>
      <c r="H499" s="208">
        <v>10</v>
      </c>
      <c r="I499" s="299">
        <v>215</v>
      </c>
      <c r="J499" s="218"/>
      <c r="K499" s="208">
        <v>17.532900000000001</v>
      </c>
      <c r="L499" s="208"/>
      <c r="M499" s="208" t="s">
        <v>1543</v>
      </c>
      <c r="N499" s="295"/>
      <c r="O499" s="209"/>
      <c r="P499" s="25"/>
      <c r="Q499" s="347">
        <v>4.1399999999999997</v>
      </c>
      <c r="R499" s="302"/>
      <c r="S499" s="420">
        <f>Q499*G499/100</f>
        <v>6.6239999999999997</v>
      </c>
      <c r="T499" s="420">
        <f>Q499*H499/100</f>
        <v>0.41399999999999998</v>
      </c>
      <c r="U499" s="420">
        <f>Q499*I499/100</f>
        <v>8.9009999999999998</v>
      </c>
      <c r="V499" s="118"/>
      <c r="W499" s="424">
        <f t="shared" si="27"/>
        <v>15.939</v>
      </c>
      <c r="X499" s="424">
        <f t="shared" si="28"/>
        <v>17.532900000000001</v>
      </c>
    </row>
    <row r="500" spans="1:24" s="119" customFormat="1" ht="24.9" hidden="1" customHeight="1">
      <c r="A500" s="296">
        <v>21</v>
      </c>
      <c r="B500" s="207" t="s">
        <v>1541</v>
      </c>
      <c r="C500" s="303" t="s">
        <v>1563</v>
      </c>
      <c r="D500" s="207" t="s">
        <v>235</v>
      </c>
      <c r="E500" s="298">
        <v>1</v>
      </c>
      <c r="F500" s="207" t="s">
        <v>236</v>
      </c>
      <c r="G500" s="208">
        <v>541</v>
      </c>
      <c r="H500" s="208">
        <v>60</v>
      </c>
      <c r="I500" s="299">
        <v>42</v>
      </c>
      <c r="J500" s="218"/>
      <c r="K500" s="208">
        <v>29.282220000000002</v>
      </c>
      <c r="L500" s="208"/>
      <c r="M500" s="208" t="s">
        <v>1543</v>
      </c>
      <c r="N500" s="295"/>
      <c r="O500" s="209"/>
      <c r="P500" s="25"/>
      <c r="Q500" s="347">
        <v>4.1399999999999997</v>
      </c>
      <c r="R500" s="26"/>
      <c r="S500" s="420">
        <f>Q500*G500/100</f>
        <v>22.397399999999998</v>
      </c>
      <c r="T500" s="420">
        <f>Q500*H500/100</f>
        <v>2.484</v>
      </c>
      <c r="U500" s="420">
        <f>Q500*I500/100</f>
        <v>1.7387999999999999</v>
      </c>
      <c r="V500" s="118"/>
      <c r="W500" s="424">
        <f t="shared" si="27"/>
        <v>26.620200000000001</v>
      </c>
      <c r="X500" s="424">
        <f t="shared" si="28"/>
        <v>29.282220000000002</v>
      </c>
    </row>
    <row r="501" spans="1:24" s="119" customFormat="1" ht="24.9" hidden="1" customHeight="1">
      <c r="A501" s="296">
        <v>22</v>
      </c>
      <c r="B501" s="207" t="s">
        <v>1541</v>
      </c>
      <c r="C501" s="303" t="s">
        <v>1564</v>
      </c>
      <c r="D501" s="207" t="s">
        <v>235</v>
      </c>
      <c r="E501" s="298">
        <v>1</v>
      </c>
      <c r="F501" s="207" t="s">
        <v>236</v>
      </c>
      <c r="G501" s="208">
        <v>610</v>
      </c>
      <c r="H501" s="208">
        <v>42</v>
      </c>
      <c r="I501" s="299">
        <v>15</v>
      </c>
      <c r="J501" s="218"/>
      <c r="K501" s="208">
        <v>30.37518</v>
      </c>
      <c r="L501" s="208"/>
      <c r="M501" s="208" t="s">
        <v>1543</v>
      </c>
      <c r="N501" s="295"/>
      <c r="O501" s="209"/>
      <c r="P501" s="25"/>
      <c r="Q501" s="347">
        <v>4.1399999999999997</v>
      </c>
      <c r="R501" s="302"/>
      <c r="S501" s="420">
        <f>Q501*G501/100</f>
        <v>25.253999999999998</v>
      </c>
      <c r="T501" s="420">
        <f>Q501*H501/100</f>
        <v>1.7387999999999999</v>
      </c>
      <c r="U501" s="420">
        <f>Q501*I501/100</f>
        <v>0.621</v>
      </c>
      <c r="V501" s="118"/>
      <c r="W501" s="424">
        <f t="shared" si="27"/>
        <v>27.613799999999998</v>
      </c>
      <c r="X501" s="424">
        <f t="shared" si="28"/>
        <v>30.37518</v>
      </c>
    </row>
    <row r="502" spans="1:24" s="119" customFormat="1" ht="24.9" hidden="1" customHeight="1">
      <c r="A502" s="296">
        <v>23</v>
      </c>
      <c r="B502" s="207" t="s">
        <v>1541</v>
      </c>
      <c r="C502" s="303" t="s">
        <v>1565</v>
      </c>
      <c r="D502" s="207" t="s">
        <v>235</v>
      </c>
      <c r="E502" s="298">
        <v>1</v>
      </c>
      <c r="F502" s="207" t="s">
        <v>236</v>
      </c>
      <c r="G502" s="208">
        <v>173</v>
      </c>
      <c r="H502" s="208">
        <v>59</v>
      </c>
      <c r="I502" s="299">
        <v>40</v>
      </c>
      <c r="J502" s="218"/>
      <c r="K502" s="208">
        <v>12.386880000000001</v>
      </c>
      <c r="L502" s="208"/>
      <c r="M502" s="208" t="s">
        <v>1543</v>
      </c>
      <c r="N502" s="295"/>
      <c r="O502" s="209"/>
      <c r="P502" s="25"/>
      <c r="Q502" s="347">
        <v>4.1399999999999997</v>
      </c>
      <c r="R502" s="26"/>
      <c r="S502" s="420">
        <f t="shared" ref="S502:S547" si="32">Q502*G502/100</f>
        <v>7.1621999999999995</v>
      </c>
      <c r="T502" s="420">
        <f t="shared" ref="T502:T547" si="33">Q502*H502/100</f>
        <v>2.4426000000000001</v>
      </c>
      <c r="U502" s="420">
        <f t="shared" ref="U502:U547" si="34">Q502*I502/100</f>
        <v>1.6559999999999999</v>
      </c>
      <c r="V502" s="118"/>
      <c r="W502" s="424">
        <f t="shared" si="27"/>
        <v>11.2608</v>
      </c>
      <c r="X502" s="424">
        <f t="shared" si="28"/>
        <v>12.386880000000001</v>
      </c>
    </row>
    <row r="503" spans="1:24" s="119" customFormat="1" ht="24.9" hidden="1" customHeight="1">
      <c r="A503" s="296">
        <v>24</v>
      </c>
      <c r="B503" s="207" t="s">
        <v>1541</v>
      </c>
      <c r="C503" s="303" t="s">
        <v>1566</v>
      </c>
      <c r="D503" s="207" t="s">
        <v>235</v>
      </c>
      <c r="E503" s="298">
        <v>1</v>
      </c>
      <c r="F503" s="207" t="s">
        <v>236</v>
      </c>
      <c r="G503" s="208">
        <v>610</v>
      </c>
      <c r="H503" s="208">
        <v>40</v>
      </c>
      <c r="I503" s="299">
        <v>10</v>
      </c>
      <c r="J503" s="218"/>
      <c r="K503" s="208">
        <v>30.0564</v>
      </c>
      <c r="L503" s="208"/>
      <c r="M503" s="208" t="s">
        <v>1543</v>
      </c>
      <c r="N503" s="295"/>
      <c r="O503" s="209"/>
      <c r="P503" s="25"/>
      <c r="Q503" s="347">
        <v>4.1399999999999997</v>
      </c>
      <c r="R503" s="302"/>
      <c r="S503" s="420">
        <f t="shared" si="32"/>
        <v>25.253999999999998</v>
      </c>
      <c r="T503" s="420">
        <f t="shared" si="33"/>
        <v>1.6559999999999999</v>
      </c>
      <c r="U503" s="420">
        <f t="shared" si="34"/>
        <v>0.41399999999999998</v>
      </c>
      <c r="V503" s="118"/>
      <c r="W503" s="424">
        <f t="shared" si="27"/>
        <v>27.323999999999998</v>
      </c>
      <c r="X503" s="424">
        <f t="shared" si="28"/>
        <v>30.0564</v>
      </c>
    </row>
    <row r="504" spans="1:24" s="119" customFormat="1" ht="24.9" hidden="1" customHeight="1">
      <c r="A504" s="296">
        <v>25</v>
      </c>
      <c r="B504" s="207" t="s">
        <v>1541</v>
      </c>
      <c r="C504" s="303" t="s">
        <v>1567</v>
      </c>
      <c r="D504" s="207" t="s">
        <v>235</v>
      </c>
      <c r="E504" s="298">
        <v>1</v>
      </c>
      <c r="F504" s="207" t="s">
        <v>236</v>
      </c>
      <c r="G504" s="208">
        <v>175</v>
      </c>
      <c r="H504" s="208">
        <v>35</v>
      </c>
      <c r="I504" s="299">
        <v>55</v>
      </c>
      <c r="J504" s="218"/>
      <c r="K504" s="208">
        <v>12.068099999999999</v>
      </c>
      <c r="L504" s="208"/>
      <c r="M504" s="208" t="s">
        <v>1543</v>
      </c>
      <c r="N504" s="295"/>
      <c r="O504" s="209"/>
      <c r="P504" s="25"/>
      <c r="Q504" s="347">
        <v>4.1399999999999997</v>
      </c>
      <c r="R504" s="26"/>
      <c r="S504" s="420">
        <f t="shared" si="32"/>
        <v>7.2450000000000001</v>
      </c>
      <c r="T504" s="420">
        <f t="shared" si="33"/>
        <v>1.4489999999999998</v>
      </c>
      <c r="U504" s="420">
        <f t="shared" si="34"/>
        <v>2.2769999999999997</v>
      </c>
      <c r="V504" s="118"/>
      <c r="W504" s="424">
        <f t="shared" si="27"/>
        <v>10.970999999999998</v>
      </c>
      <c r="X504" s="424">
        <f t="shared" si="28"/>
        <v>12.068099999999999</v>
      </c>
    </row>
    <row r="505" spans="1:24" s="119" customFormat="1" ht="24.9" hidden="1" customHeight="1">
      <c r="A505" s="296">
        <v>26</v>
      </c>
      <c r="B505" s="207" t="s">
        <v>1541</v>
      </c>
      <c r="C505" s="303" t="s">
        <v>1568</v>
      </c>
      <c r="D505" s="207" t="s">
        <v>235</v>
      </c>
      <c r="E505" s="298">
        <v>1</v>
      </c>
      <c r="F505" s="207" t="s">
        <v>236</v>
      </c>
      <c r="G505" s="208">
        <v>610</v>
      </c>
      <c r="H505" s="208">
        <v>35</v>
      </c>
      <c r="I505" s="299">
        <v>15</v>
      </c>
      <c r="J505" s="218"/>
      <c r="K505" s="208">
        <v>30.056399999999996</v>
      </c>
      <c r="L505" s="208"/>
      <c r="M505" s="208" t="s">
        <v>1543</v>
      </c>
      <c r="N505" s="295"/>
      <c r="O505" s="209"/>
      <c r="P505" s="25"/>
      <c r="Q505" s="347">
        <v>4.1399999999999997</v>
      </c>
      <c r="R505" s="302"/>
      <c r="S505" s="420">
        <f t="shared" si="32"/>
        <v>25.253999999999998</v>
      </c>
      <c r="T505" s="420">
        <f t="shared" si="33"/>
        <v>1.4489999999999998</v>
      </c>
      <c r="U505" s="420">
        <f t="shared" si="34"/>
        <v>0.621</v>
      </c>
      <c r="V505" s="118"/>
      <c r="W505" s="424">
        <f t="shared" si="27"/>
        <v>27.323999999999995</v>
      </c>
      <c r="X505" s="424">
        <f t="shared" si="28"/>
        <v>30.056399999999996</v>
      </c>
    </row>
    <row r="506" spans="1:24" s="119" customFormat="1" ht="24.9" hidden="1" customHeight="1">
      <c r="A506" s="296">
        <v>27</v>
      </c>
      <c r="B506" s="207" t="s">
        <v>1541</v>
      </c>
      <c r="C506" s="303" t="s">
        <v>1569</v>
      </c>
      <c r="D506" s="207" t="s">
        <v>235</v>
      </c>
      <c r="E506" s="298">
        <v>1</v>
      </c>
      <c r="F506" s="207" t="s">
        <v>236</v>
      </c>
      <c r="G506" s="208">
        <v>175</v>
      </c>
      <c r="H506" s="208">
        <v>35</v>
      </c>
      <c r="I506" s="299">
        <v>55</v>
      </c>
      <c r="J506" s="218"/>
      <c r="K506" s="208">
        <v>12.068099999999999</v>
      </c>
      <c r="L506" s="208"/>
      <c r="M506" s="208" t="s">
        <v>1543</v>
      </c>
      <c r="N506" s="295"/>
      <c r="O506" s="209"/>
      <c r="P506" s="25"/>
      <c r="Q506" s="347">
        <v>4.1399999999999997</v>
      </c>
      <c r="R506" s="26"/>
      <c r="S506" s="420">
        <f t="shared" si="32"/>
        <v>7.2450000000000001</v>
      </c>
      <c r="T506" s="420">
        <f t="shared" si="33"/>
        <v>1.4489999999999998</v>
      </c>
      <c r="U506" s="420">
        <f t="shared" si="34"/>
        <v>2.2769999999999997</v>
      </c>
      <c r="V506" s="118"/>
      <c r="W506" s="424">
        <f t="shared" si="27"/>
        <v>10.970999999999998</v>
      </c>
      <c r="X506" s="424">
        <f t="shared" si="28"/>
        <v>12.068099999999999</v>
      </c>
    </row>
    <row r="507" spans="1:24" s="119" customFormat="1" ht="24.9" hidden="1" customHeight="1">
      <c r="A507" s="296">
        <v>28</v>
      </c>
      <c r="B507" s="207" t="s">
        <v>1541</v>
      </c>
      <c r="C507" s="303" t="s">
        <v>1570</v>
      </c>
      <c r="D507" s="207" t="s">
        <v>235</v>
      </c>
      <c r="E507" s="298">
        <v>1</v>
      </c>
      <c r="F507" s="207" t="s">
        <v>236</v>
      </c>
      <c r="G507" s="208">
        <v>610</v>
      </c>
      <c r="H507" s="208">
        <v>30</v>
      </c>
      <c r="I507" s="299">
        <v>15</v>
      </c>
      <c r="J507" s="218"/>
      <c r="K507" s="208">
        <v>29.828699999999998</v>
      </c>
      <c r="L507" s="208"/>
      <c r="M507" s="208" t="s">
        <v>1543</v>
      </c>
      <c r="N507" s="295"/>
      <c r="O507" s="209"/>
      <c r="P507" s="25"/>
      <c r="Q507" s="347">
        <v>4.1399999999999997</v>
      </c>
      <c r="R507" s="302"/>
      <c r="S507" s="420">
        <f t="shared" si="32"/>
        <v>25.253999999999998</v>
      </c>
      <c r="T507" s="420">
        <f t="shared" si="33"/>
        <v>1.242</v>
      </c>
      <c r="U507" s="420">
        <f t="shared" si="34"/>
        <v>0.621</v>
      </c>
      <c r="V507" s="118"/>
      <c r="W507" s="424">
        <f t="shared" si="27"/>
        <v>27.116999999999997</v>
      </c>
      <c r="X507" s="424">
        <f t="shared" si="28"/>
        <v>29.828699999999998</v>
      </c>
    </row>
    <row r="508" spans="1:24" s="119" customFormat="1" ht="24.9" hidden="1" customHeight="1">
      <c r="A508" s="296">
        <v>29</v>
      </c>
      <c r="B508" s="207" t="s">
        <v>1541</v>
      </c>
      <c r="C508" s="303" t="s">
        <v>1571</v>
      </c>
      <c r="D508" s="207" t="s">
        <v>235</v>
      </c>
      <c r="E508" s="298">
        <v>1</v>
      </c>
      <c r="F508" s="207" t="s">
        <v>236</v>
      </c>
      <c r="G508" s="208">
        <v>175</v>
      </c>
      <c r="H508" s="208">
        <v>25</v>
      </c>
      <c r="I508" s="299">
        <v>55</v>
      </c>
      <c r="J508" s="218"/>
      <c r="K508" s="208">
        <v>11.6127</v>
      </c>
      <c r="L508" s="208"/>
      <c r="M508" s="208" t="s">
        <v>1543</v>
      </c>
      <c r="N508" s="295"/>
      <c r="O508" s="209"/>
      <c r="P508" s="25"/>
      <c r="Q508" s="347">
        <v>4.1399999999999997</v>
      </c>
      <c r="R508" s="26"/>
      <c r="S508" s="420">
        <f t="shared" si="32"/>
        <v>7.2450000000000001</v>
      </c>
      <c r="T508" s="420">
        <f t="shared" si="33"/>
        <v>1.0349999999999999</v>
      </c>
      <c r="U508" s="420">
        <f t="shared" si="34"/>
        <v>2.2769999999999997</v>
      </c>
      <c r="V508" s="118"/>
      <c r="W508" s="424">
        <f t="shared" si="27"/>
        <v>10.556999999999999</v>
      </c>
      <c r="X508" s="424">
        <f t="shared" si="28"/>
        <v>11.6127</v>
      </c>
    </row>
    <row r="509" spans="1:24" s="119" customFormat="1" ht="24.9" hidden="1" customHeight="1">
      <c r="A509" s="296">
        <v>30</v>
      </c>
      <c r="B509" s="207" t="s">
        <v>1541</v>
      </c>
      <c r="C509" s="303" t="s">
        <v>1572</v>
      </c>
      <c r="D509" s="207" t="s">
        <v>235</v>
      </c>
      <c r="E509" s="298">
        <v>1</v>
      </c>
      <c r="F509" s="207" t="s">
        <v>236</v>
      </c>
      <c r="G509" s="208">
        <v>610</v>
      </c>
      <c r="H509" s="208">
        <v>30</v>
      </c>
      <c r="I509" s="299">
        <v>15</v>
      </c>
      <c r="J509" s="218"/>
      <c r="K509" s="208">
        <v>29.828699999999998</v>
      </c>
      <c r="L509" s="208"/>
      <c r="M509" s="208" t="s">
        <v>1543</v>
      </c>
      <c r="N509" s="295"/>
      <c r="O509" s="209"/>
      <c r="P509" s="25"/>
      <c r="Q509" s="347">
        <v>4.1399999999999997</v>
      </c>
      <c r="R509" s="302"/>
      <c r="S509" s="420">
        <f t="shared" si="32"/>
        <v>25.253999999999998</v>
      </c>
      <c r="T509" s="420">
        <f t="shared" si="33"/>
        <v>1.242</v>
      </c>
      <c r="U509" s="420">
        <f t="shared" si="34"/>
        <v>0.621</v>
      </c>
      <c r="V509" s="118"/>
      <c r="W509" s="424">
        <f t="shared" si="27"/>
        <v>27.116999999999997</v>
      </c>
      <c r="X509" s="424">
        <f t="shared" si="28"/>
        <v>29.828699999999998</v>
      </c>
    </row>
    <row r="510" spans="1:24" s="119" customFormat="1" ht="24.9" hidden="1" customHeight="1">
      <c r="A510" s="296">
        <v>31</v>
      </c>
      <c r="B510" s="207" t="s">
        <v>1541</v>
      </c>
      <c r="C510" s="303" t="s">
        <v>1573</v>
      </c>
      <c r="D510" s="207" t="s">
        <v>235</v>
      </c>
      <c r="E510" s="298">
        <v>1</v>
      </c>
      <c r="F510" s="207" t="s">
        <v>236</v>
      </c>
      <c r="G510" s="208">
        <v>175</v>
      </c>
      <c r="H510" s="208">
        <v>25</v>
      </c>
      <c r="I510" s="299">
        <v>55</v>
      </c>
      <c r="J510" s="218"/>
      <c r="K510" s="208">
        <v>11.6127</v>
      </c>
      <c r="L510" s="208"/>
      <c r="M510" s="208" t="s">
        <v>1543</v>
      </c>
      <c r="N510" s="295"/>
      <c r="O510" s="209"/>
      <c r="P510" s="25"/>
      <c r="Q510" s="347">
        <v>4.1399999999999997</v>
      </c>
      <c r="R510" s="26"/>
      <c r="S510" s="420">
        <f t="shared" si="32"/>
        <v>7.2450000000000001</v>
      </c>
      <c r="T510" s="420">
        <f t="shared" si="33"/>
        <v>1.0349999999999999</v>
      </c>
      <c r="U510" s="420">
        <f t="shared" si="34"/>
        <v>2.2769999999999997</v>
      </c>
      <c r="V510" s="118"/>
      <c r="W510" s="424">
        <f t="shared" si="27"/>
        <v>10.556999999999999</v>
      </c>
      <c r="X510" s="424">
        <f t="shared" si="28"/>
        <v>11.6127</v>
      </c>
    </row>
    <row r="511" spans="1:24" s="119" customFormat="1" ht="24.9" hidden="1" customHeight="1">
      <c r="A511" s="296">
        <v>32</v>
      </c>
      <c r="B511" s="207" t="s">
        <v>1541</v>
      </c>
      <c r="C511" s="303" t="s">
        <v>1574</v>
      </c>
      <c r="D511" s="207" t="s">
        <v>235</v>
      </c>
      <c r="E511" s="298">
        <v>1</v>
      </c>
      <c r="F511" s="207" t="s">
        <v>236</v>
      </c>
      <c r="G511" s="208">
        <v>47</v>
      </c>
      <c r="H511" s="208">
        <v>25</v>
      </c>
      <c r="I511" s="299">
        <v>15</v>
      </c>
      <c r="J511" s="218"/>
      <c r="K511" s="208">
        <v>3.9619799999999996</v>
      </c>
      <c r="L511" s="208"/>
      <c r="M511" s="208" t="s">
        <v>1543</v>
      </c>
      <c r="N511" s="295"/>
      <c r="O511" s="209"/>
      <c r="P511" s="25"/>
      <c r="Q511" s="347">
        <v>4.1399999999999997</v>
      </c>
      <c r="R511" s="302"/>
      <c r="S511" s="420">
        <f t="shared" si="32"/>
        <v>1.9457999999999998</v>
      </c>
      <c r="T511" s="420">
        <f t="shared" si="33"/>
        <v>1.0349999999999999</v>
      </c>
      <c r="U511" s="420">
        <f t="shared" si="34"/>
        <v>0.621</v>
      </c>
      <c r="V511" s="118"/>
      <c r="W511" s="424">
        <f t="shared" si="27"/>
        <v>3.6017999999999994</v>
      </c>
      <c r="X511" s="424">
        <f t="shared" si="28"/>
        <v>3.9619799999999996</v>
      </c>
    </row>
    <row r="512" spans="1:24" s="119" customFormat="1" ht="24.9" hidden="1" customHeight="1">
      <c r="A512" s="296">
        <v>33</v>
      </c>
      <c r="B512" s="207" t="s">
        <v>1541</v>
      </c>
      <c r="C512" s="303" t="s">
        <v>1575</v>
      </c>
      <c r="D512" s="207" t="s">
        <v>235</v>
      </c>
      <c r="E512" s="298">
        <v>1</v>
      </c>
      <c r="F512" s="207" t="s">
        <v>236</v>
      </c>
      <c r="G512" s="208">
        <v>430</v>
      </c>
      <c r="H512" s="208">
        <v>250</v>
      </c>
      <c r="I512" s="299">
        <v>30</v>
      </c>
      <c r="J512" s="218"/>
      <c r="K512" s="208">
        <v>32.333400000000005</v>
      </c>
      <c r="L512" s="208"/>
      <c r="M512" s="208" t="s">
        <v>1543</v>
      </c>
      <c r="N512" s="295"/>
      <c r="O512" s="209"/>
      <c r="P512" s="25"/>
      <c r="Q512" s="347">
        <v>4.1399999999999997</v>
      </c>
      <c r="R512" s="26"/>
      <c r="S512" s="420">
        <f t="shared" si="32"/>
        <v>17.802</v>
      </c>
      <c r="T512" s="420">
        <f t="shared" si="33"/>
        <v>10.35</v>
      </c>
      <c r="U512" s="420">
        <f t="shared" si="34"/>
        <v>1.242</v>
      </c>
      <c r="V512" s="118"/>
      <c r="W512" s="424">
        <f t="shared" si="27"/>
        <v>29.394000000000002</v>
      </c>
      <c r="X512" s="424">
        <f t="shared" si="28"/>
        <v>32.333400000000005</v>
      </c>
    </row>
    <row r="513" spans="1:24" s="119" customFormat="1" ht="24.9" hidden="1" customHeight="1">
      <c r="A513" s="296">
        <v>34</v>
      </c>
      <c r="B513" s="207" t="s">
        <v>1541</v>
      </c>
      <c r="C513" s="303" t="s">
        <v>1576</v>
      </c>
      <c r="D513" s="207" t="s">
        <v>235</v>
      </c>
      <c r="E513" s="298">
        <v>1</v>
      </c>
      <c r="F513" s="207" t="s">
        <v>236</v>
      </c>
      <c r="G513" s="208">
        <v>430</v>
      </c>
      <c r="H513" s="208">
        <v>300</v>
      </c>
      <c r="I513" s="299">
        <v>30</v>
      </c>
      <c r="J513" s="218"/>
      <c r="K513" s="208">
        <v>34.610400000000006</v>
      </c>
      <c r="L513" s="208"/>
      <c r="M513" s="208" t="s">
        <v>1543</v>
      </c>
      <c r="N513" s="295"/>
      <c r="O513" s="209"/>
      <c r="P513" s="25"/>
      <c r="Q513" s="347">
        <v>4.1399999999999997</v>
      </c>
      <c r="R513" s="302"/>
      <c r="S513" s="420">
        <f t="shared" si="32"/>
        <v>17.802</v>
      </c>
      <c r="T513" s="420">
        <f t="shared" si="33"/>
        <v>12.42</v>
      </c>
      <c r="U513" s="420">
        <f t="shared" si="34"/>
        <v>1.242</v>
      </c>
      <c r="V513" s="118"/>
      <c r="W513" s="424">
        <f t="shared" si="27"/>
        <v>31.464000000000002</v>
      </c>
      <c r="X513" s="424">
        <f t="shared" si="28"/>
        <v>34.610400000000006</v>
      </c>
    </row>
    <row r="514" spans="1:24" s="119" customFormat="1" ht="24.9" hidden="1" customHeight="1">
      <c r="A514" s="296">
        <v>35</v>
      </c>
      <c r="B514" s="207" t="s">
        <v>1541</v>
      </c>
      <c r="C514" s="303" t="s">
        <v>1577</v>
      </c>
      <c r="D514" s="207" t="s">
        <v>235</v>
      </c>
      <c r="E514" s="298">
        <v>1</v>
      </c>
      <c r="F514" s="207" t="s">
        <v>236</v>
      </c>
      <c r="G514" s="208">
        <v>430</v>
      </c>
      <c r="H514" s="208">
        <v>300</v>
      </c>
      <c r="I514" s="299">
        <v>60</v>
      </c>
      <c r="J514" s="218"/>
      <c r="K514" s="208">
        <v>35.976600000000005</v>
      </c>
      <c r="L514" s="208"/>
      <c r="M514" s="208" t="s">
        <v>1543</v>
      </c>
      <c r="N514" s="295"/>
      <c r="O514" s="209"/>
      <c r="P514" s="25"/>
      <c r="Q514" s="347">
        <v>4.1399999999999997</v>
      </c>
      <c r="R514" s="26"/>
      <c r="S514" s="420">
        <f t="shared" si="32"/>
        <v>17.802</v>
      </c>
      <c r="T514" s="420">
        <f t="shared" si="33"/>
        <v>12.42</v>
      </c>
      <c r="U514" s="420">
        <f t="shared" si="34"/>
        <v>2.484</v>
      </c>
      <c r="V514" s="118"/>
      <c r="W514" s="424">
        <f t="shared" si="27"/>
        <v>32.706000000000003</v>
      </c>
      <c r="X514" s="424">
        <f t="shared" si="28"/>
        <v>35.976600000000005</v>
      </c>
    </row>
    <row r="515" spans="1:24" s="119" customFormat="1" ht="24.9" hidden="1" customHeight="1">
      <c r="A515" s="296">
        <v>36</v>
      </c>
      <c r="B515" s="207" t="s">
        <v>1541</v>
      </c>
      <c r="C515" s="303" t="s">
        <v>1578</v>
      </c>
      <c r="D515" s="207" t="s">
        <v>235</v>
      </c>
      <c r="E515" s="298">
        <v>1</v>
      </c>
      <c r="F515" s="207" t="s">
        <v>236</v>
      </c>
      <c r="G515" s="208">
        <v>430</v>
      </c>
      <c r="H515" s="208">
        <v>250</v>
      </c>
      <c r="I515" s="299">
        <v>30</v>
      </c>
      <c r="J515" s="218"/>
      <c r="K515" s="208">
        <v>32.333400000000005</v>
      </c>
      <c r="L515" s="208"/>
      <c r="M515" s="208" t="s">
        <v>1543</v>
      </c>
      <c r="N515" s="295"/>
      <c r="O515" s="209"/>
      <c r="P515" s="25"/>
      <c r="Q515" s="347">
        <v>4.1399999999999997</v>
      </c>
      <c r="R515" s="302"/>
      <c r="S515" s="420">
        <f t="shared" si="32"/>
        <v>17.802</v>
      </c>
      <c r="T515" s="420">
        <f t="shared" si="33"/>
        <v>10.35</v>
      </c>
      <c r="U515" s="420">
        <f t="shared" si="34"/>
        <v>1.242</v>
      </c>
      <c r="V515" s="118"/>
      <c r="W515" s="424">
        <f t="shared" si="27"/>
        <v>29.394000000000002</v>
      </c>
      <c r="X515" s="424">
        <f t="shared" si="28"/>
        <v>32.333400000000005</v>
      </c>
    </row>
    <row r="516" spans="1:24" s="119" customFormat="1" ht="24.9" hidden="1" customHeight="1">
      <c r="A516" s="296">
        <v>37</v>
      </c>
      <c r="B516" s="207" t="s">
        <v>1541</v>
      </c>
      <c r="C516" s="303" t="s">
        <v>1579</v>
      </c>
      <c r="D516" s="207" t="s">
        <v>235</v>
      </c>
      <c r="E516" s="298">
        <v>1</v>
      </c>
      <c r="F516" s="207" t="s">
        <v>236</v>
      </c>
      <c r="G516" s="208">
        <v>430</v>
      </c>
      <c r="H516" s="208">
        <v>300</v>
      </c>
      <c r="I516" s="299">
        <v>30</v>
      </c>
      <c r="J516" s="218"/>
      <c r="K516" s="208">
        <v>34.610400000000006</v>
      </c>
      <c r="L516" s="208"/>
      <c r="M516" s="208" t="s">
        <v>1543</v>
      </c>
      <c r="N516" s="295"/>
      <c r="O516" s="209"/>
      <c r="P516" s="25"/>
      <c r="Q516" s="347">
        <v>4.1399999999999997</v>
      </c>
      <c r="R516" s="26"/>
      <c r="S516" s="420">
        <f t="shared" si="32"/>
        <v>17.802</v>
      </c>
      <c r="T516" s="420">
        <f t="shared" si="33"/>
        <v>12.42</v>
      </c>
      <c r="U516" s="420">
        <f t="shared" si="34"/>
        <v>1.242</v>
      </c>
      <c r="V516" s="118"/>
      <c r="W516" s="424">
        <f t="shared" si="27"/>
        <v>31.464000000000002</v>
      </c>
      <c r="X516" s="424">
        <f t="shared" si="28"/>
        <v>34.610400000000006</v>
      </c>
    </row>
    <row r="517" spans="1:24" s="119" customFormat="1" ht="24.9" hidden="1" customHeight="1">
      <c r="A517" s="296">
        <v>38</v>
      </c>
      <c r="B517" s="207" t="s">
        <v>1541</v>
      </c>
      <c r="C517" s="303" t="s">
        <v>1580</v>
      </c>
      <c r="D517" s="207" t="s">
        <v>235</v>
      </c>
      <c r="E517" s="298">
        <v>1</v>
      </c>
      <c r="F517" s="207" t="s">
        <v>236</v>
      </c>
      <c r="G517" s="208">
        <v>430</v>
      </c>
      <c r="H517" s="208">
        <v>300</v>
      </c>
      <c r="I517" s="299">
        <v>60</v>
      </c>
      <c r="J517" s="218"/>
      <c r="K517" s="208">
        <v>35.976600000000005</v>
      </c>
      <c r="L517" s="208"/>
      <c r="M517" s="208" t="s">
        <v>1543</v>
      </c>
      <c r="N517" s="295"/>
      <c r="O517" s="209"/>
      <c r="P517" s="25"/>
      <c r="Q517" s="347">
        <v>4.1399999999999997</v>
      </c>
      <c r="R517" s="302"/>
      <c r="S517" s="420">
        <f t="shared" si="32"/>
        <v>17.802</v>
      </c>
      <c r="T517" s="420">
        <f t="shared" si="33"/>
        <v>12.42</v>
      </c>
      <c r="U517" s="420">
        <f t="shared" si="34"/>
        <v>2.484</v>
      </c>
      <c r="V517" s="118"/>
      <c r="W517" s="424">
        <f t="shared" si="27"/>
        <v>32.706000000000003</v>
      </c>
      <c r="X517" s="424">
        <f t="shared" si="28"/>
        <v>35.976600000000005</v>
      </c>
    </row>
    <row r="518" spans="1:24" s="119" customFormat="1" ht="24.9" hidden="1" customHeight="1">
      <c r="A518" s="296">
        <v>39</v>
      </c>
      <c r="B518" s="207" t="s">
        <v>1541</v>
      </c>
      <c r="C518" s="303" t="s">
        <v>1581</v>
      </c>
      <c r="D518" s="207" t="s">
        <v>235</v>
      </c>
      <c r="E518" s="298">
        <v>1</v>
      </c>
      <c r="F518" s="207" t="s">
        <v>236</v>
      </c>
      <c r="G518" s="208">
        <v>430</v>
      </c>
      <c r="H518" s="208">
        <v>250</v>
      </c>
      <c r="I518" s="299">
        <v>30</v>
      </c>
      <c r="J518" s="218"/>
      <c r="K518" s="208">
        <v>32.333400000000005</v>
      </c>
      <c r="L518" s="208"/>
      <c r="M518" s="208" t="s">
        <v>1543</v>
      </c>
      <c r="N518" s="295"/>
      <c r="O518" s="209"/>
      <c r="P518" s="25"/>
      <c r="Q518" s="347">
        <v>4.1399999999999997</v>
      </c>
      <c r="R518" s="26"/>
      <c r="S518" s="420">
        <f t="shared" si="32"/>
        <v>17.802</v>
      </c>
      <c r="T518" s="420">
        <f t="shared" si="33"/>
        <v>10.35</v>
      </c>
      <c r="U518" s="420">
        <f t="shared" si="34"/>
        <v>1.242</v>
      </c>
      <c r="V518" s="118"/>
      <c r="W518" s="424">
        <f t="shared" ref="W518:W580" si="35">S518+T518+U518</f>
        <v>29.394000000000002</v>
      </c>
      <c r="X518" s="424">
        <f t="shared" ref="X518:X580" si="36">W518*1.1</f>
        <v>32.333400000000005</v>
      </c>
    </row>
    <row r="519" spans="1:24" s="119" customFormat="1" ht="24.9" hidden="1" customHeight="1">
      <c r="A519" s="296">
        <v>40</v>
      </c>
      <c r="B519" s="207" t="s">
        <v>1541</v>
      </c>
      <c r="C519" s="303" t="s">
        <v>1582</v>
      </c>
      <c r="D519" s="207" t="s">
        <v>235</v>
      </c>
      <c r="E519" s="298">
        <v>1</v>
      </c>
      <c r="F519" s="207" t="s">
        <v>236</v>
      </c>
      <c r="G519" s="208">
        <v>430</v>
      </c>
      <c r="H519" s="208">
        <v>300</v>
      </c>
      <c r="I519" s="299">
        <v>30</v>
      </c>
      <c r="J519" s="218"/>
      <c r="K519" s="208">
        <v>34.610400000000006</v>
      </c>
      <c r="L519" s="208"/>
      <c r="M519" s="208" t="s">
        <v>1543</v>
      </c>
      <c r="N519" s="295"/>
      <c r="O519" s="209"/>
      <c r="P519" s="25"/>
      <c r="Q519" s="347">
        <v>4.1399999999999997</v>
      </c>
      <c r="R519" s="302"/>
      <c r="S519" s="420">
        <f t="shared" si="32"/>
        <v>17.802</v>
      </c>
      <c r="T519" s="420">
        <f t="shared" si="33"/>
        <v>12.42</v>
      </c>
      <c r="U519" s="420">
        <f t="shared" si="34"/>
        <v>1.242</v>
      </c>
      <c r="V519" s="118"/>
      <c r="W519" s="424">
        <f t="shared" si="35"/>
        <v>31.464000000000002</v>
      </c>
      <c r="X519" s="424">
        <f t="shared" si="36"/>
        <v>34.610400000000006</v>
      </c>
    </row>
    <row r="520" spans="1:24" s="119" customFormat="1" ht="24.9" hidden="1" customHeight="1">
      <c r="A520" s="296">
        <v>41</v>
      </c>
      <c r="B520" s="207" t="s">
        <v>1541</v>
      </c>
      <c r="C520" s="303" t="s">
        <v>1583</v>
      </c>
      <c r="D520" s="207" t="s">
        <v>235</v>
      </c>
      <c r="E520" s="298">
        <v>1</v>
      </c>
      <c r="F520" s="207" t="s">
        <v>236</v>
      </c>
      <c r="G520" s="208">
        <v>430</v>
      </c>
      <c r="H520" s="208">
        <v>300</v>
      </c>
      <c r="I520" s="299">
        <v>60</v>
      </c>
      <c r="J520" s="218"/>
      <c r="K520" s="208">
        <v>35.976600000000005</v>
      </c>
      <c r="L520" s="208"/>
      <c r="M520" s="208" t="s">
        <v>1543</v>
      </c>
      <c r="N520" s="295"/>
      <c r="O520" s="209"/>
      <c r="P520" s="25"/>
      <c r="Q520" s="347">
        <v>4.1399999999999997</v>
      </c>
      <c r="R520" s="26"/>
      <c r="S520" s="420">
        <f t="shared" si="32"/>
        <v>17.802</v>
      </c>
      <c r="T520" s="420">
        <f t="shared" si="33"/>
        <v>12.42</v>
      </c>
      <c r="U520" s="420">
        <f t="shared" si="34"/>
        <v>2.484</v>
      </c>
      <c r="V520" s="118"/>
      <c r="W520" s="424">
        <f t="shared" si="35"/>
        <v>32.706000000000003</v>
      </c>
      <c r="X520" s="424">
        <f t="shared" si="36"/>
        <v>35.976600000000005</v>
      </c>
    </row>
    <row r="521" spans="1:24" s="119" customFormat="1" ht="24.9" hidden="1" customHeight="1">
      <c r="A521" s="296">
        <v>42</v>
      </c>
      <c r="B521" s="207" t="s">
        <v>1541</v>
      </c>
      <c r="C521" s="303" t="s">
        <v>1584</v>
      </c>
      <c r="D521" s="207" t="s">
        <v>235</v>
      </c>
      <c r="E521" s="298">
        <v>1</v>
      </c>
      <c r="F521" s="207" t="s">
        <v>236</v>
      </c>
      <c r="G521" s="208">
        <v>430</v>
      </c>
      <c r="H521" s="208">
        <v>250</v>
      </c>
      <c r="I521" s="299">
        <v>30</v>
      </c>
      <c r="J521" s="218"/>
      <c r="K521" s="208">
        <v>32.333400000000005</v>
      </c>
      <c r="L521" s="208"/>
      <c r="M521" s="208" t="s">
        <v>1543</v>
      </c>
      <c r="N521" s="295"/>
      <c r="O521" s="209"/>
      <c r="P521" s="25"/>
      <c r="Q521" s="347">
        <v>4.1399999999999997</v>
      </c>
      <c r="R521" s="302"/>
      <c r="S521" s="420">
        <f t="shared" si="32"/>
        <v>17.802</v>
      </c>
      <c r="T521" s="420">
        <f t="shared" si="33"/>
        <v>10.35</v>
      </c>
      <c r="U521" s="420">
        <f t="shared" si="34"/>
        <v>1.242</v>
      </c>
      <c r="V521" s="118"/>
      <c r="W521" s="424">
        <f t="shared" si="35"/>
        <v>29.394000000000002</v>
      </c>
      <c r="X521" s="424">
        <f t="shared" si="36"/>
        <v>32.333400000000005</v>
      </c>
    </row>
    <row r="522" spans="1:24" s="119" customFormat="1" ht="24.9" hidden="1" customHeight="1">
      <c r="A522" s="296">
        <v>43</v>
      </c>
      <c r="B522" s="207" t="s">
        <v>1541</v>
      </c>
      <c r="C522" s="303" t="s">
        <v>1585</v>
      </c>
      <c r="D522" s="207" t="s">
        <v>235</v>
      </c>
      <c r="E522" s="298">
        <v>1</v>
      </c>
      <c r="F522" s="207" t="s">
        <v>236</v>
      </c>
      <c r="G522" s="208">
        <v>430</v>
      </c>
      <c r="H522" s="208">
        <v>300</v>
      </c>
      <c r="I522" s="299">
        <v>30</v>
      </c>
      <c r="J522" s="218"/>
      <c r="K522" s="208">
        <v>34.610400000000006</v>
      </c>
      <c r="L522" s="208"/>
      <c r="M522" s="208" t="s">
        <v>1543</v>
      </c>
      <c r="N522" s="295"/>
      <c r="O522" s="209"/>
      <c r="P522" s="25"/>
      <c r="Q522" s="347">
        <v>4.1399999999999997</v>
      </c>
      <c r="R522" s="26"/>
      <c r="S522" s="420">
        <f t="shared" si="32"/>
        <v>17.802</v>
      </c>
      <c r="T522" s="420">
        <f t="shared" si="33"/>
        <v>12.42</v>
      </c>
      <c r="U522" s="420">
        <f t="shared" si="34"/>
        <v>1.242</v>
      </c>
      <c r="V522" s="118"/>
      <c r="W522" s="424">
        <f t="shared" si="35"/>
        <v>31.464000000000002</v>
      </c>
      <c r="X522" s="424">
        <f t="shared" si="36"/>
        <v>34.610400000000006</v>
      </c>
    </row>
    <row r="523" spans="1:24" s="119" customFormat="1" ht="24.9" hidden="1" customHeight="1">
      <c r="A523" s="296">
        <v>44</v>
      </c>
      <c r="B523" s="207" t="s">
        <v>1541</v>
      </c>
      <c r="C523" s="303" t="s">
        <v>1586</v>
      </c>
      <c r="D523" s="207" t="s">
        <v>235</v>
      </c>
      <c r="E523" s="298">
        <v>1</v>
      </c>
      <c r="F523" s="207" t="s">
        <v>236</v>
      </c>
      <c r="G523" s="208">
        <v>430</v>
      </c>
      <c r="H523" s="208">
        <v>300</v>
      </c>
      <c r="I523" s="299">
        <v>60</v>
      </c>
      <c r="J523" s="218"/>
      <c r="K523" s="208">
        <v>35.976600000000005</v>
      </c>
      <c r="L523" s="208"/>
      <c r="M523" s="208" t="s">
        <v>1543</v>
      </c>
      <c r="N523" s="295"/>
      <c r="O523" s="209"/>
      <c r="P523" s="25"/>
      <c r="Q523" s="347">
        <v>4.1399999999999997</v>
      </c>
      <c r="R523" s="302"/>
      <c r="S523" s="420">
        <f t="shared" si="32"/>
        <v>17.802</v>
      </c>
      <c r="T523" s="420">
        <f t="shared" si="33"/>
        <v>12.42</v>
      </c>
      <c r="U523" s="420">
        <f t="shared" si="34"/>
        <v>2.484</v>
      </c>
      <c r="V523" s="118"/>
      <c r="W523" s="424">
        <f t="shared" si="35"/>
        <v>32.706000000000003</v>
      </c>
      <c r="X523" s="424">
        <f t="shared" si="36"/>
        <v>35.976600000000005</v>
      </c>
    </row>
    <row r="524" spans="1:24" s="119" customFormat="1" ht="24.9" hidden="1" customHeight="1">
      <c r="A524" s="296">
        <v>45</v>
      </c>
      <c r="B524" s="207" t="s">
        <v>1541</v>
      </c>
      <c r="C524" s="303" t="s">
        <v>1587</v>
      </c>
      <c r="D524" s="207" t="s">
        <v>235</v>
      </c>
      <c r="E524" s="298">
        <v>1</v>
      </c>
      <c r="F524" s="207" t="s">
        <v>236</v>
      </c>
      <c r="G524" s="208">
        <v>430</v>
      </c>
      <c r="H524" s="208">
        <v>250</v>
      </c>
      <c r="I524" s="299">
        <v>30</v>
      </c>
      <c r="J524" s="218"/>
      <c r="K524" s="208">
        <v>32.333400000000005</v>
      </c>
      <c r="L524" s="208"/>
      <c r="M524" s="208" t="s">
        <v>1543</v>
      </c>
      <c r="N524" s="295"/>
      <c r="O524" s="209"/>
      <c r="P524" s="25"/>
      <c r="Q524" s="347">
        <v>4.1399999999999997</v>
      </c>
      <c r="R524" s="26"/>
      <c r="S524" s="420">
        <f t="shared" si="32"/>
        <v>17.802</v>
      </c>
      <c r="T524" s="420">
        <f t="shared" si="33"/>
        <v>10.35</v>
      </c>
      <c r="U524" s="420">
        <f t="shared" si="34"/>
        <v>1.242</v>
      </c>
      <c r="V524" s="118"/>
      <c r="W524" s="424">
        <f t="shared" si="35"/>
        <v>29.394000000000002</v>
      </c>
      <c r="X524" s="424">
        <f t="shared" si="36"/>
        <v>32.333400000000005</v>
      </c>
    </row>
    <row r="525" spans="1:24" s="119" customFormat="1" ht="24.9" hidden="1" customHeight="1">
      <c r="A525" s="296">
        <v>46</v>
      </c>
      <c r="B525" s="207" t="s">
        <v>1541</v>
      </c>
      <c r="C525" s="303" t="s">
        <v>1588</v>
      </c>
      <c r="D525" s="207" t="s">
        <v>235</v>
      </c>
      <c r="E525" s="298">
        <v>1</v>
      </c>
      <c r="F525" s="207" t="s">
        <v>236</v>
      </c>
      <c r="G525" s="208">
        <v>430</v>
      </c>
      <c r="H525" s="208">
        <v>300</v>
      </c>
      <c r="I525" s="299">
        <v>30</v>
      </c>
      <c r="J525" s="218"/>
      <c r="K525" s="208">
        <v>34.610400000000006</v>
      </c>
      <c r="L525" s="208"/>
      <c r="M525" s="208" t="s">
        <v>1543</v>
      </c>
      <c r="N525" s="295"/>
      <c r="O525" s="209"/>
      <c r="P525" s="25"/>
      <c r="Q525" s="347">
        <v>4.1399999999999997</v>
      </c>
      <c r="R525" s="302"/>
      <c r="S525" s="420">
        <f t="shared" si="32"/>
        <v>17.802</v>
      </c>
      <c r="T525" s="420">
        <f t="shared" si="33"/>
        <v>12.42</v>
      </c>
      <c r="U525" s="420">
        <f t="shared" si="34"/>
        <v>1.242</v>
      </c>
      <c r="V525" s="118"/>
      <c r="W525" s="424">
        <f t="shared" si="35"/>
        <v>31.464000000000002</v>
      </c>
      <c r="X525" s="424">
        <f t="shared" si="36"/>
        <v>34.610400000000006</v>
      </c>
    </row>
    <row r="526" spans="1:24" s="119" customFormat="1" ht="24.9" hidden="1" customHeight="1">
      <c r="A526" s="296">
        <v>47</v>
      </c>
      <c r="B526" s="207" t="s">
        <v>1541</v>
      </c>
      <c r="C526" s="303" t="s">
        <v>1589</v>
      </c>
      <c r="D526" s="207" t="s">
        <v>235</v>
      </c>
      <c r="E526" s="298">
        <v>1</v>
      </c>
      <c r="F526" s="207" t="s">
        <v>236</v>
      </c>
      <c r="G526" s="208">
        <v>430</v>
      </c>
      <c r="H526" s="208">
        <v>300</v>
      </c>
      <c r="I526" s="299">
        <v>60</v>
      </c>
      <c r="J526" s="218"/>
      <c r="K526" s="208">
        <v>35.976600000000005</v>
      </c>
      <c r="L526" s="208"/>
      <c r="M526" s="208" t="s">
        <v>1543</v>
      </c>
      <c r="N526" s="295"/>
      <c r="O526" s="209"/>
      <c r="P526" s="25"/>
      <c r="Q526" s="347">
        <v>4.1399999999999997</v>
      </c>
      <c r="R526" s="26"/>
      <c r="S526" s="420">
        <f t="shared" si="32"/>
        <v>17.802</v>
      </c>
      <c r="T526" s="420">
        <f t="shared" si="33"/>
        <v>12.42</v>
      </c>
      <c r="U526" s="420">
        <f t="shared" si="34"/>
        <v>2.484</v>
      </c>
      <c r="V526" s="118"/>
      <c r="W526" s="424">
        <f t="shared" si="35"/>
        <v>32.706000000000003</v>
      </c>
      <c r="X526" s="424">
        <f t="shared" si="36"/>
        <v>35.976600000000005</v>
      </c>
    </row>
    <row r="527" spans="1:24" s="119" customFormat="1" ht="24.9" hidden="1" customHeight="1">
      <c r="A527" s="296">
        <v>48</v>
      </c>
      <c r="B527" s="207" t="s">
        <v>1541</v>
      </c>
      <c r="C527" s="303" t="s">
        <v>1590</v>
      </c>
      <c r="D527" s="207" t="s">
        <v>235</v>
      </c>
      <c r="E527" s="298">
        <v>1</v>
      </c>
      <c r="F527" s="207" t="s">
        <v>236</v>
      </c>
      <c r="G527" s="208">
        <v>430</v>
      </c>
      <c r="H527" s="208">
        <v>250</v>
      </c>
      <c r="I527" s="299">
        <v>30</v>
      </c>
      <c r="J527" s="218"/>
      <c r="K527" s="208">
        <v>32.333400000000005</v>
      </c>
      <c r="L527" s="208"/>
      <c r="M527" s="208" t="s">
        <v>1543</v>
      </c>
      <c r="N527" s="295"/>
      <c r="O527" s="209"/>
      <c r="P527" s="25"/>
      <c r="Q527" s="347">
        <v>4.1399999999999997</v>
      </c>
      <c r="R527" s="302"/>
      <c r="S527" s="420">
        <f t="shared" si="32"/>
        <v>17.802</v>
      </c>
      <c r="T527" s="420">
        <f t="shared" si="33"/>
        <v>10.35</v>
      </c>
      <c r="U527" s="420">
        <f t="shared" si="34"/>
        <v>1.242</v>
      </c>
      <c r="V527" s="118"/>
      <c r="W527" s="424">
        <f t="shared" si="35"/>
        <v>29.394000000000002</v>
      </c>
      <c r="X527" s="424">
        <f t="shared" si="36"/>
        <v>32.333400000000005</v>
      </c>
    </row>
    <row r="528" spans="1:24" s="119" customFormat="1" ht="24.9" hidden="1" customHeight="1">
      <c r="A528" s="296">
        <v>49</v>
      </c>
      <c r="B528" s="207" t="s">
        <v>1541</v>
      </c>
      <c r="C528" s="303" t="s">
        <v>1591</v>
      </c>
      <c r="D528" s="207" t="s">
        <v>235</v>
      </c>
      <c r="E528" s="298">
        <v>1</v>
      </c>
      <c r="F528" s="207" t="s">
        <v>236</v>
      </c>
      <c r="G528" s="208">
        <v>430</v>
      </c>
      <c r="H528" s="208">
        <v>300</v>
      </c>
      <c r="I528" s="299">
        <v>30</v>
      </c>
      <c r="J528" s="218"/>
      <c r="K528" s="208">
        <v>34.610400000000006</v>
      </c>
      <c r="L528" s="208"/>
      <c r="M528" s="208" t="s">
        <v>1543</v>
      </c>
      <c r="N528" s="295"/>
      <c r="O528" s="209"/>
      <c r="P528" s="25"/>
      <c r="Q528" s="347">
        <v>4.1399999999999997</v>
      </c>
      <c r="R528" s="26"/>
      <c r="S528" s="420">
        <f t="shared" si="32"/>
        <v>17.802</v>
      </c>
      <c r="T528" s="420">
        <f t="shared" si="33"/>
        <v>12.42</v>
      </c>
      <c r="U528" s="420">
        <f t="shared" si="34"/>
        <v>1.242</v>
      </c>
      <c r="V528" s="118"/>
      <c r="W528" s="424">
        <f t="shared" si="35"/>
        <v>31.464000000000002</v>
      </c>
      <c r="X528" s="424">
        <f t="shared" si="36"/>
        <v>34.610400000000006</v>
      </c>
    </row>
    <row r="529" spans="1:24" s="119" customFormat="1" ht="24.9" hidden="1" customHeight="1">
      <c r="A529" s="296">
        <v>50</v>
      </c>
      <c r="B529" s="207" t="s">
        <v>1541</v>
      </c>
      <c r="C529" s="303" t="s">
        <v>1592</v>
      </c>
      <c r="D529" s="207" t="s">
        <v>235</v>
      </c>
      <c r="E529" s="298">
        <v>1</v>
      </c>
      <c r="F529" s="207" t="s">
        <v>236</v>
      </c>
      <c r="G529" s="208">
        <v>430</v>
      </c>
      <c r="H529" s="208">
        <v>300</v>
      </c>
      <c r="I529" s="299">
        <v>60</v>
      </c>
      <c r="J529" s="218"/>
      <c r="K529" s="208">
        <v>35.976600000000005</v>
      </c>
      <c r="L529" s="208"/>
      <c r="M529" s="208" t="s">
        <v>1543</v>
      </c>
      <c r="N529" s="295"/>
      <c r="O529" s="209"/>
      <c r="P529" s="25"/>
      <c r="Q529" s="347">
        <v>4.1399999999999997</v>
      </c>
      <c r="R529" s="302"/>
      <c r="S529" s="420">
        <f t="shared" si="32"/>
        <v>17.802</v>
      </c>
      <c r="T529" s="420">
        <f t="shared" si="33"/>
        <v>12.42</v>
      </c>
      <c r="U529" s="420">
        <f t="shared" si="34"/>
        <v>2.484</v>
      </c>
      <c r="V529" s="118"/>
      <c r="W529" s="424">
        <f t="shared" si="35"/>
        <v>32.706000000000003</v>
      </c>
      <c r="X529" s="424">
        <f t="shared" si="36"/>
        <v>35.976600000000005</v>
      </c>
    </row>
    <row r="530" spans="1:24" s="119" customFormat="1" ht="24.9" hidden="1" customHeight="1">
      <c r="A530" s="296">
        <v>51</v>
      </c>
      <c r="B530" s="207" t="s">
        <v>1541</v>
      </c>
      <c r="C530" s="303" t="s">
        <v>1593</v>
      </c>
      <c r="D530" s="207" t="s">
        <v>235</v>
      </c>
      <c r="E530" s="298">
        <v>1</v>
      </c>
      <c r="F530" s="207" t="s">
        <v>236</v>
      </c>
      <c r="G530" s="208">
        <v>430</v>
      </c>
      <c r="H530" s="208">
        <v>250</v>
      </c>
      <c r="I530" s="299">
        <v>30</v>
      </c>
      <c r="J530" s="218"/>
      <c r="K530" s="208">
        <v>32.333400000000005</v>
      </c>
      <c r="L530" s="208"/>
      <c r="M530" s="208" t="s">
        <v>1543</v>
      </c>
      <c r="N530" s="295"/>
      <c r="O530" s="209"/>
      <c r="P530" s="25"/>
      <c r="Q530" s="347">
        <v>4.1399999999999997</v>
      </c>
      <c r="R530" s="26"/>
      <c r="S530" s="420">
        <f t="shared" si="32"/>
        <v>17.802</v>
      </c>
      <c r="T530" s="420">
        <f t="shared" si="33"/>
        <v>10.35</v>
      </c>
      <c r="U530" s="420">
        <f t="shared" si="34"/>
        <v>1.242</v>
      </c>
      <c r="V530" s="118"/>
      <c r="W530" s="424">
        <f t="shared" si="35"/>
        <v>29.394000000000002</v>
      </c>
      <c r="X530" s="424">
        <f t="shared" si="36"/>
        <v>32.333400000000005</v>
      </c>
    </row>
    <row r="531" spans="1:24" s="119" customFormat="1" ht="24.9" hidden="1" customHeight="1">
      <c r="A531" s="296">
        <v>52</v>
      </c>
      <c r="B531" s="207" t="s">
        <v>1541</v>
      </c>
      <c r="C531" s="303" t="s">
        <v>1594</v>
      </c>
      <c r="D531" s="207" t="s">
        <v>235</v>
      </c>
      <c r="E531" s="298">
        <v>1</v>
      </c>
      <c r="F531" s="207" t="s">
        <v>236</v>
      </c>
      <c r="G531" s="208">
        <v>430</v>
      </c>
      <c r="H531" s="208">
        <v>300</v>
      </c>
      <c r="I531" s="299">
        <v>30</v>
      </c>
      <c r="J531" s="218"/>
      <c r="K531" s="208">
        <v>34.610400000000006</v>
      </c>
      <c r="L531" s="208"/>
      <c r="M531" s="208" t="s">
        <v>1543</v>
      </c>
      <c r="N531" s="295"/>
      <c r="O531" s="209"/>
      <c r="P531" s="25"/>
      <c r="Q531" s="347">
        <v>4.1399999999999997</v>
      </c>
      <c r="R531" s="302"/>
      <c r="S531" s="420">
        <f t="shared" si="32"/>
        <v>17.802</v>
      </c>
      <c r="T531" s="420">
        <f t="shared" si="33"/>
        <v>12.42</v>
      </c>
      <c r="U531" s="420">
        <f t="shared" si="34"/>
        <v>1.242</v>
      </c>
      <c r="V531" s="118"/>
      <c r="W531" s="424">
        <f t="shared" si="35"/>
        <v>31.464000000000002</v>
      </c>
      <c r="X531" s="424">
        <f t="shared" si="36"/>
        <v>34.610400000000006</v>
      </c>
    </row>
    <row r="532" spans="1:24" s="119" customFormat="1" ht="24.9" hidden="1" customHeight="1">
      <c r="A532" s="296">
        <v>53</v>
      </c>
      <c r="B532" s="207" t="s">
        <v>1541</v>
      </c>
      <c r="C532" s="303" t="s">
        <v>1595</v>
      </c>
      <c r="D532" s="207" t="s">
        <v>235</v>
      </c>
      <c r="E532" s="298">
        <v>1</v>
      </c>
      <c r="F532" s="207" t="s">
        <v>236</v>
      </c>
      <c r="G532" s="208">
        <v>430</v>
      </c>
      <c r="H532" s="208">
        <v>300</v>
      </c>
      <c r="I532" s="299">
        <v>60</v>
      </c>
      <c r="J532" s="218"/>
      <c r="K532" s="208">
        <v>35.976600000000005</v>
      </c>
      <c r="L532" s="208"/>
      <c r="M532" s="208" t="s">
        <v>1543</v>
      </c>
      <c r="N532" s="295"/>
      <c r="O532" s="209"/>
      <c r="P532" s="25"/>
      <c r="Q532" s="347">
        <v>4.1399999999999997</v>
      </c>
      <c r="R532" s="26"/>
      <c r="S532" s="420">
        <f t="shared" si="32"/>
        <v>17.802</v>
      </c>
      <c r="T532" s="420">
        <f t="shared" si="33"/>
        <v>12.42</v>
      </c>
      <c r="U532" s="420">
        <f t="shared" si="34"/>
        <v>2.484</v>
      </c>
      <c r="V532" s="118"/>
      <c r="W532" s="424">
        <f t="shared" si="35"/>
        <v>32.706000000000003</v>
      </c>
      <c r="X532" s="424">
        <f t="shared" si="36"/>
        <v>35.976600000000005</v>
      </c>
    </row>
    <row r="533" spans="1:24" s="119" customFormat="1" ht="24.9" hidden="1" customHeight="1">
      <c r="A533" s="296">
        <v>54</v>
      </c>
      <c r="B533" s="207" t="s">
        <v>1541</v>
      </c>
      <c r="C533" s="303" t="s">
        <v>1596</v>
      </c>
      <c r="D533" s="207" t="s">
        <v>235</v>
      </c>
      <c r="E533" s="298">
        <v>1</v>
      </c>
      <c r="F533" s="207" t="s">
        <v>236</v>
      </c>
      <c r="G533" s="208">
        <v>430</v>
      </c>
      <c r="H533" s="208">
        <v>250</v>
      </c>
      <c r="I533" s="299">
        <v>30</v>
      </c>
      <c r="J533" s="218"/>
      <c r="K533" s="208">
        <v>32.333400000000005</v>
      </c>
      <c r="L533" s="208"/>
      <c r="M533" s="208" t="s">
        <v>1543</v>
      </c>
      <c r="N533" s="295"/>
      <c r="O533" s="209"/>
      <c r="P533" s="25"/>
      <c r="Q533" s="347">
        <v>4.1399999999999997</v>
      </c>
      <c r="R533" s="302"/>
      <c r="S533" s="420">
        <f t="shared" si="32"/>
        <v>17.802</v>
      </c>
      <c r="T533" s="420">
        <f t="shared" si="33"/>
        <v>10.35</v>
      </c>
      <c r="U533" s="420">
        <f t="shared" si="34"/>
        <v>1.242</v>
      </c>
      <c r="V533" s="118"/>
      <c r="W533" s="424">
        <f t="shared" si="35"/>
        <v>29.394000000000002</v>
      </c>
      <c r="X533" s="424">
        <f t="shared" si="36"/>
        <v>32.333400000000005</v>
      </c>
    </row>
    <row r="534" spans="1:24" s="119" customFormat="1" ht="24.9" hidden="1" customHeight="1">
      <c r="A534" s="296">
        <v>55</v>
      </c>
      <c r="B534" s="207" t="s">
        <v>1541</v>
      </c>
      <c r="C534" s="303" t="s">
        <v>1597</v>
      </c>
      <c r="D534" s="207" t="s">
        <v>235</v>
      </c>
      <c r="E534" s="298">
        <v>1</v>
      </c>
      <c r="F534" s="207" t="s">
        <v>236</v>
      </c>
      <c r="G534" s="208">
        <v>430</v>
      </c>
      <c r="H534" s="208">
        <v>300</v>
      </c>
      <c r="I534" s="299">
        <v>30</v>
      </c>
      <c r="J534" s="218"/>
      <c r="K534" s="208">
        <v>34.610400000000006</v>
      </c>
      <c r="L534" s="208"/>
      <c r="M534" s="208" t="s">
        <v>1543</v>
      </c>
      <c r="N534" s="295"/>
      <c r="O534" s="209"/>
      <c r="P534" s="25"/>
      <c r="Q534" s="347">
        <v>4.1399999999999997</v>
      </c>
      <c r="R534" s="26"/>
      <c r="S534" s="420">
        <f t="shared" si="32"/>
        <v>17.802</v>
      </c>
      <c r="T534" s="420">
        <f t="shared" si="33"/>
        <v>12.42</v>
      </c>
      <c r="U534" s="420">
        <f t="shared" si="34"/>
        <v>1.242</v>
      </c>
      <c r="V534" s="118"/>
      <c r="W534" s="424">
        <f t="shared" si="35"/>
        <v>31.464000000000002</v>
      </c>
      <c r="X534" s="424">
        <f t="shared" si="36"/>
        <v>34.610400000000006</v>
      </c>
    </row>
    <row r="535" spans="1:24" s="119" customFormat="1" ht="24.9" hidden="1" customHeight="1">
      <c r="A535" s="296">
        <v>56</v>
      </c>
      <c r="B535" s="207" t="s">
        <v>1541</v>
      </c>
      <c r="C535" s="303" t="s">
        <v>1598</v>
      </c>
      <c r="D535" s="207" t="s">
        <v>235</v>
      </c>
      <c r="E535" s="298">
        <v>1</v>
      </c>
      <c r="F535" s="207" t="s">
        <v>236</v>
      </c>
      <c r="G535" s="208">
        <v>430</v>
      </c>
      <c r="H535" s="208">
        <v>300</v>
      </c>
      <c r="I535" s="299">
        <v>60</v>
      </c>
      <c r="J535" s="218"/>
      <c r="K535" s="208">
        <v>35.976600000000005</v>
      </c>
      <c r="L535" s="208"/>
      <c r="M535" s="208" t="s">
        <v>1543</v>
      </c>
      <c r="N535" s="295"/>
      <c r="O535" s="209"/>
      <c r="P535" s="25"/>
      <c r="Q535" s="347">
        <v>4.1399999999999997</v>
      </c>
      <c r="R535" s="302"/>
      <c r="S535" s="420">
        <f t="shared" si="32"/>
        <v>17.802</v>
      </c>
      <c r="T535" s="420">
        <f t="shared" si="33"/>
        <v>12.42</v>
      </c>
      <c r="U535" s="420">
        <f t="shared" si="34"/>
        <v>2.484</v>
      </c>
      <c r="V535" s="118"/>
      <c r="W535" s="424">
        <f t="shared" si="35"/>
        <v>32.706000000000003</v>
      </c>
      <c r="X535" s="424">
        <f t="shared" si="36"/>
        <v>35.976600000000005</v>
      </c>
    </row>
    <row r="536" spans="1:24" s="119" customFormat="1" ht="24.9" hidden="1" customHeight="1">
      <c r="A536" s="296">
        <v>57</v>
      </c>
      <c r="B536" s="207" t="s">
        <v>1541</v>
      </c>
      <c r="C536" s="303" t="s">
        <v>1599</v>
      </c>
      <c r="D536" s="207" t="s">
        <v>235</v>
      </c>
      <c r="E536" s="298">
        <v>1</v>
      </c>
      <c r="F536" s="207" t="s">
        <v>236</v>
      </c>
      <c r="G536" s="208">
        <v>430</v>
      </c>
      <c r="H536" s="208">
        <v>250</v>
      </c>
      <c r="I536" s="299">
        <v>30</v>
      </c>
      <c r="J536" s="218"/>
      <c r="K536" s="208">
        <v>32.333400000000005</v>
      </c>
      <c r="L536" s="208"/>
      <c r="M536" s="208" t="s">
        <v>1543</v>
      </c>
      <c r="N536" s="295"/>
      <c r="O536" s="209"/>
      <c r="P536" s="25"/>
      <c r="Q536" s="347">
        <v>4.1399999999999997</v>
      </c>
      <c r="R536" s="26"/>
      <c r="S536" s="420">
        <f t="shared" si="32"/>
        <v>17.802</v>
      </c>
      <c r="T536" s="420">
        <f t="shared" si="33"/>
        <v>10.35</v>
      </c>
      <c r="U536" s="420">
        <f t="shared" si="34"/>
        <v>1.242</v>
      </c>
      <c r="V536" s="118"/>
      <c r="W536" s="424">
        <f t="shared" si="35"/>
        <v>29.394000000000002</v>
      </c>
      <c r="X536" s="424">
        <f t="shared" si="36"/>
        <v>32.333400000000005</v>
      </c>
    </row>
    <row r="537" spans="1:24" s="119" customFormat="1" ht="24.9" hidden="1" customHeight="1">
      <c r="A537" s="296">
        <v>58</v>
      </c>
      <c r="B537" s="207" t="s">
        <v>1541</v>
      </c>
      <c r="C537" s="303" t="s">
        <v>1600</v>
      </c>
      <c r="D537" s="207" t="s">
        <v>235</v>
      </c>
      <c r="E537" s="298">
        <v>1</v>
      </c>
      <c r="F537" s="207" t="s">
        <v>236</v>
      </c>
      <c r="G537" s="208">
        <v>430</v>
      </c>
      <c r="H537" s="208">
        <v>300</v>
      </c>
      <c r="I537" s="299">
        <v>30</v>
      </c>
      <c r="J537" s="218"/>
      <c r="K537" s="208">
        <v>34.610400000000006</v>
      </c>
      <c r="L537" s="208"/>
      <c r="M537" s="208" t="s">
        <v>1543</v>
      </c>
      <c r="N537" s="295"/>
      <c r="O537" s="209"/>
      <c r="P537" s="25"/>
      <c r="Q537" s="347">
        <v>4.1399999999999997</v>
      </c>
      <c r="R537" s="302"/>
      <c r="S537" s="420">
        <f t="shared" si="32"/>
        <v>17.802</v>
      </c>
      <c r="T537" s="420">
        <f t="shared" si="33"/>
        <v>12.42</v>
      </c>
      <c r="U537" s="420">
        <f t="shared" si="34"/>
        <v>1.242</v>
      </c>
      <c r="V537" s="118"/>
      <c r="W537" s="424">
        <f t="shared" si="35"/>
        <v>31.464000000000002</v>
      </c>
      <c r="X537" s="424">
        <f t="shared" si="36"/>
        <v>34.610400000000006</v>
      </c>
    </row>
    <row r="538" spans="1:24" s="119" customFormat="1" ht="24.9" hidden="1" customHeight="1">
      <c r="A538" s="296">
        <v>59</v>
      </c>
      <c r="B538" s="207" t="s">
        <v>1541</v>
      </c>
      <c r="C538" s="303" t="s">
        <v>1601</v>
      </c>
      <c r="D538" s="207" t="s">
        <v>235</v>
      </c>
      <c r="E538" s="298">
        <v>1</v>
      </c>
      <c r="F538" s="207" t="s">
        <v>236</v>
      </c>
      <c r="G538" s="208">
        <v>430</v>
      </c>
      <c r="H538" s="208">
        <v>300</v>
      </c>
      <c r="I538" s="299">
        <v>60</v>
      </c>
      <c r="J538" s="218"/>
      <c r="K538" s="208">
        <v>35.976600000000005</v>
      </c>
      <c r="L538" s="208"/>
      <c r="M538" s="208" t="s">
        <v>1543</v>
      </c>
      <c r="N538" s="295"/>
      <c r="O538" s="209"/>
      <c r="P538" s="25"/>
      <c r="Q538" s="347">
        <v>4.1399999999999997</v>
      </c>
      <c r="R538" s="26"/>
      <c r="S538" s="420">
        <f t="shared" si="32"/>
        <v>17.802</v>
      </c>
      <c r="T538" s="420">
        <f t="shared" si="33"/>
        <v>12.42</v>
      </c>
      <c r="U538" s="420">
        <f t="shared" si="34"/>
        <v>2.484</v>
      </c>
      <c r="V538" s="118"/>
      <c r="W538" s="424">
        <f t="shared" si="35"/>
        <v>32.706000000000003</v>
      </c>
      <c r="X538" s="424">
        <f t="shared" si="36"/>
        <v>35.976600000000005</v>
      </c>
    </row>
    <row r="539" spans="1:24" s="119" customFormat="1" ht="24.9" hidden="1" customHeight="1">
      <c r="A539" s="296">
        <v>60</v>
      </c>
      <c r="B539" s="207" t="s">
        <v>1541</v>
      </c>
      <c r="C539" s="303" t="s">
        <v>1602</v>
      </c>
      <c r="D539" s="207" t="s">
        <v>235</v>
      </c>
      <c r="E539" s="298">
        <v>1</v>
      </c>
      <c r="F539" s="207" t="s">
        <v>236</v>
      </c>
      <c r="G539" s="208">
        <v>430</v>
      </c>
      <c r="H539" s="208">
        <v>250</v>
      </c>
      <c r="I539" s="299">
        <v>30</v>
      </c>
      <c r="J539" s="218"/>
      <c r="K539" s="208">
        <v>32.333400000000005</v>
      </c>
      <c r="L539" s="208"/>
      <c r="M539" s="208" t="s">
        <v>1543</v>
      </c>
      <c r="N539" s="295"/>
      <c r="O539" s="209"/>
      <c r="P539" s="25"/>
      <c r="Q539" s="347">
        <v>4.1399999999999997</v>
      </c>
      <c r="R539" s="302"/>
      <c r="S539" s="420">
        <f t="shared" si="32"/>
        <v>17.802</v>
      </c>
      <c r="T539" s="420">
        <f t="shared" si="33"/>
        <v>10.35</v>
      </c>
      <c r="U539" s="420">
        <f t="shared" si="34"/>
        <v>1.242</v>
      </c>
      <c r="V539" s="118"/>
      <c r="W539" s="424">
        <f t="shared" si="35"/>
        <v>29.394000000000002</v>
      </c>
      <c r="X539" s="424">
        <f t="shared" si="36"/>
        <v>32.333400000000005</v>
      </c>
    </row>
    <row r="540" spans="1:24" s="119" customFormat="1" ht="24.9" hidden="1" customHeight="1">
      <c r="A540" s="296">
        <v>61</v>
      </c>
      <c r="B540" s="207" t="s">
        <v>1541</v>
      </c>
      <c r="C540" s="303" t="s">
        <v>1603</v>
      </c>
      <c r="D540" s="207" t="s">
        <v>235</v>
      </c>
      <c r="E540" s="298">
        <v>1</v>
      </c>
      <c r="F540" s="207" t="s">
        <v>236</v>
      </c>
      <c r="G540" s="208">
        <v>430</v>
      </c>
      <c r="H540" s="208">
        <v>300</v>
      </c>
      <c r="I540" s="299">
        <v>30</v>
      </c>
      <c r="J540" s="218"/>
      <c r="K540" s="208">
        <v>34.610400000000006</v>
      </c>
      <c r="L540" s="208"/>
      <c r="M540" s="208" t="s">
        <v>1543</v>
      </c>
      <c r="N540" s="295"/>
      <c r="O540" s="209"/>
      <c r="P540" s="25"/>
      <c r="Q540" s="347">
        <v>4.1399999999999997</v>
      </c>
      <c r="R540" s="26"/>
      <c r="S540" s="420">
        <f t="shared" si="32"/>
        <v>17.802</v>
      </c>
      <c r="T540" s="420">
        <f t="shared" si="33"/>
        <v>12.42</v>
      </c>
      <c r="U540" s="420">
        <f t="shared" si="34"/>
        <v>1.242</v>
      </c>
      <c r="V540" s="118"/>
      <c r="W540" s="424">
        <f t="shared" si="35"/>
        <v>31.464000000000002</v>
      </c>
      <c r="X540" s="424">
        <f t="shared" si="36"/>
        <v>34.610400000000006</v>
      </c>
    </row>
    <row r="541" spans="1:24" s="119" customFormat="1" ht="24.9" hidden="1" customHeight="1">
      <c r="A541" s="296">
        <v>62</v>
      </c>
      <c r="B541" s="207" t="s">
        <v>1541</v>
      </c>
      <c r="C541" s="303" t="s">
        <v>1604</v>
      </c>
      <c r="D541" s="207" t="s">
        <v>235</v>
      </c>
      <c r="E541" s="298">
        <v>1</v>
      </c>
      <c r="F541" s="207" t="s">
        <v>236</v>
      </c>
      <c r="G541" s="208">
        <v>430</v>
      </c>
      <c r="H541" s="208">
        <v>300</v>
      </c>
      <c r="I541" s="299">
        <v>60</v>
      </c>
      <c r="J541" s="218"/>
      <c r="K541" s="208">
        <v>35.976600000000005</v>
      </c>
      <c r="L541" s="208"/>
      <c r="M541" s="208" t="s">
        <v>1543</v>
      </c>
      <c r="N541" s="295"/>
      <c r="O541" s="209"/>
      <c r="P541" s="25"/>
      <c r="Q541" s="347">
        <v>4.1399999999999997</v>
      </c>
      <c r="R541" s="302"/>
      <c r="S541" s="420">
        <f t="shared" si="32"/>
        <v>17.802</v>
      </c>
      <c r="T541" s="420">
        <f t="shared" si="33"/>
        <v>12.42</v>
      </c>
      <c r="U541" s="420">
        <f t="shared" si="34"/>
        <v>2.484</v>
      </c>
      <c r="V541" s="118"/>
      <c r="W541" s="424">
        <f t="shared" si="35"/>
        <v>32.706000000000003</v>
      </c>
      <c r="X541" s="424">
        <f t="shared" si="36"/>
        <v>35.976600000000005</v>
      </c>
    </row>
    <row r="542" spans="1:24" s="119" customFormat="1" ht="24.9" hidden="1" customHeight="1">
      <c r="A542" s="296">
        <v>63</v>
      </c>
      <c r="B542" s="207" t="s">
        <v>1541</v>
      </c>
      <c r="C542" s="303" t="s">
        <v>1605</v>
      </c>
      <c r="D542" s="207" t="s">
        <v>235</v>
      </c>
      <c r="E542" s="298">
        <v>1</v>
      </c>
      <c r="F542" s="207" t="s">
        <v>236</v>
      </c>
      <c r="G542" s="208">
        <v>430</v>
      </c>
      <c r="H542" s="208">
        <v>250</v>
      </c>
      <c r="I542" s="299">
        <v>30</v>
      </c>
      <c r="J542" s="218"/>
      <c r="K542" s="208">
        <v>32.333400000000005</v>
      </c>
      <c r="L542" s="208"/>
      <c r="M542" s="208" t="s">
        <v>1543</v>
      </c>
      <c r="N542" s="295"/>
      <c r="O542" s="209"/>
      <c r="P542" s="25"/>
      <c r="Q542" s="347">
        <v>4.1399999999999997</v>
      </c>
      <c r="R542" s="26"/>
      <c r="S542" s="420">
        <f t="shared" si="32"/>
        <v>17.802</v>
      </c>
      <c r="T542" s="420">
        <f t="shared" si="33"/>
        <v>10.35</v>
      </c>
      <c r="U542" s="420">
        <f t="shared" si="34"/>
        <v>1.242</v>
      </c>
      <c r="V542" s="118"/>
      <c r="W542" s="424">
        <f t="shared" si="35"/>
        <v>29.394000000000002</v>
      </c>
      <c r="X542" s="424">
        <f t="shared" si="36"/>
        <v>32.333400000000005</v>
      </c>
    </row>
    <row r="543" spans="1:24" s="119" customFormat="1" ht="24.9" hidden="1" customHeight="1">
      <c r="A543" s="296">
        <v>64</v>
      </c>
      <c r="B543" s="207" t="s">
        <v>1541</v>
      </c>
      <c r="C543" s="303" t="s">
        <v>1606</v>
      </c>
      <c r="D543" s="207" t="s">
        <v>235</v>
      </c>
      <c r="E543" s="298">
        <v>1</v>
      </c>
      <c r="F543" s="207" t="s">
        <v>236</v>
      </c>
      <c r="G543" s="208">
        <v>430</v>
      </c>
      <c r="H543" s="208">
        <v>300</v>
      </c>
      <c r="I543" s="299">
        <v>30</v>
      </c>
      <c r="J543" s="218"/>
      <c r="K543" s="208">
        <v>34.610400000000006</v>
      </c>
      <c r="L543" s="208"/>
      <c r="M543" s="208" t="s">
        <v>1543</v>
      </c>
      <c r="N543" s="295"/>
      <c r="O543" s="209"/>
      <c r="P543" s="25"/>
      <c r="Q543" s="347">
        <v>4.1399999999999997</v>
      </c>
      <c r="R543" s="302"/>
      <c r="S543" s="420">
        <f t="shared" si="32"/>
        <v>17.802</v>
      </c>
      <c r="T543" s="420">
        <f t="shared" si="33"/>
        <v>12.42</v>
      </c>
      <c r="U543" s="420">
        <f t="shared" si="34"/>
        <v>1.242</v>
      </c>
      <c r="V543" s="118"/>
      <c r="W543" s="424">
        <f t="shared" si="35"/>
        <v>31.464000000000002</v>
      </c>
      <c r="X543" s="424">
        <f t="shared" si="36"/>
        <v>34.610400000000006</v>
      </c>
    </row>
    <row r="544" spans="1:24" s="119" customFormat="1" ht="24.9" hidden="1" customHeight="1">
      <c r="A544" s="296">
        <v>65</v>
      </c>
      <c r="B544" s="207" t="s">
        <v>1541</v>
      </c>
      <c r="C544" s="303" t="s">
        <v>1607</v>
      </c>
      <c r="D544" s="207" t="s">
        <v>235</v>
      </c>
      <c r="E544" s="298">
        <v>1</v>
      </c>
      <c r="F544" s="207" t="s">
        <v>236</v>
      </c>
      <c r="G544" s="208">
        <v>430</v>
      </c>
      <c r="H544" s="208">
        <v>300</v>
      </c>
      <c r="I544" s="299">
        <v>60</v>
      </c>
      <c r="J544" s="218"/>
      <c r="K544" s="208">
        <v>35.976600000000005</v>
      </c>
      <c r="L544" s="208"/>
      <c r="M544" s="208" t="s">
        <v>1543</v>
      </c>
      <c r="N544" s="295"/>
      <c r="O544" s="209"/>
      <c r="P544" s="25"/>
      <c r="Q544" s="347">
        <v>4.1399999999999997</v>
      </c>
      <c r="R544" s="26"/>
      <c r="S544" s="420">
        <f t="shared" si="32"/>
        <v>17.802</v>
      </c>
      <c r="T544" s="420">
        <f t="shared" si="33"/>
        <v>12.42</v>
      </c>
      <c r="U544" s="420">
        <f t="shared" si="34"/>
        <v>2.484</v>
      </c>
      <c r="V544" s="118"/>
      <c r="W544" s="424">
        <f t="shared" si="35"/>
        <v>32.706000000000003</v>
      </c>
      <c r="X544" s="424">
        <f t="shared" si="36"/>
        <v>35.976600000000005</v>
      </c>
    </row>
    <row r="545" spans="1:24" s="119" customFormat="1" ht="24.9" hidden="1" customHeight="1">
      <c r="A545" s="296">
        <v>66</v>
      </c>
      <c r="B545" s="207" t="s">
        <v>1541</v>
      </c>
      <c r="C545" s="303" t="s">
        <v>1608</v>
      </c>
      <c r="D545" s="207" t="s">
        <v>235</v>
      </c>
      <c r="E545" s="298">
        <v>1</v>
      </c>
      <c r="F545" s="207" t="s">
        <v>236</v>
      </c>
      <c r="G545" s="208">
        <v>430</v>
      </c>
      <c r="H545" s="208">
        <v>250</v>
      </c>
      <c r="I545" s="299">
        <v>30</v>
      </c>
      <c r="J545" s="218"/>
      <c r="K545" s="208">
        <v>32.333400000000005</v>
      </c>
      <c r="L545" s="208"/>
      <c r="M545" s="208" t="s">
        <v>1543</v>
      </c>
      <c r="N545" s="295"/>
      <c r="O545" s="209"/>
      <c r="P545" s="25"/>
      <c r="Q545" s="347">
        <v>4.1399999999999997</v>
      </c>
      <c r="R545" s="302"/>
      <c r="S545" s="420">
        <f t="shared" si="32"/>
        <v>17.802</v>
      </c>
      <c r="T545" s="420">
        <f t="shared" si="33"/>
        <v>10.35</v>
      </c>
      <c r="U545" s="420">
        <f t="shared" si="34"/>
        <v>1.242</v>
      </c>
      <c r="V545" s="118"/>
      <c r="W545" s="424">
        <f t="shared" si="35"/>
        <v>29.394000000000002</v>
      </c>
      <c r="X545" s="424">
        <f t="shared" si="36"/>
        <v>32.333400000000005</v>
      </c>
    </row>
    <row r="546" spans="1:24" s="119" customFormat="1" ht="24.9" hidden="1" customHeight="1">
      <c r="A546" s="296">
        <v>67</v>
      </c>
      <c r="B546" s="207" t="s">
        <v>1541</v>
      </c>
      <c r="C546" s="303" t="s">
        <v>1609</v>
      </c>
      <c r="D546" s="207" t="s">
        <v>235</v>
      </c>
      <c r="E546" s="298">
        <v>1</v>
      </c>
      <c r="F546" s="207" t="s">
        <v>236</v>
      </c>
      <c r="G546" s="208">
        <v>430</v>
      </c>
      <c r="H546" s="208">
        <v>300</v>
      </c>
      <c r="I546" s="299">
        <v>30</v>
      </c>
      <c r="J546" s="218"/>
      <c r="K546" s="208">
        <v>34.610400000000006</v>
      </c>
      <c r="L546" s="208"/>
      <c r="M546" s="208" t="s">
        <v>1543</v>
      </c>
      <c r="N546" s="295"/>
      <c r="O546" s="209"/>
      <c r="P546" s="25"/>
      <c r="Q546" s="347">
        <v>4.1399999999999997</v>
      </c>
      <c r="R546" s="26"/>
      <c r="S546" s="420">
        <f t="shared" si="32"/>
        <v>17.802</v>
      </c>
      <c r="T546" s="420">
        <f t="shared" si="33"/>
        <v>12.42</v>
      </c>
      <c r="U546" s="420">
        <f t="shared" si="34"/>
        <v>1.242</v>
      </c>
      <c r="V546" s="118"/>
      <c r="W546" s="424">
        <f t="shared" si="35"/>
        <v>31.464000000000002</v>
      </c>
      <c r="X546" s="424">
        <f t="shared" si="36"/>
        <v>34.610400000000006</v>
      </c>
    </row>
    <row r="547" spans="1:24" s="119" customFormat="1" ht="24.9" hidden="1" customHeight="1">
      <c r="A547" s="296">
        <v>68</v>
      </c>
      <c r="B547" s="207" t="s">
        <v>1541</v>
      </c>
      <c r="C547" s="303" t="s">
        <v>1610</v>
      </c>
      <c r="D547" s="207" t="s">
        <v>235</v>
      </c>
      <c r="E547" s="298">
        <v>1</v>
      </c>
      <c r="F547" s="207" t="s">
        <v>236</v>
      </c>
      <c r="G547" s="208">
        <v>430</v>
      </c>
      <c r="H547" s="208">
        <v>300</v>
      </c>
      <c r="I547" s="299">
        <v>60</v>
      </c>
      <c r="J547" s="218"/>
      <c r="K547" s="208">
        <v>35.976600000000005</v>
      </c>
      <c r="L547" s="208"/>
      <c r="M547" s="208" t="s">
        <v>1543</v>
      </c>
      <c r="N547" s="295"/>
      <c r="O547" s="209"/>
      <c r="P547" s="25"/>
      <c r="Q547" s="347">
        <v>4.1399999999999997</v>
      </c>
      <c r="R547" s="302"/>
      <c r="S547" s="420">
        <f t="shared" si="32"/>
        <v>17.802</v>
      </c>
      <c r="T547" s="420">
        <f t="shared" si="33"/>
        <v>12.42</v>
      </c>
      <c r="U547" s="420">
        <f t="shared" si="34"/>
        <v>2.484</v>
      </c>
      <c r="V547" s="118"/>
      <c r="W547" s="424">
        <f t="shared" si="35"/>
        <v>32.706000000000003</v>
      </c>
      <c r="X547" s="424">
        <f t="shared" si="36"/>
        <v>35.976600000000005</v>
      </c>
    </row>
    <row r="548" spans="1:24" s="119" customFormat="1" ht="24.9" hidden="1" customHeight="1">
      <c r="A548" s="296">
        <v>69</v>
      </c>
      <c r="B548" s="207" t="s">
        <v>1541</v>
      </c>
      <c r="C548" s="303" t="s">
        <v>1611</v>
      </c>
      <c r="D548" s="207" t="s">
        <v>235</v>
      </c>
      <c r="E548" s="298">
        <v>1</v>
      </c>
      <c r="F548" s="207" t="s">
        <v>236</v>
      </c>
      <c r="G548" s="208">
        <v>100</v>
      </c>
      <c r="H548" s="208">
        <v>49</v>
      </c>
      <c r="I548" s="299">
        <v>15</v>
      </c>
      <c r="J548" s="218"/>
      <c r="K548" s="208">
        <v>7.468560000000001</v>
      </c>
      <c r="L548" s="208"/>
      <c r="M548" s="208" t="s">
        <v>1543</v>
      </c>
      <c r="N548" s="295"/>
      <c r="O548" s="209"/>
      <c r="P548" s="25"/>
      <c r="Q548" s="347">
        <v>4.1399999999999997</v>
      </c>
      <c r="R548" s="26"/>
      <c r="S548" s="420">
        <f>Q548*G548/100</f>
        <v>4.1399999999999997</v>
      </c>
      <c r="T548" s="420">
        <f>Q548*H548/100</f>
        <v>2.0286</v>
      </c>
      <c r="U548" s="420">
        <f>Q548*I548/100</f>
        <v>0.621</v>
      </c>
      <c r="V548" s="118"/>
      <c r="W548" s="424">
        <f t="shared" si="35"/>
        <v>6.7896000000000001</v>
      </c>
      <c r="X548" s="424">
        <f t="shared" si="36"/>
        <v>7.468560000000001</v>
      </c>
    </row>
    <row r="549" spans="1:24" s="119" customFormat="1" ht="24.9" hidden="1" customHeight="1">
      <c r="A549" s="296">
        <v>70</v>
      </c>
      <c r="B549" s="207" t="s">
        <v>1541</v>
      </c>
      <c r="C549" s="303" t="s">
        <v>1612</v>
      </c>
      <c r="D549" s="207" t="s">
        <v>235</v>
      </c>
      <c r="E549" s="298">
        <v>1</v>
      </c>
      <c r="F549" s="207" t="s">
        <v>236</v>
      </c>
      <c r="G549" s="208">
        <v>215</v>
      </c>
      <c r="H549" s="208">
        <v>158</v>
      </c>
      <c r="I549" s="299">
        <v>15</v>
      </c>
      <c r="J549" s="218"/>
      <c r="K549" s="208">
        <v>17.669519999999999</v>
      </c>
      <c r="L549" s="208"/>
      <c r="M549" s="208" t="s">
        <v>1543</v>
      </c>
      <c r="N549" s="295"/>
      <c r="O549" s="209"/>
      <c r="P549" s="25"/>
      <c r="Q549" s="347">
        <v>4.1399999999999997</v>
      </c>
      <c r="R549" s="302"/>
      <c r="S549" s="420">
        <f>Q549*G549/100</f>
        <v>8.9009999999999998</v>
      </c>
      <c r="T549" s="420">
        <f>Q549*H549/100</f>
        <v>6.5411999999999999</v>
      </c>
      <c r="U549" s="420">
        <f>Q549*I549/100</f>
        <v>0.621</v>
      </c>
      <c r="V549" s="118"/>
      <c r="W549" s="424">
        <f t="shared" si="35"/>
        <v>16.063199999999998</v>
      </c>
      <c r="X549" s="424">
        <f t="shared" si="36"/>
        <v>17.669519999999999</v>
      </c>
    </row>
    <row r="550" spans="1:24" s="119" customFormat="1" ht="24.9" hidden="1" customHeight="1">
      <c r="A550" s="296">
        <v>71</v>
      </c>
      <c r="B550" s="207" t="s">
        <v>1541</v>
      </c>
      <c r="C550" s="303" t="s">
        <v>1613</v>
      </c>
      <c r="D550" s="207" t="s">
        <v>235</v>
      </c>
      <c r="E550" s="298">
        <v>1</v>
      </c>
      <c r="F550" s="207" t="s">
        <v>236</v>
      </c>
      <c r="G550" s="208">
        <v>535</v>
      </c>
      <c r="H550" s="208">
        <v>42</v>
      </c>
      <c r="I550" s="299">
        <v>60</v>
      </c>
      <c r="J550" s="218"/>
      <c r="K550" s="208">
        <v>29.008980000000001</v>
      </c>
      <c r="L550" s="208"/>
      <c r="M550" s="208" t="s">
        <v>1543</v>
      </c>
      <c r="N550" s="295"/>
      <c r="O550" s="209"/>
      <c r="P550" s="25"/>
      <c r="Q550" s="347">
        <v>4.1399999999999997</v>
      </c>
      <c r="R550" s="26"/>
      <c r="S550" s="420">
        <f>Q550*G550/100</f>
        <v>22.148999999999997</v>
      </c>
      <c r="T550" s="420">
        <f>Q550*H550/100</f>
        <v>1.7387999999999999</v>
      </c>
      <c r="U550" s="420">
        <f>Q550*I550/100</f>
        <v>2.484</v>
      </c>
      <c r="V550" s="118"/>
      <c r="W550" s="424">
        <f t="shared" si="35"/>
        <v>26.3718</v>
      </c>
      <c r="X550" s="424">
        <f t="shared" si="36"/>
        <v>29.008980000000001</v>
      </c>
    </row>
    <row r="551" spans="1:24" s="119" customFormat="1" ht="24.9" hidden="1" customHeight="1">
      <c r="A551" s="296">
        <v>72</v>
      </c>
      <c r="B551" s="207" t="s">
        <v>1541</v>
      </c>
      <c r="C551" s="303" t="s">
        <v>1614</v>
      </c>
      <c r="D551" s="207" t="s">
        <v>235</v>
      </c>
      <c r="E551" s="298">
        <v>1</v>
      </c>
      <c r="F551" s="207" t="s">
        <v>236</v>
      </c>
      <c r="G551" s="208">
        <v>625</v>
      </c>
      <c r="H551" s="208">
        <v>42</v>
      </c>
      <c r="I551" s="299">
        <v>15</v>
      </c>
      <c r="J551" s="218"/>
      <c r="K551" s="208">
        <v>31.058280000000003</v>
      </c>
      <c r="L551" s="208"/>
      <c r="M551" s="208" t="s">
        <v>1543</v>
      </c>
      <c r="N551" s="295"/>
      <c r="O551" s="209"/>
      <c r="P551" s="25"/>
      <c r="Q551" s="347">
        <v>4.1399999999999997</v>
      </c>
      <c r="R551" s="302"/>
      <c r="S551" s="420">
        <f>Q551*G551/100</f>
        <v>25.875</v>
      </c>
      <c r="T551" s="420">
        <f>Q551*H551/100</f>
        <v>1.7387999999999999</v>
      </c>
      <c r="U551" s="420">
        <f>Q551*I551/100</f>
        <v>0.621</v>
      </c>
      <c r="V551" s="118"/>
      <c r="W551" s="424">
        <f t="shared" si="35"/>
        <v>28.2348</v>
      </c>
      <c r="X551" s="424">
        <f t="shared" si="36"/>
        <v>31.058280000000003</v>
      </c>
    </row>
    <row r="552" spans="1:24" s="119" customFormat="1" ht="24.9" hidden="1" customHeight="1">
      <c r="A552" s="296">
        <v>73</v>
      </c>
      <c r="B552" s="207" t="s">
        <v>1541</v>
      </c>
      <c r="C552" s="303" t="s">
        <v>1615</v>
      </c>
      <c r="D552" s="207" t="s">
        <v>235</v>
      </c>
      <c r="E552" s="298">
        <v>1</v>
      </c>
      <c r="F552" s="207" t="s">
        <v>236</v>
      </c>
      <c r="G552" s="208">
        <v>162</v>
      </c>
      <c r="H552" s="208">
        <v>40</v>
      </c>
      <c r="I552" s="299">
        <v>59</v>
      </c>
      <c r="J552" s="218"/>
      <c r="K552" s="208">
        <v>11.885940000000002</v>
      </c>
      <c r="L552" s="208"/>
      <c r="M552" s="208" t="s">
        <v>1543</v>
      </c>
      <c r="N552" s="295"/>
      <c r="O552" s="209"/>
      <c r="P552" s="25"/>
      <c r="Q552" s="347">
        <v>4.1399999999999997</v>
      </c>
      <c r="R552" s="26"/>
      <c r="S552" s="420">
        <f t="shared" ref="S552:S597" si="37">Q552*G552/100</f>
        <v>6.7067999999999994</v>
      </c>
      <c r="T552" s="420">
        <f t="shared" ref="T552:T597" si="38">Q552*H552/100</f>
        <v>1.6559999999999999</v>
      </c>
      <c r="U552" s="420">
        <f t="shared" ref="U552:U597" si="39">Q552*I552/100</f>
        <v>2.4426000000000001</v>
      </c>
      <c r="V552" s="118"/>
      <c r="W552" s="424">
        <f t="shared" si="35"/>
        <v>10.805400000000001</v>
      </c>
      <c r="X552" s="424">
        <f t="shared" si="36"/>
        <v>11.885940000000002</v>
      </c>
    </row>
    <row r="553" spans="1:24" s="119" customFormat="1" ht="24.9" hidden="1" customHeight="1">
      <c r="A553" s="296">
        <v>74</v>
      </c>
      <c r="B553" s="207" t="s">
        <v>1541</v>
      </c>
      <c r="C553" s="303" t="s">
        <v>1616</v>
      </c>
      <c r="D553" s="207" t="s">
        <v>235</v>
      </c>
      <c r="E553" s="298">
        <v>1</v>
      </c>
      <c r="F553" s="207" t="s">
        <v>236</v>
      </c>
      <c r="G553" s="208">
        <v>625</v>
      </c>
      <c r="H553" s="208">
        <v>38</v>
      </c>
      <c r="I553" s="299">
        <v>15</v>
      </c>
      <c r="J553" s="218"/>
      <c r="K553" s="208">
        <v>30.87612</v>
      </c>
      <c r="L553" s="208"/>
      <c r="M553" s="208" t="s">
        <v>1543</v>
      </c>
      <c r="N553" s="295"/>
      <c r="O553" s="209"/>
      <c r="P553" s="25"/>
      <c r="Q553" s="347">
        <v>4.1399999999999997</v>
      </c>
      <c r="R553" s="302"/>
      <c r="S553" s="420">
        <f t="shared" si="37"/>
        <v>25.875</v>
      </c>
      <c r="T553" s="420">
        <f t="shared" si="38"/>
        <v>1.5731999999999999</v>
      </c>
      <c r="U553" s="420">
        <f t="shared" si="39"/>
        <v>0.621</v>
      </c>
      <c r="V553" s="118"/>
      <c r="W553" s="424">
        <f t="shared" si="35"/>
        <v>28.069199999999999</v>
      </c>
      <c r="X553" s="424">
        <f t="shared" si="36"/>
        <v>30.87612</v>
      </c>
    </row>
    <row r="554" spans="1:24" s="119" customFormat="1" ht="24.9" hidden="1" customHeight="1">
      <c r="A554" s="296">
        <v>75</v>
      </c>
      <c r="B554" s="207" t="s">
        <v>1541</v>
      </c>
      <c r="C554" s="303" t="s">
        <v>1617</v>
      </c>
      <c r="D554" s="207" t="s">
        <v>235</v>
      </c>
      <c r="E554" s="298">
        <v>1</v>
      </c>
      <c r="F554" s="207" t="s">
        <v>236</v>
      </c>
      <c r="G554" s="208">
        <v>162</v>
      </c>
      <c r="H554" s="208">
        <v>35</v>
      </c>
      <c r="I554" s="299">
        <v>58</v>
      </c>
      <c r="J554" s="218"/>
      <c r="K554" s="208">
        <v>11.6127</v>
      </c>
      <c r="L554" s="208"/>
      <c r="M554" s="208" t="s">
        <v>1543</v>
      </c>
      <c r="N554" s="295"/>
      <c r="O554" s="209"/>
      <c r="P554" s="25"/>
      <c r="Q554" s="347">
        <v>4.1399999999999997</v>
      </c>
      <c r="R554" s="26"/>
      <c r="S554" s="420">
        <f t="shared" si="37"/>
        <v>6.7067999999999994</v>
      </c>
      <c r="T554" s="420">
        <f t="shared" si="38"/>
        <v>1.4489999999999998</v>
      </c>
      <c r="U554" s="420">
        <f t="shared" si="39"/>
        <v>2.4011999999999998</v>
      </c>
      <c r="V554" s="118"/>
      <c r="W554" s="424">
        <f t="shared" si="35"/>
        <v>10.556999999999999</v>
      </c>
      <c r="X554" s="424">
        <f t="shared" si="36"/>
        <v>11.6127</v>
      </c>
    </row>
    <row r="555" spans="1:24" s="119" customFormat="1" ht="24.9" hidden="1" customHeight="1">
      <c r="A555" s="296">
        <v>76</v>
      </c>
      <c r="B555" s="207" t="s">
        <v>1541</v>
      </c>
      <c r="C555" s="303" t="s">
        <v>1618</v>
      </c>
      <c r="D555" s="207" t="s">
        <v>235</v>
      </c>
      <c r="E555" s="298">
        <v>1</v>
      </c>
      <c r="F555" s="207" t="s">
        <v>236</v>
      </c>
      <c r="G555" s="208">
        <v>625</v>
      </c>
      <c r="H555" s="208">
        <v>34</v>
      </c>
      <c r="I555" s="299">
        <v>15</v>
      </c>
      <c r="J555" s="218"/>
      <c r="K555" s="208">
        <v>30.693960000000001</v>
      </c>
      <c r="L555" s="208"/>
      <c r="M555" s="208" t="s">
        <v>1543</v>
      </c>
      <c r="N555" s="295"/>
      <c r="O555" s="209"/>
      <c r="P555" s="25"/>
      <c r="Q555" s="347">
        <v>4.1399999999999997</v>
      </c>
      <c r="R555" s="302"/>
      <c r="S555" s="420">
        <f t="shared" si="37"/>
        <v>25.875</v>
      </c>
      <c r="T555" s="420">
        <f t="shared" si="38"/>
        <v>1.4076</v>
      </c>
      <c r="U555" s="420">
        <f t="shared" si="39"/>
        <v>0.621</v>
      </c>
      <c r="V555" s="118"/>
      <c r="W555" s="424">
        <f t="shared" si="35"/>
        <v>27.903599999999997</v>
      </c>
      <c r="X555" s="424">
        <f t="shared" si="36"/>
        <v>30.693960000000001</v>
      </c>
    </row>
    <row r="556" spans="1:24" s="119" customFormat="1" ht="24.9" hidden="1" customHeight="1">
      <c r="A556" s="296">
        <v>77</v>
      </c>
      <c r="B556" s="207" t="s">
        <v>1541</v>
      </c>
      <c r="C556" s="303" t="s">
        <v>1619</v>
      </c>
      <c r="D556" s="207" t="s">
        <v>235</v>
      </c>
      <c r="E556" s="298">
        <v>1</v>
      </c>
      <c r="F556" s="207" t="s">
        <v>236</v>
      </c>
      <c r="G556" s="208">
        <v>162</v>
      </c>
      <c r="H556" s="208">
        <v>58</v>
      </c>
      <c r="I556" s="299">
        <v>30</v>
      </c>
      <c r="J556" s="218"/>
      <c r="K556" s="208">
        <v>11.384999999999998</v>
      </c>
      <c r="L556" s="208"/>
      <c r="M556" s="208" t="s">
        <v>1543</v>
      </c>
      <c r="N556" s="295"/>
      <c r="O556" s="209"/>
      <c r="P556" s="25"/>
      <c r="Q556" s="347">
        <v>4.1399999999999997</v>
      </c>
      <c r="R556" s="26"/>
      <c r="S556" s="420">
        <f t="shared" si="37"/>
        <v>6.7067999999999994</v>
      </c>
      <c r="T556" s="420">
        <f t="shared" si="38"/>
        <v>2.4011999999999998</v>
      </c>
      <c r="U556" s="420">
        <f t="shared" si="39"/>
        <v>1.242</v>
      </c>
      <c r="V556" s="118"/>
      <c r="W556" s="424">
        <f t="shared" si="35"/>
        <v>10.349999999999998</v>
      </c>
      <c r="X556" s="424">
        <f t="shared" si="36"/>
        <v>11.384999999999998</v>
      </c>
    </row>
    <row r="557" spans="1:24" s="119" customFormat="1" ht="24.9" hidden="1" customHeight="1">
      <c r="A557" s="296">
        <v>78</v>
      </c>
      <c r="B557" s="207" t="s">
        <v>1541</v>
      </c>
      <c r="C557" s="303" t="s">
        <v>1620</v>
      </c>
      <c r="D557" s="207" t="s">
        <v>235</v>
      </c>
      <c r="E557" s="298">
        <v>1</v>
      </c>
      <c r="F557" s="207" t="s">
        <v>236</v>
      </c>
      <c r="G557" s="208">
        <v>625</v>
      </c>
      <c r="H557" s="208">
        <v>30</v>
      </c>
      <c r="I557" s="299">
        <v>15</v>
      </c>
      <c r="J557" s="218"/>
      <c r="K557" s="208">
        <v>30.511800000000001</v>
      </c>
      <c r="L557" s="208"/>
      <c r="M557" s="208" t="s">
        <v>1543</v>
      </c>
      <c r="N557" s="295"/>
      <c r="O557" s="209"/>
      <c r="P557" s="25"/>
      <c r="Q557" s="347">
        <v>4.1399999999999997</v>
      </c>
      <c r="R557" s="302"/>
      <c r="S557" s="420">
        <f t="shared" si="37"/>
        <v>25.875</v>
      </c>
      <c r="T557" s="420">
        <f t="shared" si="38"/>
        <v>1.242</v>
      </c>
      <c r="U557" s="420">
        <f t="shared" si="39"/>
        <v>0.621</v>
      </c>
      <c r="V557" s="118"/>
      <c r="W557" s="424">
        <f t="shared" si="35"/>
        <v>27.738</v>
      </c>
      <c r="X557" s="424">
        <f t="shared" si="36"/>
        <v>30.511800000000001</v>
      </c>
    </row>
    <row r="558" spans="1:24" s="119" customFormat="1" ht="24.9" hidden="1" customHeight="1">
      <c r="A558" s="296">
        <v>79</v>
      </c>
      <c r="B558" s="207" t="s">
        <v>1541</v>
      </c>
      <c r="C558" s="303" t="s">
        <v>1621</v>
      </c>
      <c r="D558" s="207" t="s">
        <v>235</v>
      </c>
      <c r="E558" s="298">
        <v>1</v>
      </c>
      <c r="F558" s="207" t="s">
        <v>236</v>
      </c>
      <c r="G558" s="208">
        <v>162</v>
      </c>
      <c r="H558" s="208">
        <v>27</v>
      </c>
      <c r="I558" s="299">
        <v>58</v>
      </c>
      <c r="J558" s="218"/>
      <c r="K558" s="208">
        <v>11.248380000000001</v>
      </c>
      <c r="L558" s="208"/>
      <c r="M558" s="208" t="s">
        <v>1543</v>
      </c>
      <c r="N558" s="295"/>
      <c r="O558" s="209"/>
      <c r="P558" s="25"/>
      <c r="Q558" s="347">
        <v>4.1399999999999997</v>
      </c>
      <c r="R558" s="26"/>
      <c r="S558" s="420">
        <f t="shared" si="37"/>
        <v>6.7067999999999994</v>
      </c>
      <c r="T558" s="420">
        <f t="shared" si="38"/>
        <v>1.1177999999999999</v>
      </c>
      <c r="U558" s="420">
        <f t="shared" si="39"/>
        <v>2.4011999999999998</v>
      </c>
      <c r="V558" s="118"/>
      <c r="W558" s="424">
        <f t="shared" si="35"/>
        <v>10.2258</v>
      </c>
      <c r="X558" s="424">
        <f t="shared" si="36"/>
        <v>11.248380000000001</v>
      </c>
    </row>
    <row r="559" spans="1:24" s="119" customFormat="1" ht="24.9" hidden="1" customHeight="1">
      <c r="A559" s="296">
        <v>80</v>
      </c>
      <c r="B559" s="207" t="s">
        <v>1541</v>
      </c>
      <c r="C559" s="303" t="s">
        <v>1622</v>
      </c>
      <c r="D559" s="207" t="s">
        <v>235</v>
      </c>
      <c r="E559" s="298">
        <v>1</v>
      </c>
      <c r="F559" s="207" t="s">
        <v>236</v>
      </c>
      <c r="G559" s="208">
        <v>625</v>
      </c>
      <c r="H559" s="208">
        <v>26</v>
      </c>
      <c r="I559" s="299">
        <v>15</v>
      </c>
      <c r="J559" s="218"/>
      <c r="K559" s="208">
        <v>30.329640000000001</v>
      </c>
      <c r="L559" s="208"/>
      <c r="M559" s="208" t="s">
        <v>1543</v>
      </c>
      <c r="N559" s="295"/>
      <c r="O559" s="209"/>
      <c r="P559" s="25"/>
      <c r="Q559" s="347">
        <v>4.1399999999999997</v>
      </c>
      <c r="R559" s="302"/>
      <c r="S559" s="420">
        <f t="shared" si="37"/>
        <v>25.875</v>
      </c>
      <c r="T559" s="420">
        <f t="shared" si="38"/>
        <v>1.0763999999999998</v>
      </c>
      <c r="U559" s="420">
        <f t="shared" si="39"/>
        <v>0.621</v>
      </c>
      <c r="V559" s="118"/>
      <c r="W559" s="424">
        <f t="shared" si="35"/>
        <v>27.572399999999998</v>
      </c>
      <c r="X559" s="424">
        <f t="shared" si="36"/>
        <v>30.329640000000001</v>
      </c>
    </row>
    <row r="560" spans="1:24" s="119" customFormat="1" ht="24.9" hidden="1" customHeight="1">
      <c r="A560" s="296">
        <v>81</v>
      </c>
      <c r="B560" s="207" t="s">
        <v>1541</v>
      </c>
      <c r="C560" s="303" t="s">
        <v>1623</v>
      </c>
      <c r="D560" s="207" t="s">
        <v>235</v>
      </c>
      <c r="E560" s="298">
        <v>1</v>
      </c>
      <c r="F560" s="207" t="s">
        <v>236</v>
      </c>
      <c r="G560" s="208">
        <v>162</v>
      </c>
      <c r="H560" s="208">
        <v>23</v>
      </c>
      <c r="I560" s="299">
        <v>58</v>
      </c>
      <c r="J560" s="218"/>
      <c r="K560" s="208">
        <v>11.06622</v>
      </c>
      <c r="L560" s="208"/>
      <c r="M560" s="208" t="s">
        <v>1543</v>
      </c>
      <c r="N560" s="295"/>
      <c r="O560" s="209"/>
      <c r="P560" s="25"/>
      <c r="Q560" s="347">
        <v>4.1399999999999997</v>
      </c>
      <c r="R560" s="26"/>
      <c r="S560" s="420">
        <f t="shared" si="37"/>
        <v>6.7067999999999994</v>
      </c>
      <c r="T560" s="420">
        <f t="shared" si="38"/>
        <v>0.95219999999999994</v>
      </c>
      <c r="U560" s="420">
        <f t="shared" si="39"/>
        <v>2.4011999999999998</v>
      </c>
      <c r="V560" s="118"/>
      <c r="W560" s="424">
        <f t="shared" si="35"/>
        <v>10.060199999999998</v>
      </c>
      <c r="X560" s="424">
        <f t="shared" si="36"/>
        <v>11.06622</v>
      </c>
    </row>
    <row r="561" spans="1:24" s="119" customFormat="1" ht="24.9" hidden="1" customHeight="1">
      <c r="A561" s="296">
        <v>82</v>
      </c>
      <c r="B561" s="207" t="s">
        <v>1541</v>
      </c>
      <c r="C561" s="303" t="s">
        <v>1624</v>
      </c>
      <c r="D561" s="207" t="s">
        <v>235</v>
      </c>
      <c r="E561" s="298">
        <v>1</v>
      </c>
      <c r="F561" s="207" t="s">
        <v>236</v>
      </c>
      <c r="G561" s="208">
        <v>60</v>
      </c>
      <c r="H561" s="208">
        <v>23</v>
      </c>
      <c r="I561" s="299">
        <v>58</v>
      </c>
      <c r="J561" s="218"/>
      <c r="K561" s="208">
        <v>6.4211400000000003</v>
      </c>
      <c r="L561" s="208"/>
      <c r="M561" s="208" t="s">
        <v>1543</v>
      </c>
      <c r="N561" s="295"/>
      <c r="O561" s="209"/>
      <c r="P561" s="25"/>
      <c r="Q561" s="347">
        <v>4.1399999999999997</v>
      </c>
      <c r="R561" s="302"/>
      <c r="S561" s="420">
        <f t="shared" si="37"/>
        <v>2.484</v>
      </c>
      <c r="T561" s="420">
        <f t="shared" si="38"/>
        <v>0.95219999999999994</v>
      </c>
      <c r="U561" s="420">
        <f t="shared" si="39"/>
        <v>2.4011999999999998</v>
      </c>
      <c r="V561" s="118"/>
      <c r="W561" s="424">
        <f t="shared" si="35"/>
        <v>5.8373999999999997</v>
      </c>
      <c r="X561" s="424">
        <f t="shared" si="36"/>
        <v>6.4211400000000003</v>
      </c>
    </row>
    <row r="562" spans="1:24" s="119" customFormat="1" ht="24.9" hidden="1" customHeight="1">
      <c r="A562" s="296">
        <v>83</v>
      </c>
      <c r="B562" s="207" t="s">
        <v>1541</v>
      </c>
      <c r="C562" s="303" t="s">
        <v>1625</v>
      </c>
      <c r="D562" s="207" t="s">
        <v>235</v>
      </c>
      <c r="E562" s="298">
        <v>1</v>
      </c>
      <c r="F562" s="207" t="s">
        <v>236</v>
      </c>
      <c r="G562" s="208">
        <v>430</v>
      </c>
      <c r="H562" s="208">
        <v>250</v>
      </c>
      <c r="I562" s="299">
        <v>30</v>
      </c>
      <c r="J562" s="299"/>
      <c r="K562" s="208">
        <v>32.333400000000005</v>
      </c>
      <c r="L562" s="208"/>
      <c r="M562" s="208" t="s">
        <v>1543</v>
      </c>
      <c r="N562" s="295"/>
      <c r="O562" s="209"/>
      <c r="P562" s="25"/>
      <c r="Q562" s="347">
        <v>4.1399999999999997</v>
      </c>
      <c r="R562" s="26"/>
      <c r="S562" s="420">
        <f t="shared" si="37"/>
        <v>17.802</v>
      </c>
      <c r="T562" s="420">
        <f t="shared" si="38"/>
        <v>10.35</v>
      </c>
      <c r="U562" s="420">
        <f t="shared" si="39"/>
        <v>1.242</v>
      </c>
      <c r="V562" s="118"/>
      <c r="W562" s="424">
        <f t="shared" si="35"/>
        <v>29.394000000000002</v>
      </c>
      <c r="X562" s="424">
        <f t="shared" si="36"/>
        <v>32.333400000000005</v>
      </c>
    </row>
    <row r="563" spans="1:24" s="119" customFormat="1" ht="24.9" hidden="1" customHeight="1">
      <c r="A563" s="296">
        <v>84</v>
      </c>
      <c r="B563" s="207" t="s">
        <v>1541</v>
      </c>
      <c r="C563" s="303" t="s">
        <v>1626</v>
      </c>
      <c r="D563" s="207" t="s">
        <v>235</v>
      </c>
      <c r="E563" s="298">
        <v>1</v>
      </c>
      <c r="F563" s="207" t="s">
        <v>236</v>
      </c>
      <c r="G563" s="208">
        <v>430</v>
      </c>
      <c r="H563" s="208">
        <v>300</v>
      </c>
      <c r="I563" s="299">
        <v>30</v>
      </c>
      <c r="J563" s="299"/>
      <c r="K563" s="208">
        <v>34.610400000000006</v>
      </c>
      <c r="L563" s="208"/>
      <c r="M563" s="208" t="s">
        <v>1543</v>
      </c>
      <c r="N563" s="295"/>
      <c r="O563" s="209"/>
      <c r="P563" s="25"/>
      <c r="Q563" s="347">
        <v>4.1399999999999997</v>
      </c>
      <c r="R563" s="302"/>
      <c r="S563" s="420">
        <f t="shared" si="37"/>
        <v>17.802</v>
      </c>
      <c r="T563" s="420">
        <f t="shared" si="38"/>
        <v>12.42</v>
      </c>
      <c r="U563" s="420">
        <f t="shared" si="39"/>
        <v>1.242</v>
      </c>
      <c r="V563" s="118"/>
      <c r="W563" s="424">
        <f t="shared" si="35"/>
        <v>31.464000000000002</v>
      </c>
      <c r="X563" s="424">
        <f t="shared" si="36"/>
        <v>34.610400000000006</v>
      </c>
    </row>
    <row r="564" spans="1:24" s="119" customFormat="1" ht="24.9" hidden="1" customHeight="1">
      <c r="A564" s="296">
        <v>85</v>
      </c>
      <c r="B564" s="207" t="s">
        <v>1541</v>
      </c>
      <c r="C564" s="303" t="s">
        <v>1627</v>
      </c>
      <c r="D564" s="207" t="s">
        <v>235</v>
      </c>
      <c r="E564" s="298">
        <v>1</v>
      </c>
      <c r="F564" s="207" t="s">
        <v>236</v>
      </c>
      <c r="G564" s="208">
        <v>430</v>
      </c>
      <c r="H564" s="208">
        <v>300</v>
      </c>
      <c r="I564" s="299">
        <v>60</v>
      </c>
      <c r="J564" s="299"/>
      <c r="K564" s="208">
        <v>35.976600000000005</v>
      </c>
      <c r="L564" s="208"/>
      <c r="M564" s="208" t="s">
        <v>1543</v>
      </c>
      <c r="N564" s="295"/>
      <c r="O564" s="209"/>
      <c r="P564" s="25"/>
      <c r="Q564" s="347">
        <v>4.1399999999999997</v>
      </c>
      <c r="R564" s="26"/>
      <c r="S564" s="420">
        <f t="shared" si="37"/>
        <v>17.802</v>
      </c>
      <c r="T564" s="420">
        <f t="shared" si="38"/>
        <v>12.42</v>
      </c>
      <c r="U564" s="420">
        <f t="shared" si="39"/>
        <v>2.484</v>
      </c>
      <c r="V564" s="118"/>
      <c r="W564" s="424">
        <f t="shared" si="35"/>
        <v>32.706000000000003</v>
      </c>
      <c r="X564" s="424">
        <f t="shared" si="36"/>
        <v>35.976600000000005</v>
      </c>
    </row>
    <row r="565" spans="1:24" s="119" customFormat="1" ht="24.9" hidden="1" customHeight="1">
      <c r="A565" s="296">
        <v>86</v>
      </c>
      <c r="B565" s="207" t="s">
        <v>1541</v>
      </c>
      <c r="C565" s="303" t="s">
        <v>1628</v>
      </c>
      <c r="D565" s="207" t="s">
        <v>235</v>
      </c>
      <c r="E565" s="298">
        <v>1</v>
      </c>
      <c r="F565" s="207" t="s">
        <v>236</v>
      </c>
      <c r="G565" s="208">
        <v>430</v>
      </c>
      <c r="H565" s="208">
        <v>250</v>
      </c>
      <c r="I565" s="299">
        <v>30</v>
      </c>
      <c r="J565" s="299"/>
      <c r="K565" s="208">
        <v>32.333400000000005</v>
      </c>
      <c r="L565" s="208"/>
      <c r="M565" s="208" t="s">
        <v>1543</v>
      </c>
      <c r="N565" s="295"/>
      <c r="O565" s="209"/>
      <c r="P565" s="25"/>
      <c r="Q565" s="347">
        <v>4.1399999999999997</v>
      </c>
      <c r="R565" s="302"/>
      <c r="S565" s="420">
        <f t="shared" si="37"/>
        <v>17.802</v>
      </c>
      <c r="T565" s="420">
        <f t="shared" si="38"/>
        <v>10.35</v>
      </c>
      <c r="U565" s="420">
        <f t="shared" si="39"/>
        <v>1.242</v>
      </c>
      <c r="V565" s="118"/>
      <c r="W565" s="424">
        <f t="shared" si="35"/>
        <v>29.394000000000002</v>
      </c>
      <c r="X565" s="424">
        <f t="shared" si="36"/>
        <v>32.333400000000005</v>
      </c>
    </row>
    <row r="566" spans="1:24" s="119" customFormat="1" ht="24.9" hidden="1" customHeight="1">
      <c r="A566" s="296">
        <v>87</v>
      </c>
      <c r="B566" s="207" t="s">
        <v>1541</v>
      </c>
      <c r="C566" s="303" t="s">
        <v>1629</v>
      </c>
      <c r="D566" s="207" t="s">
        <v>235</v>
      </c>
      <c r="E566" s="298">
        <v>1</v>
      </c>
      <c r="F566" s="207" t="s">
        <v>236</v>
      </c>
      <c r="G566" s="208">
        <v>430</v>
      </c>
      <c r="H566" s="208">
        <v>300</v>
      </c>
      <c r="I566" s="299">
        <v>30</v>
      </c>
      <c r="J566" s="299"/>
      <c r="K566" s="208">
        <v>34.610400000000006</v>
      </c>
      <c r="L566" s="208"/>
      <c r="M566" s="208" t="s">
        <v>1543</v>
      </c>
      <c r="N566" s="295"/>
      <c r="O566" s="209"/>
      <c r="P566" s="25"/>
      <c r="Q566" s="347">
        <v>4.1399999999999997</v>
      </c>
      <c r="R566" s="26"/>
      <c r="S566" s="420">
        <f t="shared" si="37"/>
        <v>17.802</v>
      </c>
      <c r="T566" s="420">
        <f t="shared" si="38"/>
        <v>12.42</v>
      </c>
      <c r="U566" s="420">
        <f t="shared" si="39"/>
        <v>1.242</v>
      </c>
      <c r="V566" s="118"/>
      <c r="W566" s="424">
        <f t="shared" si="35"/>
        <v>31.464000000000002</v>
      </c>
      <c r="X566" s="424">
        <f t="shared" si="36"/>
        <v>34.610400000000006</v>
      </c>
    </row>
    <row r="567" spans="1:24" s="119" customFormat="1" ht="24.9" hidden="1" customHeight="1">
      <c r="A567" s="296">
        <v>88</v>
      </c>
      <c r="B567" s="207" t="s">
        <v>1541</v>
      </c>
      <c r="C567" s="303" t="s">
        <v>1630</v>
      </c>
      <c r="D567" s="207" t="s">
        <v>235</v>
      </c>
      <c r="E567" s="298">
        <v>1</v>
      </c>
      <c r="F567" s="207" t="s">
        <v>236</v>
      </c>
      <c r="G567" s="208">
        <v>430</v>
      </c>
      <c r="H567" s="208">
        <v>300</v>
      </c>
      <c r="I567" s="299">
        <v>60</v>
      </c>
      <c r="J567" s="299"/>
      <c r="K567" s="208">
        <v>35.976600000000005</v>
      </c>
      <c r="L567" s="208"/>
      <c r="M567" s="208" t="s">
        <v>1543</v>
      </c>
      <c r="N567" s="295"/>
      <c r="O567" s="209"/>
      <c r="P567" s="25"/>
      <c r="Q567" s="347">
        <v>4.1399999999999997</v>
      </c>
      <c r="R567" s="302"/>
      <c r="S567" s="420">
        <f t="shared" si="37"/>
        <v>17.802</v>
      </c>
      <c r="T567" s="420">
        <f t="shared" si="38"/>
        <v>12.42</v>
      </c>
      <c r="U567" s="420">
        <f t="shared" si="39"/>
        <v>2.484</v>
      </c>
      <c r="V567" s="118"/>
      <c r="W567" s="424">
        <f t="shared" si="35"/>
        <v>32.706000000000003</v>
      </c>
      <c r="X567" s="424">
        <f t="shared" si="36"/>
        <v>35.976600000000005</v>
      </c>
    </row>
    <row r="568" spans="1:24" s="119" customFormat="1" ht="24.9" hidden="1" customHeight="1">
      <c r="A568" s="296">
        <v>89</v>
      </c>
      <c r="B568" s="207" t="s">
        <v>1541</v>
      </c>
      <c r="C568" s="303" t="s">
        <v>1631</v>
      </c>
      <c r="D568" s="207" t="s">
        <v>235</v>
      </c>
      <c r="E568" s="298">
        <v>1</v>
      </c>
      <c r="F568" s="207" t="s">
        <v>236</v>
      </c>
      <c r="G568" s="208">
        <v>430</v>
      </c>
      <c r="H568" s="208">
        <v>250</v>
      </c>
      <c r="I568" s="299">
        <v>30</v>
      </c>
      <c r="J568" s="218"/>
      <c r="K568" s="208">
        <v>32.333400000000005</v>
      </c>
      <c r="L568" s="208"/>
      <c r="M568" s="208" t="s">
        <v>1543</v>
      </c>
      <c r="N568" s="295"/>
      <c r="O568" s="209"/>
      <c r="P568" s="25"/>
      <c r="Q568" s="347">
        <v>4.1399999999999997</v>
      </c>
      <c r="R568" s="26"/>
      <c r="S568" s="420">
        <f t="shared" si="37"/>
        <v>17.802</v>
      </c>
      <c r="T568" s="420">
        <f t="shared" si="38"/>
        <v>10.35</v>
      </c>
      <c r="U568" s="420">
        <f t="shared" si="39"/>
        <v>1.242</v>
      </c>
      <c r="V568" s="118"/>
      <c r="W568" s="424">
        <f t="shared" si="35"/>
        <v>29.394000000000002</v>
      </c>
      <c r="X568" s="424">
        <f t="shared" si="36"/>
        <v>32.333400000000005</v>
      </c>
    </row>
    <row r="569" spans="1:24" s="119" customFormat="1" ht="24.9" hidden="1" customHeight="1">
      <c r="A569" s="296">
        <v>90</v>
      </c>
      <c r="B569" s="207" t="s">
        <v>1541</v>
      </c>
      <c r="C569" s="303" t="s">
        <v>1632</v>
      </c>
      <c r="D569" s="207" t="s">
        <v>235</v>
      </c>
      <c r="E569" s="298">
        <v>1</v>
      </c>
      <c r="F569" s="207" t="s">
        <v>236</v>
      </c>
      <c r="G569" s="208">
        <v>430</v>
      </c>
      <c r="H569" s="208">
        <v>300</v>
      </c>
      <c r="I569" s="299">
        <v>30</v>
      </c>
      <c r="J569" s="218"/>
      <c r="K569" s="208">
        <v>34.610400000000006</v>
      </c>
      <c r="L569" s="208"/>
      <c r="M569" s="208" t="s">
        <v>1543</v>
      </c>
      <c r="N569" s="295"/>
      <c r="O569" s="209"/>
      <c r="P569" s="25"/>
      <c r="Q569" s="347">
        <v>4.1399999999999997</v>
      </c>
      <c r="R569" s="302"/>
      <c r="S569" s="420">
        <f t="shared" si="37"/>
        <v>17.802</v>
      </c>
      <c r="T569" s="420">
        <f t="shared" si="38"/>
        <v>12.42</v>
      </c>
      <c r="U569" s="420">
        <f t="shared" si="39"/>
        <v>1.242</v>
      </c>
      <c r="V569" s="118"/>
      <c r="W569" s="424">
        <f t="shared" si="35"/>
        <v>31.464000000000002</v>
      </c>
      <c r="X569" s="424">
        <f t="shared" si="36"/>
        <v>34.610400000000006</v>
      </c>
    </row>
    <row r="570" spans="1:24" s="119" customFormat="1" ht="24.9" hidden="1" customHeight="1">
      <c r="A570" s="296">
        <v>91</v>
      </c>
      <c r="B570" s="207" t="s">
        <v>1541</v>
      </c>
      <c r="C570" s="303" t="s">
        <v>1633</v>
      </c>
      <c r="D570" s="207" t="s">
        <v>235</v>
      </c>
      <c r="E570" s="298">
        <v>1</v>
      </c>
      <c r="F570" s="207" t="s">
        <v>236</v>
      </c>
      <c r="G570" s="208">
        <v>430</v>
      </c>
      <c r="H570" s="208">
        <v>300</v>
      </c>
      <c r="I570" s="299">
        <v>60</v>
      </c>
      <c r="J570" s="218"/>
      <c r="K570" s="208">
        <v>35.976600000000005</v>
      </c>
      <c r="L570" s="208"/>
      <c r="M570" s="208" t="s">
        <v>1543</v>
      </c>
      <c r="N570" s="295"/>
      <c r="O570" s="209"/>
      <c r="P570" s="25"/>
      <c r="Q570" s="347">
        <v>4.1399999999999997</v>
      </c>
      <c r="R570" s="26"/>
      <c r="S570" s="420">
        <f t="shared" si="37"/>
        <v>17.802</v>
      </c>
      <c r="T570" s="420">
        <f t="shared" si="38"/>
        <v>12.42</v>
      </c>
      <c r="U570" s="420">
        <f t="shared" si="39"/>
        <v>2.484</v>
      </c>
      <c r="V570" s="118"/>
      <c r="W570" s="424">
        <f t="shared" si="35"/>
        <v>32.706000000000003</v>
      </c>
      <c r="X570" s="424">
        <f t="shared" si="36"/>
        <v>35.976600000000005</v>
      </c>
    </row>
    <row r="571" spans="1:24" s="119" customFormat="1" ht="24.9" hidden="1" customHeight="1">
      <c r="A571" s="296">
        <v>92</v>
      </c>
      <c r="B571" s="207" t="s">
        <v>1541</v>
      </c>
      <c r="C571" s="303" t="s">
        <v>1634</v>
      </c>
      <c r="D571" s="207" t="s">
        <v>235</v>
      </c>
      <c r="E571" s="298">
        <v>1</v>
      </c>
      <c r="F571" s="207" t="s">
        <v>236</v>
      </c>
      <c r="G571" s="208">
        <v>430</v>
      </c>
      <c r="H571" s="208">
        <v>250</v>
      </c>
      <c r="I571" s="299">
        <v>30</v>
      </c>
      <c r="J571" s="218"/>
      <c r="K571" s="208">
        <v>32.333400000000005</v>
      </c>
      <c r="L571" s="208"/>
      <c r="M571" s="208" t="s">
        <v>1543</v>
      </c>
      <c r="N571" s="295"/>
      <c r="O571" s="209"/>
      <c r="P571" s="25"/>
      <c r="Q571" s="347">
        <v>4.1399999999999997</v>
      </c>
      <c r="R571" s="302"/>
      <c r="S571" s="420">
        <f t="shared" si="37"/>
        <v>17.802</v>
      </c>
      <c r="T571" s="420">
        <f t="shared" si="38"/>
        <v>10.35</v>
      </c>
      <c r="U571" s="420">
        <f t="shared" si="39"/>
        <v>1.242</v>
      </c>
      <c r="V571" s="118"/>
      <c r="W571" s="424">
        <f t="shared" si="35"/>
        <v>29.394000000000002</v>
      </c>
      <c r="X571" s="424">
        <f t="shared" si="36"/>
        <v>32.333400000000005</v>
      </c>
    </row>
    <row r="572" spans="1:24" s="119" customFormat="1" ht="24.9" hidden="1" customHeight="1">
      <c r="A572" s="296">
        <v>93</v>
      </c>
      <c r="B572" s="207" t="s">
        <v>1541</v>
      </c>
      <c r="C572" s="303" t="s">
        <v>1635</v>
      </c>
      <c r="D572" s="207" t="s">
        <v>235</v>
      </c>
      <c r="E572" s="298">
        <v>1</v>
      </c>
      <c r="F572" s="207" t="s">
        <v>236</v>
      </c>
      <c r="G572" s="208">
        <v>430</v>
      </c>
      <c r="H572" s="208">
        <v>300</v>
      </c>
      <c r="I572" s="299">
        <v>30</v>
      </c>
      <c r="J572" s="218"/>
      <c r="K572" s="208">
        <v>34.610400000000006</v>
      </c>
      <c r="L572" s="208"/>
      <c r="M572" s="208" t="s">
        <v>1543</v>
      </c>
      <c r="N572" s="295"/>
      <c r="O572" s="209"/>
      <c r="P572" s="25"/>
      <c r="Q572" s="347">
        <v>4.1399999999999997</v>
      </c>
      <c r="R572" s="26"/>
      <c r="S572" s="420">
        <f t="shared" si="37"/>
        <v>17.802</v>
      </c>
      <c r="T572" s="420">
        <f t="shared" si="38"/>
        <v>12.42</v>
      </c>
      <c r="U572" s="420">
        <f t="shared" si="39"/>
        <v>1.242</v>
      </c>
      <c r="V572" s="118"/>
      <c r="W572" s="424">
        <f t="shared" si="35"/>
        <v>31.464000000000002</v>
      </c>
      <c r="X572" s="424">
        <f t="shared" si="36"/>
        <v>34.610400000000006</v>
      </c>
    </row>
    <row r="573" spans="1:24" s="119" customFormat="1" ht="24.9" hidden="1" customHeight="1">
      <c r="A573" s="296">
        <v>94</v>
      </c>
      <c r="B573" s="207" t="s">
        <v>1541</v>
      </c>
      <c r="C573" s="303" t="s">
        <v>1636</v>
      </c>
      <c r="D573" s="207" t="s">
        <v>235</v>
      </c>
      <c r="E573" s="298">
        <v>1</v>
      </c>
      <c r="F573" s="207" t="s">
        <v>236</v>
      </c>
      <c r="G573" s="208">
        <v>430</v>
      </c>
      <c r="H573" s="208">
        <v>300</v>
      </c>
      <c r="I573" s="299">
        <v>60</v>
      </c>
      <c r="J573" s="218"/>
      <c r="K573" s="208">
        <v>35.976600000000005</v>
      </c>
      <c r="L573" s="208"/>
      <c r="M573" s="208" t="s">
        <v>1543</v>
      </c>
      <c r="N573" s="295"/>
      <c r="O573" s="209"/>
      <c r="P573" s="25"/>
      <c r="Q573" s="347">
        <v>4.1399999999999997</v>
      </c>
      <c r="R573" s="302"/>
      <c r="S573" s="420">
        <f t="shared" si="37"/>
        <v>17.802</v>
      </c>
      <c r="T573" s="420">
        <f t="shared" si="38"/>
        <v>12.42</v>
      </c>
      <c r="U573" s="420">
        <f t="shared" si="39"/>
        <v>2.484</v>
      </c>
      <c r="V573" s="118"/>
      <c r="W573" s="424">
        <f t="shared" si="35"/>
        <v>32.706000000000003</v>
      </c>
      <c r="X573" s="424">
        <f t="shared" si="36"/>
        <v>35.976600000000005</v>
      </c>
    </row>
    <row r="574" spans="1:24" s="119" customFormat="1" ht="24.9" hidden="1" customHeight="1">
      <c r="A574" s="296">
        <v>95</v>
      </c>
      <c r="B574" s="207" t="s">
        <v>1541</v>
      </c>
      <c r="C574" s="303" t="s">
        <v>1637</v>
      </c>
      <c r="D574" s="207" t="s">
        <v>235</v>
      </c>
      <c r="E574" s="298">
        <v>1</v>
      </c>
      <c r="F574" s="207" t="s">
        <v>236</v>
      </c>
      <c r="G574" s="208">
        <v>430</v>
      </c>
      <c r="H574" s="208">
        <v>250</v>
      </c>
      <c r="I574" s="299">
        <v>30</v>
      </c>
      <c r="J574" s="218"/>
      <c r="K574" s="208">
        <v>32.333400000000005</v>
      </c>
      <c r="L574" s="208"/>
      <c r="M574" s="208" t="s">
        <v>1543</v>
      </c>
      <c r="N574" s="295"/>
      <c r="O574" s="209"/>
      <c r="P574" s="25"/>
      <c r="Q574" s="347">
        <v>4.1399999999999997</v>
      </c>
      <c r="R574" s="26"/>
      <c r="S574" s="420">
        <f t="shared" si="37"/>
        <v>17.802</v>
      </c>
      <c r="T574" s="420">
        <f t="shared" si="38"/>
        <v>10.35</v>
      </c>
      <c r="U574" s="420">
        <f t="shared" si="39"/>
        <v>1.242</v>
      </c>
      <c r="V574" s="118"/>
      <c r="W574" s="424">
        <f t="shared" si="35"/>
        <v>29.394000000000002</v>
      </c>
      <c r="X574" s="424">
        <f t="shared" si="36"/>
        <v>32.333400000000005</v>
      </c>
    </row>
    <row r="575" spans="1:24" s="119" customFormat="1" ht="24.9" hidden="1" customHeight="1">
      <c r="A575" s="296">
        <v>96</v>
      </c>
      <c r="B575" s="207" t="s">
        <v>1541</v>
      </c>
      <c r="C575" s="303" t="s">
        <v>1638</v>
      </c>
      <c r="D575" s="207" t="s">
        <v>235</v>
      </c>
      <c r="E575" s="298">
        <v>1</v>
      </c>
      <c r="F575" s="207" t="s">
        <v>236</v>
      </c>
      <c r="G575" s="208">
        <v>430</v>
      </c>
      <c r="H575" s="208">
        <v>300</v>
      </c>
      <c r="I575" s="299">
        <v>30</v>
      </c>
      <c r="J575" s="218"/>
      <c r="K575" s="208">
        <v>34.610400000000006</v>
      </c>
      <c r="L575" s="208"/>
      <c r="M575" s="208" t="s">
        <v>1543</v>
      </c>
      <c r="N575" s="295"/>
      <c r="O575" s="209"/>
      <c r="P575" s="25"/>
      <c r="Q575" s="347">
        <v>4.1399999999999997</v>
      </c>
      <c r="R575" s="302"/>
      <c r="S575" s="420">
        <f t="shared" si="37"/>
        <v>17.802</v>
      </c>
      <c r="T575" s="420">
        <f t="shared" si="38"/>
        <v>12.42</v>
      </c>
      <c r="U575" s="420">
        <f t="shared" si="39"/>
        <v>1.242</v>
      </c>
      <c r="V575" s="118"/>
      <c r="W575" s="424">
        <f t="shared" si="35"/>
        <v>31.464000000000002</v>
      </c>
      <c r="X575" s="424">
        <f t="shared" si="36"/>
        <v>34.610400000000006</v>
      </c>
    </row>
    <row r="576" spans="1:24" s="119" customFormat="1" ht="24.9" hidden="1" customHeight="1">
      <c r="A576" s="296">
        <v>97</v>
      </c>
      <c r="B576" s="207" t="s">
        <v>1541</v>
      </c>
      <c r="C576" s="303" t="s">
        <v>1639</v>
      </c>
      <c r="D576" s="207" t="s">
        <v>235</v>
      </c>
      <c r="E576" s="298">
        <v>1</v>
      </c>
      <c r="F576" s="207" t="s">
        <v>236</v>
      </c>
      <c r="G576" s="208">
        <v>430</v>
      </c>
      <c r="H576" s="208">
        <v>300</v>
      </c>
      <c r="I576" s="299">
        <v>60</v>
      </c>
      <c r="J576" s="218"/>
      <c r="K576" s="208">
        <v>35.976600000000005</v>
      </c>
      <c r="L576" s="208"/>
      <c r="M576" s="208" t="s">
        <v>1543</v>
      </c>
      <c r="N576" s="295"/>
      <c r="O576" s="209"/>
      <c r="P576" s="25"/>
      <c r="Q576" s="347">
        <v>4.1399999999999997</v>
      </c>
      <c r="R576" s="26"/>
      <c r="S576" s="420">
        <f t="shared" si="37"/>
        <v>17.802</v>
      </c>
      <c r="T576" s="420">
        <f t="shared" si="38"/>
        <v>12.42</v>
      </c>
      <c r="U576" s="420">
        <f t="shared" si="39"/>
        <v>2.484</v>
      </c>
      <c r="V576" s="118"/>
      <c r="W576" s="424">
        <f t="shared" si="35"/>
        <v>32.706000000000003</v>
      </c>
      <c r="X576" s="424">
        <f t="shared" si="36"/>
        <v>35.976600000000005</v>
      </c>
    </row>
    <row r="577" spans="1:24" s="119" customFormat="1" ht="24.9" hidden="1" customHeight="1">
      <c r="A577" s="296">
        <v>98</v>
      </c>
      <c r="B577" s="207" t="s">
        <v>1541</v>
      </c>
      <c r="C577" s="303" t="s">
        <v>1640</v>
      </c>
      <c r="D577" s="207" t="s">
        <v>235</v>
      </c>
      <c r="E577" s="298">
        <v>1</v>
      </c>
      <c r="F577" s="207" t="s">
        <v>236</v>
      </c>
      <c r="G577" s="208">
        <v>430</v>
      </c>
      <c r="H577" s="208">
        <v>250</v>
      </c>
      <c r="I577" s="299">
        <v>30</v>
      </c>
      <c r="J577" s="218"/>
      <c r="K577" s="208">
        <v>32.333400000000005</v>
      </c>
      <c r="L577" s="208"/>
      <c r="M577" s="208" t="s">
        <v>1543</v>
      </c>
      <c r="N577" s="295"/>
      <c r="O577" s="209"/>
      <c r="P577" s="25"/>
      <c r="Q577" s="347">
        <v>4.1399999999999997</v>
      </c>
      <c r="R577" s="302"/>
      <c r="S577" s="420">
        <f t="shared" si="37"/>
        <v>17.802</v>
      </c>
      <c r="T577" s="420">
        <f t="shared" si="38"/>
        <v>10.35</v>
      </c>
      <c r="U577" s="420">
        <f t="shared" si="39"/>
        <v>1.242</v>
      </c>
      <c r="V577" s="118"/>
      <c r="W577" s="424">
        <f t="shared" si="35"/>
        <v>29.394000000000002</v>
      </c>
      <c r="X577" s="424">
        <f t="shared" si="36"/>
        <v>32.333400000000005</v>
      </c>
    </row>
    <row r="578" spans="1:24" s="119" customFormat="1" ht="24.9" hidden="1" customHeight="1">
      <c r="A578" s="296">
        <v>99</v>
      </c>
      <c r="B578" s="207" t="s">
        <v>1541</v>
      </c>
      <c r="C578" s="303" t="s">
        <v>1641</v>
      </c>
      <c r="D578" s="207" t="s">
        <v>235</v>
      </c>
      <c r="E578" s="298">
        <v>1</v>
      </c>
      <c r="F578" s="207" t="s">
        <v>236</v>
      </c>
      <c r="G578" s="208">
        <v>430</v>
      </c>
      <c r="H578" s="208">
        <v>300</v>
      </c>
      <c r="I578" s="299">
        <v>30</v>
      </c>
      <c r="J578" s="218"/>
      <c r="K578" s="208">
        <v>34.610400000000006</v>
      </c>
      <c r="L578" s="208"/>
      <c r="M578" s="208" t="s">
        <v>1543</v>
      </c>
      <c r="N578" s="295"/>
      <c r="O578" s="209"/>
      <c r="P578" s="25"/>
      <c r="Q578" s="347">
        <v>4.1399999999999997</v>
      </c>
      <c r="R578" s="26"/>
      <c r="S578" s="420">
        <f t="shared" si="37"/>
        <v>17.802</v>
      </c>
      <c r="T578" s="420">
        <f t="shared" si="38"/>
        <v>12.42</v>
      </c>
      <c r="U578" s="420">
        <f t="shared" si="39"/>
        <v>1.242</v>
      </c>
      <c r="V578" s="118"/>
      <c r="W578" s="424">
        <f t="shared" si="35"/>
        <v>31.464000000000002</v>
      </c>
      <c r="X578" s="424">
        <f t="shared" si="36"/>
        <v>34.610400000000006</v>
      </c>
    </row>
    <row r="579" spans="1:24" s="119" customFormat="1" ht="24.9" hidden="1" customHeight="1">
      <c r="A579" s="296">
        <v>100</v>
      </c>
      <c r="B579" s="207" t="s">
        <v>1541</v>
      </c>
      <c r="C579" s="303" t="s">
        <v>1642</v>
      </c>
      <c r="D579" s="207" t="s">
        <v>235</v>
      </c>
      <c r="E579" s="298">
        <v>1</v>
      </c>
      <c r="F579" s="207" t="s">
        <v>236</v>
      </c>
      <c r="G579" s="208">
        <v>430</v>
      </c>
      <c r="H579" s="208">
        <v>300</v>
      </c>
      <c r="I579" s="299">
        <v>60</v>
      </c>
      <c r="J579" s="218"/>
      <c r="K579" s="208">
        <v>35.976600000000005</v>
      </c>
      <c r="L579" s="208"/>
      <c r="M579" s="208" t="s">
        <v>1543</v>
      </c>
      <c r="N579" s="295"/>
      <c r="O579" s="209"/>
      <c r="P579" s="25"/>
      <c r="Q579" s="347">
        <v>4.1399999999999997</v>
      </c>
      <c r="R579" s="302"/>
      <c r="S579" s="420">
        <f t="shared" si="37"/>
        <v>17.802</v>
      </c>
      <c r="T579" s="420">
        <f t="shared" si="38"/>
        <v>12.42</v>
      </c>
      <c r="U579" s="420">
        <f t="shared" si="39"/>
        <v>2.484</v>
      </c>
      <c r="V579" s="118"/>
      <c r="W579" s="424">
        <f t="shared" si="35"/>
        <v>32.706000000000003</v>
      </c>
      <c r="X579" s="424">
        <f t="shared" si="36"/>
        <v>35.976600000000005</v>
      </c>
    </row>
    <row r="580" spans="1:24" s="119" customFormat="1" ht="24.9" hidden="1" customHeight="1">
      <c r="A580" s="296">
        <v>101</v>
      </c>
      <c r="B580" s="207" t="s">
        <v>1541</v>
      </c>
      <c r="C580" s="303" t="s">
        <v>1643</v>
      </c>
      <c r="D580" s="207" t="s">
        <v>235</v>
      </c>
      <c r="E580" s="298">
        <v>1</v>
      </c>
      <c r="F580" s="207" t="s">
        <v>236</v>
      </c>
      <c r="G580" s="208">
        <v>430</v>
      </c>
      <c r="H580" s="208">
        <v>250</v>
      </c>
      <c r="I580" s="299">
        <v>30</v>
      </c>
      <c r="J580" s="218"/>
      <c r="K580" s="208">
        <v>32.333400000000005</v>
      </c>
      <c r="L580" s="208"/>
      <c r="M580" s="208" t="s">
        <v>1543</v>
      </c>
      <c r="N580" s="295"/>
      <c r="O580" s="209"/>
      <c r="P580" s="25"/>
      <c r="Q580" s="347">
        <v>4.1399999999999997</v>
      </c>
      <c r="R580" s="26"/>
      <c r="S580" s="420">
        <f t="shared" si="37"/>
        <v>17.802</v>
      </c>
      <c r="T580" s="420">
        <f t="shared" si="38"/>
        <v>10.35</v>
      </c>
      <c r="U580" s="420">
        <f t="shared" si="39"/>
        <v>1.242</v>
      </c>
      <c r="V580" s="118"/>
      <c r="W580" s="424">
        <f t="shared" si="35"/>
        <v>29.394000000000002</v>
      </c>
      <c r="X580" s="424">
        <f t="shared" si="36"/>
        <v>32.333400000000005</v>
      </c>
    </row>
    <row r="581" spans="1:24" s="119" customFormat="1" ht="24.9" hidden="1" customHeight="1">
      <c r="A581" s="296">
        <v>102</v>
      </c>
      <c r="B581" s="207" t="s">
        <v>1541</v>
      </c>
      <c r="C581" s="303" t="s">
        <v>1644</v>
      </c>
      <c r="D581" s="207" t="s">
        <v>235</v>
      </c>
      <c r="E581" s="298">
        <v>1</v>
      </c>
      <c r="F581" s="207" t="s">
        <v>236</v>
      </c>
      <c r="G581" s="208">
        <v>430</v>
      </c>
      <c r="H581" s="208">
        <v>300</v>
      </c>
      <c r="I581" s="299">
        <v>30</v>
      </c>
      <c r="J581" s="218"/>
      <c r="K581" s="208">
        <v>34.610400000000006</v>
      </c>
      <c r="L581" s="208"/>
      <c r="M581" s="208" t="s">
        <v>1543</v>
      </c>
      <c r="N581" s="295"/>
      <c r="O581" s="209"/>
      <c r="P581" s="25"/>
      <c r="Q581" s="347">
        <v>4.1399999999999997</v>
      </c>
      <c r="R581" s="302"/>
      <c r="S581" s="420">
        <f t="shared" si="37"/>
        <v>17.802</v>
      </c>
      <c r="T581" s="420">
        <f t="shared" si="38"/>
        <v>12.42</v>
      </c>
      <c r="U581" s="420">
        <f t="shared" si="39"/>
        <v>1.242</v>
      </c>
      <c r="V581" s="118"/>
      <c r="W581" s="424">
        <f t="shared" ref="W581:W637" si="40">S581+T581+U581</f>
        <v>31.464000000000002</v>
      </c>
      <c r="X581" s="424">
        <f t="shared" ref="X581:X637" si="41">W581*1.1</f>
        <v>34.610400000000006</v>
      </c>
    </row>
    <row r="582" spans="1:24" s="119" customFormat="1" ht="24.9" hidden="1" customHeight="1">
      <c r="A582" s="296">
        <v>103</v>
      </c>
      <c r="B582" s="207" t="s">
        <v>1541</v>
      </c>
      <c r="C582" s="303" t="s">
        <v>1645</v>
      </c>
      <c r="D582" s="207" t="s">
        <v>235</v>
      </c>
      <c r="E582" s="298">
        <v>1</v>
      </c>
      <c r="F582" s="207" t="s">
        <v>236</v>
      </c>
      <c r="G582" s="208">
        <v>430</v>
      </c>
      <c r="H582" s="208">
        <v>300</v>
      </c>
      <c r="I582" s="299">
        <v>60</v>
      </c>
      <c r="J582" s="218"/>
      <c r="K582" s="208">
        <v>35.976600000000005</v>
      </c>
      <c r="L582" s="208"/>
      <c r="M582" s="208" t="s">
        <v>1543</v>
      </c>
      <c r="N582" s="295"/>
      <c r="O582" s="209"/>
      <c r="P582" s="25"/>
      <c r="Q582" s="347">
        <v>4.1399999999999997</v>
      </c>
      <c r="R582" s="26"/>
      <c r="S582" s="420">
        <f t="shared" si="37"/>
        <v>17.802</v>
      </c>
      <c r="T582" s="420">
        <f t="shared" si="38"/>
        <v>12.42</v>
      </c>
      <c r="U582" s="420">
        <f t="shared" si="39"/>
        <v>2.484</v>
      </c>
      <c r="V582" s="118"/>
      <c r="W582" s="424">
        <f t="shared" si="40"/>
        <v>32.706000000000003</v>
      </c>
      <c r="X582" s="424">
        <f t="shared" si="41"/>
        <v>35.976600000000005</v>
      </c>
    </row>
    <row r="583" spans="1:24" s="119" customFormat="1" ht="24.9" hidden="1" customHeight="1">
      <c r="A583" s="296">
        <v>104</v>
      </c>
      <c r="B583" s="207" t="s">
        <v>1541</v>
      </c>
      <c r="C583" s="303" t="s">
        <v>1646</v>
      </c>
      <c r="D583" s="207" t="s">
        <v>235</v>
      </c>
      <c r="E583" s="298">
        <v>1</v>
      </c>
      <c r="F583" s="207" t="s">
        <v>236</v>
      </c>
      <c r="G583" s="208">
        <v>430</v>
      </c>
      <c r="H583" s="208">
        <v>250</v>
      </c>
      <c r="I583" s="299">
        <v>30</v>
      </c>
      <c r="J583" s="218"/>
      <c r="K583" s="208">
        <v>32.333400000000005</v>
      </c>
      <c r="L583" s="208"/>
      <c r="M583" s="208" t="s">
        <v>1543</v>
      </c>
      <c r="N583" s="295"/>
      <c r="O583" s="209"/>
      <c r="P583" s="25"/>
      <c r="Q583" s="347">
        <v>4.1399999999999997</v>
      </c>
      <c r="R583" s="302"/>
      <c r="S583" s="420">
        <f t="shared" si="37"/>
        <v>17.802</v>
      </c>
      <c r="T583" s="420">
        <f t="shared" si="38"/>
        <v>10.35</v>
      </c>
      <c r="U583" s="420">
        <f t="shared" si="39"/>
        <v>1.242</v>
      </c>
      <c r="V583" s="118"/>
      <c r="W583" s="424">
        <f t="shared" si="40"/>
        <v>29.394000000000002</v>
      </c>
      <c r="X583" s="424">
        <f t="shared" si="41"/>
        <v>32.333400000000005</v>
      </c>
    </row>
    <row r="584" spans="1:24" s="119" customFormat="1" ht="24.9" hidden="1" customHeight="1">
      <c r="A584" s="296">
        <v>105</v>
      </c>
      <c r="B584" s="207" t="s">
        <v>1541</v>
      </c>
      <c r="C584" s="303" t="s">
        <v>1647</v>
      </c>
      <c r="D584" s="207" t="s">
        <v>235</v>
      </c>
      <c r="E584" s="298">
        <v>1</v>
      </c>
      <c r="F584" s="207" t="s">
        <v>236</v>
      </c>
      <c r="G584" s="208">
        <v>430</v>
      </c>
      <c r="H584" s="208">
        <v>300</v>
      </c>
      <c r="I584" s="299">
        <v>30</v>
      </c>
      <c r="J584" s="218"/>
      <c r="K584" s="208">
        <v>34.610400000000006</v>
      </c>
      <c r="L584" s="208"/>
      <c r="M584" s="208" t="s">
        <v>1543</v>
      </c>
      <c r="N584" s="295"/>
      <c r="O584" s="209"/>
      <c r="P584" s="25"/>
      <c r="Q584" s="347">
        <v>4.1399999999999997</v>
      </c>
      <c r="R584" s="26"/>
      <c r="S584" s="420">
        <f t="shared" si="37"/>
        <v>17.802</v>
      </c>
      <c r="T584" s="420">
        <f t="shared" si="38"/>
        <v>12.42</v>
      </c>
      <c r="U584" s="420">
        <f t="shared" si="39"/>
        <v>1.242</v>
      </c>
      <c r="V584" s="118"/>
      <c r="W584" s="424">
        <f t="shared" si="40"/>
        <v>31.464000000000002</v>
      </c>
      <c r="X584" s="424">
        <f t="shared" si="41"/>
        <v>34.610400000000006</v>
      </c>
    </row>
    <row r="585" spans="1:24" s="119" customFormat="1" ht="24.9" hidden="1" customHeight="1">
      <c r="A585" s="296">
        <v>106</v>
      </c>
      <c r="B585" s="207" t="s">
        <v>1541</v>
      </c>
      <c r="C585" s="303" t="s">
        <v>1648</v>
      </c>
      <c r="D585" s="207" t="s">
        <v>235</v>
      </c>
      <c r="E585" s="298">
        <v>1</v>
      </c>
      <c r="F585" s="207" t="s">
        <v>236</v>
      </c>
      <c r="G585" s="208">
        <v>430</v>
      </c>
      <c r="H585" s="208">
        <v>300</v>
      </c>
      <c r="I585" s="299">
        <v>60</v>
      </c>
      <c r="J585" s="218"/>
      <c r="K585" s="208">
        <v>35.976600000000005</v>
      </c>
      <c r="L585" s="208"/>
      <c r="M585" s="208" t="s">
        <v>1543</v>
      </c>
      <c r="N585" s="295"/>
      <c r="O585" s="209"/>
      <c r="P585" s="25"/>
      <c r="Q585" s="347">
        <v>4.1399999999999997</v>
      </c>
      <c r="R585" s="302"/>
      <c r="S585" s="420">
        <f t="shared" si="37"/>
        <v>17.802</v>
      </c>
      <c r="T585" s="420">
        <f t="shared" si="38"/>
        <v>12.42</v>
      </c>
      <c r="U585" s="420">
        <f t="shared" si="39"/>
        <v>2.484</v>
      </c>
      <c r="V585" s="118"/>
      <c r="W585" s="424">
        <f t="shared" si="40"/>
        <v>32.706000000000003</v>
      </c>
      <c r="X585" s="424">
        <f t="shared" si="41"/>
        <v>35.976600000000005</v>
      </c>
    </row>
    <row r="586" spans="1:24" s="119" customFormat="1" ht="24.9" hidden="1" customHeight="1">
      <c r="A586" s="296">
        <v>107</v>
      </c>
      <c r="B586" s="207" t="s">
        <v>1541</v>
      </c>
      <c r="C586" s="303" t="s">
        <v>1649</v>
      </c>
      <c r="D586" s="207" t="s">
        <v>235</v>
      </c>
      <c r="E586" s="298">
        <v>1</v>
      </c>
      <c r="F586" s="207" t="s">
        <v>236</v>
      </c>
      <c r="G586" s="208">
        <v>430</v>
      </c>
      <c r="H586" s="208">
        <v>250</v>
      </c>
      <c r="I586" s="299">
        <v>30</v>
      </c>
      <c r="J586" s="218"/>
      <c r="K586" s="208">
        <v>32.333400000000005</v>
      </c>
      <c r="L586" s="208"/>
      <c r="M586" s="208" t="s">
        <v>1543</v>
      </c>
      <c r="N586" s="295"/>
      <c r="O586" s="209"/>
      <c r="P586" s="25"/>
      <c r="Q586" s="347">
        <v>4.1399999999999997</v>
      </c>
      <c r="R586" s="26"/>
      <c r="S586" s="420">
        <f t="shared" si="37"/>
        <v>17.802</v>
      </c>
      <c r="T586" s="420">
        <f t="shared" si="38"/>
        <v>10.35</v>
      </c>
      <c r="U586" s="420">
        <f t="shared" si="39"/>
        <v>1.242</v>
      </c>
      <c r="V586" s="118"/>
      <c r="W586" s="424">
        <f t="shared" si="40"/>
        <v>29.394000000000002</v>
      </c>
      <c r="X586" s="424">
        <f t="shared" si="41"/>
        <v>32.333400000000005</v>
      </c>
    </row>
    <row r="587" spans="1:24" s="119" customFormat="1" ht="24.9" hidden="1" customHeight="1">
      <c r="A587" s="296">
        <v>108</v>
      </c>
      <c r="B587" s="207" t="s">
        <v>1541</v>
      </c>
      <c r="C587" s="303" t="s">
        <v>1650</v>
      </c>
      <c r="D587" s="207" t="s">
        <v>235</v>
      </c>
      <c r="E587" s="298">
        <v>1</v>
      </c>
      <c r="F587" s="207" t="s">
        <v>236</v>
      </c>
      <c r="G587" s="208">
        <v>430</v>
      </c>
      <c r="H587" s="208">
        <v>300</v>
      </c>
      <c r="I587" s="299">
        <v>30</v>
      </c>
      <c r="J587" s="218"/>
      <c r="K587" s="208">
        <v>34.610400000000006</v>
      </c>
      <c r="L587" s="208"/>
      <c r="M587" s="208" t="s">
        <v>1543</v>
      </c>
      <c r="N587" s="295"/>
      <c r="O587" s="209"/>
      <c r="P587" s="25"/>
      <c r="Q587" s="347">
        <v>4.1399999999999997</v>
      </c>
      <c r="R587" s="302"/>
      <c r="S587" s="420">
        <f t="shared" si="37"/>
        <v>17.802</v>
      </c>
      <c r="T587" s="420">
        <f t="shared" si="38"/>
        <v>12.42</v>
      </c>
      <c r="U587" s="420">
        <f t="shared" si="39"/>
        <v>1.242</v>
      </c>
      <c r="V587" s="118"/>
      <c r="W587" s="424">
        <f t="shared" si="40"/>
        <v>31.464000000000002</v>
      </c>
      <c r="X587" s="424">
        <f t="shared" si="41"/>
        <v>34.610400000000006</v>
      </c>
    </row>
    <row r="588" spans="1:24" s="119" customFormat="1" ht="24.9" hidden="1" customHeight="1">
      <c r="A588" s="296">
        <v>109</v>
      </c>
      <c r="B588" s="207" t="s">
        <v>1541</v>
      </c>
      <c r="C588" s="303" t="s">
        <v>1651</v>
      </c>
      <c r="D588" s="207" t="s">
        <v>235</v>
      </c>
      <c r="E588" s="298">
        <v>1</v>
      </c>
      <c r="F588" s="207" t="s">
        <v>236</v>
      </c>
      <c r="G588" s="208">
        <v>430</v>
      </c>
      <c r="H588" s="208">
        <v>300</v>
      </c>
      <c r="I588" s="299">
        <v>60</v>
      </c>
      <c r="J588" s="218"/>
      <c r="K588" s="208">
        <v>35.976600000000005</v>
      </c>
      <c r="L588" s="208"/>
      <c r="M588" s="208" t="s">
        <v>1543</v>
      </c>
      <c r="N588" s="295"/>
      <c r="O588" s="209"/>
      <c r="P588" s="25"/>
      <c r="Q588" s="347">
        <v>4.1399999999999997</v>
      </c>
      <c r="R588" s="26"/>
      <c r="S588" s="420">
        <f t="shared" si="37"/>
        <v>17.802</v>
      </c>
      <c r="T588" s="420">
        <f t="shared" si="38"/>
        <v>12.42</v>
      </c>
      <c r="U588" s="420">
        <f t="shared" si="39"/>
        <v>2.484</v>
      </c>
      <c r="V588" s="118"/>
      <c r="W588" s="424">
        <f t="shared" si="40"/>
        <v>32.706000000000003</v>
      </c>
      <c r="X588" s="424">
        <f t="shared" si="41"/>
        <v>35.976600000000005</v>
      </c>
    </row>
    <row r="589" spans="1:24" s="119" customFormat="1" ht="24.9" hidden="1" customHeight="1">
      <c r="A589" s="296">
        <v>110</v>
      </c>
      <c r="B589" s="207" t="s">
        <v>1541</v>
      </c>
      <c r="C589" s="303" t="s">
        <v>1652</v>
      </c>
      <c r="D589" s="207" t="s">
        <v>235</v>
      </c>
      <c r="E589" s="298">
        <v>1</v>
      </c>
      <c r="F589" s="207" t="s">
        <v>236</v>
      </c>
      <c r="G589" s="208">
        <v>430</v>
      </c>
      <c r="H589" s="208">
        <v>250</v>
      </c>
      <c r="I589" s="299">
        <v>30</v>
      </c>
      <c r="J589" s="218"/>
      <c r="K589" s="208">
        <v>32.333400000000005</v>
      </c>
      <c r="L589" s="208"/>
      <c r="M589" s="208" t="s">
        <v>1543</v>
      </c>
      <c r="N589" s="295"/>
      <c r="O589" s="209"/>
      <c r="P589" s="25"/>
      <c r="Q589" s="347">
        <v>4.1399999999999997</v>
      </c>
      <c r="R589" s="302"/>
      <c r="S589" s="420">
        <f t="shared" si="37"/>
        <v>17.802</v>
      </c>
      <c r="T589" s="420">
        <f t="shared" si="38"/>
        <v>10.35</v>
      </c>
      <c r="U589" s="420">
        <f t="shared" si="39"/>
        <v>1.242</v>
      </c>
      <c r="V589" s="118"/>
      <c r="W589" s="424">
        <f t="shared" si="40"/>
        <v>29.394000000000002</v>
      </c>
      <c r="X589" s="424">
        <f t="shared" si="41"/>
        <v>32.333400000000005</v>
      </c>
    </row>
    <row r="590" spans="1:24" s="119" customFormat="1" ht="24.9" hidden="1" customHeight="1">
      <c r="A590" s="296">
        <v>111</v>
      </c>
      <c r="B590" s="207" t="s">
        <v>1541</v>
      </c>
      <c r="C590" s="303" t="s">
        <v>1653</v>
      </c>
      <c r="D590" s="207" t="s">
        <v>235</v>
      </c>
      <c r="E590" s="298">
        <v>1</v>
      </c>
      <c r="F590" s="207" t="s">
        <v>236</v>
      </c>
      <c r="G590" s="208">
        <v>430</v>
      </c>
      <c r="H590" s="208">
        <v>300</v>
      </c>
      <c r="I590" s="299">
        <v>30</v>
      </c>
      <c r="J590" s="218"/>
      <c r="K590" s="208">
        <v>34.610400000000006</v>
      </c>
      <c r="L590" s="208"/>
      <c r="M590" s="208" t="s">
        <v>1543</v>
      </c>
      <c r="N590" s="295"/>
      <c r="O590" s="209"/>
      <c r="P590" s="25"/>
      <c r="Q590" s="347">
        <v>4.1399999999999997</v>
      </c>
      <c r="R590" s="26"/>
      <c r="S590" s="420">
        <f t="shared" si="37"/>
        <v>17.802</v>
      </c>
      <c r="T590" s="420">
        <f t="shared" si="38"/>
        <v>12.42</v>
      </c>
      <c r="U590" s="420">
        <f t="shared" si="39"/>
        <v>1.242</v>
      </c>
      <c r="V590" s="118"/>
      <c r="W590" s="424">
        <f t="shared" si="40"/>
        <v>31.464000000000002</v>
      </c>
      <c r="X590" s="424">
        <f t="shared" si="41"/>
        <v>34.610400000000006</v>
      </c>
    </row>
    <row r="591" spans="1:24" s="119" customFormat="1" ht="24.9" hidden="1" customHeight="1">
      <c r="A591" s="296">
        <v>112</v>
      </c>
      <c r="B591" s="207" t="s">
        <v>1541</v>
      </c>
      <c r="C591" s="303" t="s">
        <v>1654</v>
      </c>
      <c r="D591" s="207" t="s">
        <v>235</v>
      </c>
      <c r="E591" s="298">
        <v>1</v>
      </c>
      <c r="F591" s="207" t="s">
        <v>236</v>
      </c>
      <c r="G591" s="208">
        <v>430</v>
      </c>
      <c r="H591" s="208">
        <v>300</v>
      </c>
      <c r="I591" s="299">
        <v>60</v>
      </c>
      <c r="J591" s="218"/>
      <c r="K591" s="208">
        <v>35.976600000000005</v>
      </c>
      <c r="L591" s="208"/>
      <c r="M591" s="208" t="s">
        <v>1543</v>
      </c>
      <c r="N591" s="295"/>
      <c r="O591" s="209"/>
      <c r="P591" s="25"/>
      <c r="Q591" s="347">
        <v>4.1399999999999997</v>
      </c>
      <c r="R591" s="302"/>
      <c r="S591" s="420">
        <f t="shared" si="37"/>
        <v>17.802</v>
      </c>
      <c r="T591" s="420">
        <f t="shared" si="38"/>
        <v>12.42</v>
      </c>
      <c r="U591" s="420">
        <f t="shared" si="39"/>
        <v>2.484</v>
      </c>
      <c r="V591" s="118"/>
      <c r="W591" s="424">
        <f t="shared" si="40"/>
        <v>32.706000000000003</v>
      </c>
      <c r="X591" s="424">
        <f t="shared" si="41"/>
        <v>35.976600000000005</v>
      </c>
    </row>
    <row r="592" spans="1:24" s="119" customFormat="1" ht="24.9" hidden="1" customHeight="1">
      <c r="A592" s="296">
        <v>113</v>
      </c>
      <c r="B592" s="207" t="s">
        <v>1541</v>
      </c>
      <c r="C592" s="303" t="s">
        <v>1655</v>
      </c>
      <c r="D592" s="207" t="s">
        <v>235</v>
      </c>
      <c r="E592" s="298">
        <v>1</v>
      </c>
      <c r="F592" s="207" t="s">
        <v>236</v>
      </c>
      <c r="G592" s="208">
        <v>430</v>
      </c>
      <c r="H592" s="208">
        <v>250</v>
      </c>
      <c r="I592" s="299">
        <v>30</v>
      </c>
      <c r="J592" s="218"/>
      <c r="K592" s="208">
        <v>32.333400000000005</v>
      </c>
      <c r="L592" s="208"/>
      <c r="M592" s="208" t="s">
        <v>1543</v>
      </c>
      <c r="N592" s="295"/>
      <c r="O592" s="209"/>
      <c r="P592" s="25"/>
      <c r="Q592" s="347">
        <v>4.1399999999999997</v>
      </c>
      <c r="R592" s="26"/>
      <c r="S592" s="420">
        <f t="shared" si="37"/>
        <v>17.802</v>
      </c>
      <c r="T592" s="420">
        <f t="shared" si="38"/>
        <v>10.35</v>
      </c>
      <c r="U592" s="420">
        <f t="shared" si="39"/>
        <v>1.242</v>
      </c>
      <c r="V592" s="118"/>
      <c r="W592" s="424">
        <f t="shared" si="40"/>
        <v>29.394000000000002</v>
      </c>
      <c r="X592" s="424">
        <f t="shared" si="41"/>
        <v>32.333400000000005</v>
      </c>
    </row>
    <row r="593" spans="1:24" s="119" customFormat="1" ht="24.9" hidden="1" customHeight="1">
      <c r="A593" s="296">
        <v>114</v>
      </c>
      <c r="B593" s="207" t="s">
        <v>1541</v>
      </c>
      <c r="C593" s="303" t="s">
        <v>1656</v>
      </c>
      <c r="D593" s="207" t="s">
        <v>235</v>
      </c>
      <c r="E593" s="298">
        <v>1</v>
      </c>
      <c r="F593" s="207" t="s">
        <v>236</v>
      </c>
      <c r="G593" s="208">
        <v>430</v>
      </c>
      <c r="H593" s="208">
        <v>300</v>
      </c>
      <c r="I593" s="299">
        <v>30</v>
      </c>
      <c r="J593" s="218"/>
      <c r="K593" s="208">
        <v>34.610400000000006</v>
      </c>
      <c r="L593" s="208"/>
      <c r="M593" s="208" t="s">
        <v>1543</v>
      </c>
      <c r="N593" s="295"/>
      <c r="O593" s="209"/>
      <c r="P593" s="25"/>
      <c r="Q593" s="347">
        <v>4.1399999999999997</v>
      </c>
      <c r="R593" s="302"/>
      <c r="S593" s="420">
        <f t="shared" si="37"/>
        <v>17.802</v>
      </c>
      <c r="T593" s="420">
        <f t="shared" si="38"/>
        <v>12.42</v>
      </c>
      <c r="U593" s="420">
        <f t="shared" si="39"/>
        <v>1.242</v>
      </c>
      <c r="V593" s="118"/>
      <c r="W593" s="424">
        <f t="shared" si="40"/>
        <v>31.464000000000002</v>
      </c>
      <c r="X593" s="424">
        <f t="shared" si="41"/>
        <v>34.610400000000006</v>
      </c>
    </row>
    <row r="594" spans="1:24" s="119" customFormat="1" ht="24.9" hidden="1" customHeight="1">
      <c r="A594" s="296">
        <v>115</v>
      </c>
      <c r="B594" s="207" t="s">
        <v>1541</v>
      </c>
      <c r="C594" s="303" t="s">
        <v>1657</v>
      </c>
      <c r="D594" s="207" t="s">
        <v>235</v>
      </c>
      <c r="E594" s="298">
        <v>1</v>
      </c>
      <c r="F594" s="207" t="s">
        <v>236</v>
      </c>
      <c r="G594" s="208">
        <v>430</v>
      </c>
      <c r="H594" s="208">
        <v>300</v>
      </c>
      <c r="I594" s="299">
        <v>60</v>
      </c>
      <c r="J594" s="218"/>
      <c r="K594" s="208">
        <v>35.976600000000005</v>
      </c>
      <c r="L594" s="208"/>
      <c r="M594" s="208" t="s">
        <v>1543</v>
      </c>
      <c r="N594" s="295"/>
      <c r="O594" s="209"/>
      <c r="P594" s="25"/>
      <c r="Q594" s="347">
        <v>4.1399999999999997</v>
      </c>
      <c r="R594" s="26"/>
      <c r="S594" s="420">
        <f t="shared" si="37"/>
        <v>17.802</v>
      </c>
      <c r="T594" s="420">
        <f t="shared" si="38"/>
        <v>12.42</v>
      </c>
      <c r="U594" s="420">
        <f t="shared" si="39"/>
        <v>2.484</v>
      </c>
      <c r="V594" s="118"/>
      <c r="W594" s="424">
        <f t="shared" si="40"/>
        <v>32.706000000000003</v>
      </c>
      <c r="X594" s="424">
        <f t="shared" si="41"/>
        <v>35.976600000000005</v>
      </c>
    </row>
    <row r="595" spans="1:24" s="119" customFormat="1" ht="24.9" hidden="1" customHeight="1">
      <c r="A595" s="296">
        <v>116</v>
      </c>
      <c r="B595" s="207" t="s">
        <v>1541</v>
      </c>
      <c r="C595" s="303" t="s">
        <v>1658</v>
      </c>
      <c r="D595" s="207" t="s">
        <v>235</v>
      </c>
      <c r="E595" s="298">
        <v>1</v>
      </c>
      <c r="F595" s="207" t="s">
        <v>236</v>
      </c>
      <c r="G595" s="208">
        <v>430</v>
      </c>
      <c r="H595" s="208">
        <v>250</v>
      </c>
      <c r="I595" s="299">
        <v>30</v>
      </c>
      <c r="J595" s="218"/>
      <c r="K595" s="208">
        <v>32.333400000000005</v>
      </c>
      <c r="L595" s="208"/>
      <c r="M595" s="208" t="s">
        <v>1543</v>
      </c>
      <c r="N595" s="295"/>
      <c r="O595" s="209"/>
      <c r="P595" s="25"/>
      <c r="Q595" s="347">
        <v>4.1399999999999997</v>
      </c>
      <c r="R595" s="302"/>
      <c r="S595" s="420">
        <f t="shared" si="37"/>
        <v>17.802</v>
      </c>
      <c r="T595" s="420">
        <f t="shared" si="38"/>
        <v>10.35</v>
      </c>
      <c r="U595" s="420">
        <f t="shared" si="39"/>
        <v>1.242</v>
      </c>
      <c r="V595" s="118"/>
      <c r="W595" s="424">
        <f t="shared" si="40"/>
        <v>29.394000000000002</v>
      </c>
      <c r="X595" s="424">
        <f t="shared" si="41"/>
        <v>32.333400000000005</v>
      </c>
    </row>
    <row r="596" spans="1:24" s="119" customFormat="1" ht="24.9" hidden="1" customHeight="1">
      <c r="A596" s="296">
        <v>117</v>
      </c>
      <c r="B596" s="207" t="s">
        <v>1541</v>
      </c>
      <c r="C596" s="303" t="s">
        <v>1659</v>
      </c>
      <c r="D596" s="207" t="s">
        <v>235</v>
      </c>
      <c r="E596" s="298">
        <v>1</v>
      </c>
      <c r="F596" s="207" t="s">
        <v>236</v>
      </c>
      <c r="G596" s="208">
        <v>430</v>
      </c>
      <c r="H596" s="208">
        <v>300</v>
      </c>
      <c r="I596" s="299">
        <v>30</v>
      </c>
      <c r="J596" s="218"/>
      <c r="K596" s="208">
        <v>34.610400000000006</v>
      </c>
      <c r="L596" s="208"/>
      <c r="M596" s="208" t="s">
        <v>1543</v>
      </c>
      <c r="N596" s="295"/>
      <c r="O596" s="209"/>
      <c r="P596" s="25"/>
      <c r="Q596" s="347">
        <v>4.1399999999999997</v>
      </c>
      <c r="R596" s="26"/>
      <c r="S596" s="420">
        <f t="shared" si="37"/>
        <v>17.802</v>
      </c>
      <c r="T596" s="420">
        <f t="shared" si="38"/>
        <v>12.42</v>
      </c>
      <c r="U596" s="420">
        <f t="shared" si="39"/>
        <v>1.242</v>
      </c>
      <c r="V596" s="118"/>
      <c r="W596" s="424">
        <f t="shared" si="40"/>
        <v>31.464000000000002</v>
      </c>
      <c r="X596" s="424">
        <f t="shared" si="41"/>
        <v>34.610400000000006</v>
      </c>
    </row>
    <row r="597" spans="1:24" s="119" customFormat="1" ht="24.9" hidden="1" customHeight="1">
      <c r="A597" s="296">
        <v>118</v>
      </c>
      <c r="B597" s="207" t="s">
        <v>1541</v>
      </c>
      <c r="C597" s="303" t="s">
        <v>1660</v>
      </c>
      <c r="D597" s="207" t="s">
        <v>235</v>
      </c>
      <c r="E597" s="298">
        <v>1</v>
      </c>
      <c r="F597" s="207" t="s">
        <v>236</v>
      </c>
      <c r="G597" s="208">
        <v>430</v>
      </c>
      <c r="H597" s="208">
        <v>300</v>
      </c>
      <c r="I597" s="299">
        <v>60</v>
      </c>
      <c r="J597" s="218"/>
      <c r="K597" s="208">
        <v>35.976600000000005</v>
      </c>
      <c r="L597" s="208"/>
      <c r="M597" s="208" t="s">
        <v>1543</v>
      </c>
      <c r="N597" s="295"/>
      <c r="O597" s="209"/>
      <c r="P597" s="25"/>
      <c r="Q597" s="347">
        <v>4.1399999999999997</v>
      </c>
      <c r="R597" s="302"/>
      <c r="S597" s="420">
        <f t="shared" si="37"/>
        <v>17.802</v>
      </c>
      <c r="T597" s="420">
        <f t="shared" si="38"/>
        <v>12.42</v>
      </c>
      <c r="U597" s="420">
        <f t="shared" si="39"/>
        <v>2.484</v>
      </c>
      <c r="V597" s="118"/>
      <c r="W597" s="424">
        <f t="shared" si="40"/>
        <v>32.706000000000003</v>
      </c>
      <c r="X597" s="424">
        <f t="shared" si="41"/>
        <v>35.976600000000005</v>
      </c>
    </row>
    <row r="598" spans="1:24" s="307" customFormat="1" ht="24.9" hidden="1" customHeight="1">
      <c r="A598" s="296">
        <v>119</v>
      </c>
      <c r="B598" s="207" t="s">
        <v>1541</v>
      </c>
      <c r="C598" s="303" t="s">
        <v>1661</v>
      </c>
      <c r="D598" s="207" t="s">
        <v>235</v>
      </c>
      <c r="E598" s="298">
        <v>1</v>
      </c>
      <c r="F598" s="207" t="s">
        <v>236</v>
      </c>
      <c r="G598" s="208">
        <v>80</v>
      </c>
      <c r="H598" s="208">
        <v>15</v>
      </c>
      <c r="I598" s="299">
        <v>10</v>
      </c>
      <c r="J598" s="436"/>
      <c r="K598" s="437">
        <v>8.6163000000000007</v>
      </c>
      <c r="L598" s="438"/>
      <c r="M598" s="208" t="s">
        <v>1543</v>
      </c>
      <c r="N598" s="423"/>
      <c r="O598" s="209"/>
      <c r="P598" s="422"/>
      <c r="Q598" s="347">
        <v>7.46</v>
      </c>
      <c r="R598" s="302"/>
      <c r="S598" s="420">
        <f t="shared" ref="S598:S604" si="42">Q598*G598/100</f>
        <v>5.968</v>
      </c>
      <c r="T598" s="420">
        <f t="shared" ref="T598:T604" si="43">Q598*H598/100</f>
        <v>1.119</v>
      </c>
      <c r="U598" s="420">
        <f t="shared" ref="U598:U604" si="44">Q598*I598/100</f>
        <v>0.746</v>
      </c>
      <c r="V598" s="306"/>
      <c r="W598" s="424">
        <f t="shared" si="40"/>
        <v>7.8330000000000002</v>
      </c>
      <c r="X598" s="424">
        <f t="shared" si="41"/>
        <v>8.6163000000000007</v>
      </c>
    </row>
    <row r="599" spans="1:24" s="307" customFormat="1" ht="24.9" hidden="1" customHeight="1">
      <c r="A599" s="296">
        <v>120</v>
      </c>
      <c r="B599" s="207" t="s">
        <v>1541</v>
      </c>
      <c r="C599" s="303" t="s">
        <v>1662</v>
      </c>
      <c r="D599" s="207" t="s">
        <v>235</v>
      </c>
      <c r="E599" s="298">
        <v>1</v>
      </c>
      <c r="F599" s="207" t="s">
        <v>236</v>
      </c>
      <c r="G599" s="208">
        <v>55</v>
      </c>
      <c r="H599" s="208">
        <v>10</v>
      </c>
      <c r="I599" s="299">
        <v>10</v>
      </c>
      <c r="J599" s="436"/>
      <c r="K599" s="437">
        <v>6.1545000000000014</v>
      </c>
      <c r="L599" s="438"/>
      <c r="M599" s="208" t="s">
        <v>1543</v>
      </c>
      <c r="N599" s="423"/>
      <c r="O599" s="209"/>
      <c r="P599" s="422"/>
      <c r="Q599" s="347">
        <v>7.46</v>
      </c>
      <c r="R599" s="26"/>
      <c r="S599" s="420">
        <f t="shared" si="42"/>
        <v>4.1029999999999998</v>
      </c>
      <c r="T599" s="420">
        <f t="shared" si="43"/>
        <v>0.746</v>
      </c>
      <c r="U599" s="420">
        <f t="shared" si="44"/>
        <v>0.746</v>
      </c>
      <c r="V599" s="306"/>
      <c r="W599" s="424">
        <f t="shared" si="40"/>
        <v>5.5950000000000006</v>
      </c>
      <c r="X599" s="424">
        <f t="shared" si="41"/>
        <v>6.1545000000000014</v>
      </c>
    </row>
    <row r="600" spans="1:24" s="307" customFormat="1" ht="24.9" hidden="1" customHeight="1">
      <c r="A600" s="296">
        <v>121</v>
      </c>
      <c r="B600" s="207" t="s">
        <v>1541</v>
      </c>
      <c r="C600" s="303" t="s">
        <v>1663</v>
      </c>
      <c r="D600" s="207" t="s">
        <v>235</v>
      </c>
      <c r="E600" s="298">
        <v>1</v>
      </c>
      <c r="F600" s="207" t="s">
        <v>236</v>
      </c>
      <c r="G600" s="208">
        <v>58</v>
      </c>
      <c r="H600" s="208">
        <v>10</v>
      </c>
      <c r="I600" s="299">
        <v>10</v>
      </c>
      <c r="J600" s="436"/>
      <c r="K600" s="437">
        <v>6.4006800000000021</v>
      </c>
      <c r="L600" s="438"/>
      <c r="M600" s="208" t="s">
        <v>1543</v>
      </c>
      <c r="N600" s="423"/>
      <c r="O600" s="209"/>
      <c r="P600" s="422"/>
      <c r="Q600" s="347">
        <v>7.46</v>
      </c>
      <c r="R600" s="302"/>
      <c r="S600" s="420">
        <f t="shared" si="42"/>
        <v>4.3268000000000004</v>
      </c>
      <c r="T600" s="420">
        <f t="shared" si="43"/>
        <v>0.746</v>
      </c>
      <c r="U600" s="420">
        <f t="shared" si="44"/>
        <v>0.746</v>
      </c>
      <c r="V600" s="306"/>
      <c r="W600" s="424">
        <f t="shared" si="40"/>
        <v>5.8188000000000013</v>
      </c>
      <c r="X600" s="424">
        <f t="shared" si="41"/>
        <v>6.4006800000000021</v>
      </c>
    </row>
    <row r="601" spans="1:24" s="307" customFormat="1" ht="24.9" hidden="1" customHeight="1">
      <c r="A601" s="296">
        <v>122</v>
      </c>
      <c r="B601" s="207" t="s">
        <v>1541</v>
      </c>
      <c r="C601" s="303" t="s">
        <v>1664</v>
      </c>
      <c r="D601" s="207" t="s">
        <v>235</v>
      </c>
      <c r="E601" s="298">
        <v>1</v>
      </c>
      <c r="F601" s="207" t="s">
        <v>236</v>
      </c>
      <c r="G601" s="208">
        <v>76</v>
      </c>
      <c r="H601" s="208">
        <v>15</v>
      </c>
      <c r="I601" s="299">
        <v>10</v>
      </c>
      <c r="J601" s="436"/>
      <c r="K601" s="437">
        <v>8.2880599999999998</v>
      </c>
      <c r="L601" s="438"/>
      <c r="M601" s="208" t="s">
        <v>1543</v>
      </c>
      <c r="N601" s="423"/>
      <c r="O601" s="209"/>
      <c r="P601" s="422"/>
      <c r="Q601" s="347">
        <v>7.46</v>
      </c>
      <c r="R601" s="26"/>
      <c r="S601" s="420">
        <f t="shared" si="42"/>
        <v>5.6696</v>
      </c>
      <c r="T601" s="420">
        <f t="shared" si="43"/>
        <v>1.119</v>
      </c>
      <c r="U601" s="420">
        <f t="shared" si="44"/>
        <v>0.746</v>
      </c>
      <c r="V601" s="306"/>
      <c r="W601" s="424">
        <f t="shared" si="40"/>
        <v>7.5345999999999993</v>
      </c>
      <c r="X601" s="424">
        <f t="shared" si="41"/>
        <v>8.2880599999999998</v>
      </c>
    </row>
    <row r="602" spans="1:24" s="307" customFormat="1" ht="24.9" hidden="1" customHeight="1">
      <c r="A602" s="296">
        <v>123</v>
      </c>
      <c r="B602" s="207" t="s">
        <v>1541</v>
      </c>
      <c r="C602" s="303" t="s">
        <v>1665</v>
      </c>
      <c r="D602" s="207" t="s">
        <v>235</v>
      </c>
      <c r="E602" s="298">
        <v>1</v>
      </c>
      <c r="F602" s="207" t="s">
        <v>236</v>
      </c>
      <c r="G602" s="208">
        <v>97</v>
      </c>
      <c r="H602" s="208">
        <v>58</v>
      </c>
      <c r="I602" s="299">
        <v>10</v>
      </c>
      <c r="J602" s="436"/>
      <c r="K602" s="437">
        <v>13.539900000000003</v>
      </c>
      <c r="L602" s="438"/>
      <c r="M602" s="208" t="s">
        <v>1543</v>
      </c>
      <c r="N602" s="423"/>
      <c r="O602" s="209"/>
      <c r="P602" s="422"/>
      <c r="Q602" s="347">
        <v>7.46</v>
      </c>
      <c r="R602" s="302"/>
      <c r="S602" s="420">
        <f t="shared" si="42"/>
        <v>7.2362000000000002</v>
      </c>
      <c r="T602" s="420">
        <f t="shared" si="43"/>
        <v>4.3268000000000004</v>
      </c>
      <c r="U602" s="420">
        <f t="shared" si="44"/>
        <v>0.746</v>
      </c>
      <c r="V602" s="306"/>
      <c r="W602" s="424">
        <f t="shared" si="40"/>
        <v>12.309000000000001</v>
      </c>
      <c r="X602" s="424">
        <f t="shared" si="41"/>
        <v>13.539900000000003</v>
      </c>
    </row>
    <row r="603" spans="1:24" s="307" customFormat="1" ht="24.9" hidden="1" customHeight="1">
      <c r="A603" s="296">
        <v>124</v>
      </c>
      <c r="B603" s="207" t="s">
        <v>1541</v>
      </c>
      <c r="C603" s="303" t="s">
        <v>1666</v>
      </c>
      <c r="D603" s="207" t="s">
        <v>235</v>
      </c>
      <c r="E603" s="298">
        <v>1</v>
      </c>
      <c r="F603" s="207" t="s">
        <v>236</v>
      </c>
      <c r="G603" s="208">
        <v>125</v>
      </c>
      <c r="H603" s="208">
        <v>58</v>
      </c>
      <c r="I603" s="299">
        <v>10</v>
      </c>
      <c r="J603" s="436"/>
      <c r="K603" s="437">
        <v>15.837580000000001</v>
      </c>
      <c r="L603" s="438"/>
      <c r="M603" s="208" t="s">
        <v>1543</v>
      </c>
      <c r="N603" s="423"/>
      <c r="O603" s="209"/>
      <c r="P603" s="422"/>
      <c r="Q603" s="347">
        <v>7.46</v>
      </c>
      <c r="R603" s="26"/>
      <c r="S603" s="420">
        <f>Q603*G603/100</f>
        <v>9.3249999999999993</v>
      </c>
      <c r="T603" s="420">
        <f t="shared" si="43"/>
        <v>4.3268000000000004</v>
      </c>
      <c r="U603" s="420">
        <f t="shared" si="44"/>
        <v>0.746</v>
      </c>
      <c r="V603" s="306"/>
      <c r="W603" s="424">
        <f t="shared" si="40"/>
        <v>14.3978</v>
      </c>
      <c r="X603" s="424">
        <f t="shared" si="41"/>
        <v>15.837580000000001</v>
      </c>
    </row>
    <row r="604" spans="1:24" s="307" customFormat="1" ht="24.9" hidden="1" customHeight="1">
      <c r="A604" s="296">
        <v>125</v>
      </c>
      <c r="B604" s="207" t="s">
        <v>1541</v>
      </c>
      <c r="C604" s="303" t="s">
        <v>1667</v>
      </c>
      <c r="D604" s="207" t="s">
        <v>235</v>
      </c>
      <c r="E604" s="298">
        <v>1</v>
      </c>
      <c r="F604" s="207" t="s">
        <v>236</v>
      </c>
      <c r="G604" s="208">
        <v>114</v>
      </c>
      <c r="H604" s="208">
        <v>15</v>
      </c>
      <c r="I604" s="299">
        <v>10</v>
      </c>
      <c r="J604" s="436"/>
      <c r="K604" s="437">
        <v>11.40634</v>
      </c>
      <c r="L604" s="438"/>
      <c r="M604" s="208" t="s">
        <v>1543</v>
      </c>
      <c r="N604" s="423"/>
      <c r="O604" s="209"/>
      <c r="P604" s="422"/>
      <c r="Q604" s="347">
        <v>7.46</v>
      </c>
      <c r="R604" s="302"/>
      <c r="S604" s="420">
        <f t="shared" si="42"/>
        <v>8.5043999999999986</v>
      </c>
      <c r="T604" s="420">
        <f t="shared" si="43"/>
        <v>1.119</v>
      </c>
      <c r="U604" s="420">
        <f t="shared" si="44"/>
        <v>0.746</v>
      </c>
      <c r="V604" s="306"/>
      <c r="W604" s="424">
        <f t="shared" si="40"/>
        <v>10.369399999999999</v>
      </c>
      <c r="X604" s="424">
        <f t="shared" si="41"/>
        <v>11.40634</v>
      </c>
    </row>
    <row r="605" spans="1:24" s="307" customFormat="1" ht="24.9" hidden="1" customHeight="1">
      <c r="A605" s="296">
        <v>126</v>
      </c>
      <c r="B605" s="207" t="s">
        <v>1541</v>
      </c>
      <c r="C605" s="303" t="s">
        <v>1668</v>
      </c>
      <c r="D605" s="207" t="s">
        <v>235</v>
      </c>
      <c r="E605" s="298">
        <v>1</v>
      </c>
      <c r="F605" s="207" t="s">
        <v>236</v>
      </c>
      <c r="G605" s="208">
        <v>194</v>
      </c>
      <c r="H605" s="208">
        <v>15</v>
      </c>
      <c r="I605" s="299">
        <v>10</v>
      </c>
      <c r="J605" s="436"/>
      <c r="K605" s="437">
        <v>17.971140000000002</v>
      </c>
      <c r="L605" s="438"/>
      <c r="M605" s="208" t="s">
        <v>1543</v>
      </c>
      <c r="N605" s="423"/>
      <c r="O605" s="209"/>
      <c r="P605" s="422"/>
      <c r="Q605" s="347">
        <v>7.46</v>
      </c>
      <c r="R605" s="26"/>
      <c r="S605" s="420">
        <f t="shared" ref="S605:S606" si="45">Q605*G605/100</f>
        <v>14.4724</v>
      </c>
      <c r="T605" s="420">
        <f t="shared" ref="T605:T606" si="46">Q605*H605/100</f>
        <v>1.119</v>
      </c>
      <c r="U605" s="420">
        <f t="shared" ref="U605:U606" si="47">Q605*I605/100</f>
        <v>0.746</v>
      </c>
      <c r="V605" s="306"/>
      <c r="W605" s="424">
        <f t="shared" si="40"/>
        <v>16.337399999999999</v>
      </c>
      <c r="X605" s="424">
        <f t="shared" si="41"/>
        <v>17.971140000000002</v>
      </c>
    </row>
    <row r="606" spans="1:24" s="307" customFormat="1" ht="24.9" hidden="1" customHeight="1">
      <c r="A606" s="296">
        <v>127</v>
      </c>
      <c r="B606" s="207" t="s">
        <v>1541</v>
      </c>
      <c r="C606" s="303" t="s">
        <v>1669</v>
      </c>
      <c r="D606" s="207" t="s">
        <v>235</v>
      </c>
      <c r="E606" s="298">
        <v>1</v>
      </c>
      <c r="F606" s="207" t="s">
        <v>236</v>
      </c>
      <c r="G606" s="208">
        <v>129</v>
      </c>
      <c r="H606" s="208">
        <v>39</v>
      </c>
      <c r="I606" s="299">
        <v>10</v>
      </c>
      <c r="J606" s="436"/>
      <c r="K606" s="437">
        <v>14.606680000000001</v>
      </c>
      <c r="L606" s="438"/>
      <c r="M606" s="208" t="s">
        <v>1543</v>
      </c>
      <c r="N606" s="423"/>
      <c r="O606" s="209"/>
      <c r="P606" s="422"/>
      <c r="Q606" s="347">
        <v>7.46</v>
      </c>
      <c r="R606" s="302"/>
      <c r="S606" s="420">
        <f t="shared" si="45"/>
        <v>9.6234000000000002</v>
      </c>
      <c r="T606" s="420">
        <f t="shared" si="46"/>
        <v>2.9093999999999998</v>
      </c>
      <c r="U606" s="420">
        <f t="shared" si="47"/>
        <v>0.746</v>
      </c>
      <c r="V606" s="306"/>
      <c r="W606" s="424">
        <f t="shared" si="40"/>
        <v>13.2788</v>
      </c>
      <c r="X606" s="424">
        <f t="shared" si="41"/>
        <v>14.606680000000001</v>
      </c>
    </row>
    <row r="607" spans="1:24" s="307" customFormat="1" ht="24.9" hidden="1" customHeight="1">
      <c r="A607" s="296">
        <v>128</v>
      </c>
      <c r="B607" s="207" t="s">
        <v>1541</v>
      </c>
      <c r="C607" s="303" t="s">
        <v>1670</v>
      </c>
      <c r="D607" s="207" t="s">
        <v>235</v>
      </c>
      <c r="E607" s="298">
        <v>1</v>
      </c>
      <c r="F607" s="207" t="s">
        <v>236</v>
      </c>
      <c r="G607" s="208">
        <v>80</v>
      </c>
      <c r="H607" s="208">
        <v>24</v>
      </c>
      <c r="I607" s="299">
        <v>20</v>
      </c>
      <c r="J607" s="436"/>
      <c r="K607" s="437">
        <v>10.17544</v>
      </c>
      <c r="L607" s="438"/>
      <c r="M607" s="208" t="s">
        <v>1543</v>
      </c>
      <c r="N607" s="423"/>
      <c r="O607" s="209"/>
      <c r="P607" s="422"/>
      <c r="Q607" s="347">
        <v>7.46</v>
      </c>
      <c r="R607" s="302"/>
      <c r="S607" s="420">
        <f t="shared" ref="S607:S611" si="48">Q607*G607/100</f>
        <v>5.968</v>
      </c>
      <c r="T607" s="420">
        <f t="shared" ref="T607:T615" si="49">Q607*H607/100</f>
        <v>1.7904</v>
      </c>
      <c r="U607" s="420">
        <f t="shared" ref="U607:U615" si="50">Q607*I607/100</f>
        <v>1.492</v>
      </c>
      <c r="V607" s="306"/>
      <c r="W607" s="424">
        <f t="shared" si="40"/>
        <v>9.2503999999999991</v>
      </c>
      <c r="X607" s="424">
        <f t="shared" si="41"/>
        <v>10.17544</v>
      </c>
    </row>
    <row r="608" spans="1:24" s="307" customFormat="1" ht="24.9" hidden="1" customHeight="1">
      <c r="A608" s="296">
        <v>129</v>
      </c>
      <c r="B608" s="207" t="s">
        <v>1541</v>
      </c>
      <c r="C608" s="303" t="s">
        <v>1671</v>
      </c>
      <c r="D608" s="207" t="s">
        <v>235</v>
      </c>
      <c r="E608" s="298">
        <v>1</v>
      </c>
      <c r="F608" s="207" t="s">
        <v>236</v>
      </c>
      <c r="G608" s="208">
        <v>55</v>
      </c>
      <c r="H608" s="208">
        <v>20</v>
      </c>
      <c r="I608" s="299">
        <v>20</v>
      </c>
      <c r="J608" s="436"/>
      <c r="K608" s="437">
        <v>7.7957000000000001</v>
      </c>
      <c r="L608" s="438"/>
      <c r="M608" s="208" t="s">
        <v>1543</v>
      </c>
      <c r="N608" s="423"/>
      <c r="O608" s="209"/>
      <c r="P608" s="422"/>
      <c r="Q608" s="347">
        <v>7.46</v>
      </c>
      <c r="R608" s="26"/>
      <c r="S608" s="420">
        <f t="shared" si="48"/>
        <v>4.1029999999999998</v>
      </c>
      <c r="T608" s="420">
        <f t="shared" si="49"/>
        <v>1.492</v>
      </c>
      <c r="U608" s="420">
        <f t="shared" si="50"/>
        <v>1.492</v>
      </c>
      <c r="V608" s="306"/>
      <c r="W608" s="424">
        <f t="shared" si="40"/>
        <v>7.0869999999999997</v>
      </c>
      <c r="X608" s="424">
        <f t="shared" si="41"/>
        <v>7.7957000000000001</v>
      </c>
    </row>
    <row r="609" spans="1:24" s="307" customFormat="1" ht="24.9" hidden="1" customHeight="1">
      <c r="A609" s="296">
        <v>130</v>
      </c>
      <c r="B609" s="207" t="s">
        <v>1541</v>
      </c>
      <c r="C609" s="303" t="s">
        <v>1672</v>
      </c>
      <c r="D609" s="207" t="s">
        <v>235</v>
      </c>
      <c r="E609" s="298">
        <v>1</v>
      </c>
      <c r="F609" s="207" t="s">
        <v>236</v>
      </c>
      <c r="G609" s="208">
        <v>58</v>
      </c>
      <c r="H609" s="208">
        <v>20</v>
      </c>
      <c r="I609" s="299">
        <v>20</v>
      </c>
      <c r="J609" s="436"/>
      <c r="K609" s="437">
        <v>8.0418800000000008</v>
      </c>
      <c r="L609" s="438"/>
      <c r="M609" s="208" t="s">
        <v>1543</v>
      </c>
      <c r="N609" s="423"/>
      <c r="O609" s="209"/>
      <c r="P609" s="422"/>
      <c r="Q609" s="347">
        <v>7.46</v>
      </c>
      <c r="R609" s="302"/>
      <c r="S609" s="420">
        <f t="shared" si="48"/>
        <v>4.3268000000000004</v>
      </c>
      <c r="T609" s="420">
        <f t="shared" si="49"/>
        <v>1.492</v>
      </c>
      <c r="U609" s="420">
        <f t="shared" si="50"/>
        <v>1.492</v>
      </c>
      <c r="V609" s="306"/>
      <c r="W609" s="424">
        <f t="shared" si="40"/>
        <v>7.3108000000000004</v>
      </c>
      <c r="X609" s="424">
        <f t="shared" si="41"/>
        <v>8.0418800000000008</v>
      </c>
    </row>
    <row r="610" spans="1:24" s="307" customFormat="1" ht="24.9" hidden="1" customHeight="1">
      <c r="A610" s="296">
        <v>131</v>
      </c>
      <c r="B610" s="207" t="s">
        <v>1541</v>
      </c>
      <c r="C610" s="303" t="s">
        <v>1673</v>
      </c>
      <c r="D610" s="207" t="s">
        <v>235</v>
      </c>
      <c r="E610" s="298">
        <v>1</v>
      </c>
      <c r="F610" s="207" t="s">
        <v>236</v>
      </c>
      <c r="G610" s="208">
        <v>73</v>
      </c>
      <c r="H610" s="208">
        <v>24</v>
      </c>
      <c r="I610" s="299">
        <v>20</v>
      </c>
      <c r="J610" s="436"/>
      <c r="K610" s="437">
        <v>9.6010200000000019</v>
      </c>
      <c r="L610" s="438"/>
      <c r="M610" s="208" t="s">
        <v>1543</v>
      </c>
      <c r="N610" s="423"/>
      <c r="O610" s="209"/>
      <c r="P610" s="422"/>
      <c r="Q610" s="347">
        <v>7.46</v>
      </c>
      <c r="R610" s="26"/>
      <c r="S610" s="420">
        <f t="shared" si="48"/>
        <v>5.4458000000000002</v>
      </c>
      <c r="T610" s="420">
        <f t="shared" si="49"/>
        <v>1.7904</v>
      </c>
      <c r="U610" s="420">
        <f t="shared" si="50"/>
        <v>1.492</v>
      </c>
      <c r="V610" s="306"/>
      <c r="W610" s="424">
        <f t="shared" si="40"/>
        <v>8.7282000000000011</v>
      </c>
      <c r="X610" s="424">
        <f t="shared" si="41"/>
        <v>9.6010200000000019</v>
      </c>
    </row>
    <row r="611" spans="1:24" s="307" customFormat="1" ht="24.9" hidden="1" customHeight="1">
      <c r="A611" s="296">
        <v>132</v>
      </c>
      <c r="B611" s="207" t="s">
        <v>1541</v>
      </c>
      <c r="C611" s="303" t="s">
        <v>1674</v>
      </c>
      <c r="D611" s="207" t="s">
        <v>235</v>
      </c>
      <c r="E611" s="298">
        <v>1</v>
      </c>
      <c r="F611" s="207" t="s">
        <v>236</v>
      </c>
      <c r="G611" s="208">
        <v>97</v>
      </c>
      <c r="H611" s="208">
        <v>55</v>
      </c>
      <c r="I611" s="299">
        <v>20</v>
      </c>
      <c r="J611" s="436"/>
      <c r="K611" s="437">
        <v>14.114319999999999</v>
      </c>
      <c r="L611" s="438"/>
      <c r="M611" s="208" t="s">
        <v>1543</v>
      </c>
      <c r="N611" s="423"/>
      <c r="O611" s="209"/>
      <c r="P611" s="422"/>
      <c r="Q611" s="347">
        <v>7.46</v>
      </c>
      <c r="R611" s="302"/>
      <c r="S611" s="420">
        <f t="shared" si="48"/>
        <v>7.2362000000000002</v>
      </c>
      <c r="T611" s="420">
        <f t="shared" si="49"/>
        <v>4.1029999999999998</v>
      </c>
      <c r="U611" s="420">
        <f t="shared" si="50"/>
        <v>1.492</v>
      </c>
      <c r="V611" s="306"/>
      <c r="W611" s="424">
        <f t="shared" si="40"/>
        <v>12.831199999999999</v>
      </c>
      <c r="X611" s="424">
        <f t="shared" si="41"/>
        <v>14.114319999999999</v>
      </c>
    </row>
    <row r="612" spans="1:24" s="307" customFormat="1" ht="24.9" hidden="1" customHeight="1">
      <c r="A612" s="296">
        <v>133</v>
      </c>
      <c r="B612" s="207" t="s">
        <v>1541</v>
      </c>
      <c r="C612" s="303" t="s">
        <v>1675</v>
      </c>
      <c r="D612" s="207" t="s">
        <v>235</v>
      </c>
      <c r="E612" s="298">
        <v>1</v>
      </c>
      <c r="F612" s="207" t="s">
        <v>236</v>
      </c>
      <c r="G612" s="208">
        <v>125</v>
      </c>
      <c r="H612" s="208">
        <v>55</v>
      </c>
      <c r="I612" s="299">
        <v>20</v>
      </c>
      <c r="J612" s="436"/>
      <c r="K612" s="437">
        <v>16.411999999999999</v>
      </c>
      <c r="L612" s="438"/>
      <c r="M612" s="208" t="s">
        <v>1543</v>
      </c>
      <c r="N612" s="423"/>
      <c r="O612" s="209"/>
      <c r="P612" s="422"/>
      <c r="Q612" s="347">
        <v>7.46</v>
      </c>
      <c r="R612" s="26"/>
      <c r="S612" s="420">
        <f>Q612*G612/100</f>
        <v>9.3249999999999993</v>
      </c>
      <c r="T612" s="420">
        <f t="shared" si="49"/>
        <v>4.1029999999999998</v>
      </c>
      <c r="U612" s="420">
        <f t="shared" si="50"/>
        <v>1.492</v>
      </c>
      <c r="V612" s="306"/>
      <c r="W612" s="424">
        <f t="shared" si="40"/>
        <v>14.919999999999998</v>
      </c>
      <c r="X612" s="424">
        <f t="shared" si="41"/>
        <v>16.411999999999999</v>
      </c>
    </row>
    <row r="613" spans="1:24" s="307" customFormat="1" ht="24.9" hidden="1" customHeight="1">
      <c r="A613" s="296">
        <v>134</v>
      </c>
      <c r="B613" s="207" t="s">
        <v>1541</v>
      </c>
      <c r="C613" s="303" t="s">
        <v>1676</v>
      </c>
      <c r="D613" s="207" t="s">
        <v>235</v>
      </c>
      <c r="E613" s="298">
        <v>1</v>
      </c>
      <c r="F613" s="207" t="s">
        <v>236</v>
      </c>
      <c r="G613" s="208">
        <v>114</v>
      </c>
      <c r="H613" s="208">
        <v>15</v>
      </c>
      <c r="I613" s="299">
        <v>15</v>
      </c>
      <c r="J613" s="436"/>
      <c r="K613" s="437">
        <v>11.81664</v>
      </c>
      <c r="L613" s="438"/>
      <c r="M613" s="208" t="s">
        <v>1543</v>
      </c>
      <c r="N613" s="423"/>
      <c r="O613" s="209"/>
      <c r="P613" s="422"/>
      <c r="Q613" s="347">
        <v>7.46</v>
      </c>
      <c r="R613" s="302"/>
      <c r="S613" s="420">
        <f t="shared" ref="S613:S615" si="51">Q613*G613/100</f>
        <v>8.5043999999999986</v>
      </c>
      <c r="T613" s="420">
        <f t="shared" si="49"/>
        <v>1.119</v>
      </c>
      <c r="U613" s="420">
        <f t="shared" si="50"/>
        <v>1.119</v>
      </c>
      <c r="V613" s="306"/>
      <c r="W613" s="424">
        <f t="shared" si="40"/>
        <v>10.742399999999998</v>
      </c>
      <c r="X613" s="424">
        <f t="shared" si="41"/>
        <v>11.81664</v>
      </c>
    </row>
    <row r="614" spans="1:24" s="307" customFormat="1" ht="24.9" hidden="1" customHeight="1">
      <c r="A614" s="296">
        <v>135</v>
      </c>
      <c r="B614" s="207" t="s">
        <v>1541</v>
      </c>
      <c r="C614" s="303" t="s">
        <v>1677</v>
      </c>
      <c r="D614" s="207" t="s">
        <v>235</v>
      </c>
      <c r="E614" s="298">
        <v>1</v>
      </c>
      <c r="F614" s="207" t="s">
        <v>236</v>
      </c>
      <c r="G614" s="208">
        <v>195</v>
      </c>
      <c r="H614" s="208">
        <v>15</v>
      </c>
      <c r="I614" s="299">
        <v>15</v>
      </c>
      <c r="J614" s="436"/>
      <c r="K614" s="437">
        <v>18.463500000000003</v>
      </c>
      <c r="L614" s="438"/>
      <c r="M614" s="208" t="s">
        <v>1543</v>
      </c>
      <c r="N614" s="423"/>
      <c r="O614" s="209"/>
      <c r="P614" s="422"/>
      <c r="Q614" s="347">
        <v>7.46</v>
      </c>
      <c r="R614" s="26"/>
      <c r="S614" s="420">
        <f t="shared" si="51"/>
        <v>14.547000000000001</v>
      </c>
      <c r="T614" s="420">
        <f t="shared" si="49"/>
        <v>1.119</v>
      </c>
      <c r="U614" s="420">
        <f t="shared" si="50"/>
        <v>1.119</v>
      </c>
      <c r="V614" s="306"/>
      <c r="W614" s="424">
        <f t="shared" si="40"/>
        <v>16.785</v>
      </c>
      <c r="X614" s="424">
        <f t="shared" si="41"/>
        <v>18.463500000000003</v>
      </c>
    </row>
    <row r="615" spans="1:24" s="307" customFormat="1" ht="24.9" hidden="1" customHeight="1">
      <c r="A615" s="296">
        <v>136</v>
      </c>
      <c r="B615" s="207" t="s">
        <v>1541</v>
      </c>
      <c r="C615" s="303" t="s">
        <v>1678</v>
      </c>
      <c r="D615" s="207" t="s">
        <v>235</v>
      </c>
      <c r="E615" s="298">
        <v>1</v>
      </c>
      <c r="F615" s="207" t="s">
        <v>236</v>
      </c>
      <c r="G615" s="208">
        <v>129</v>
      </c>
      <c r="H615" s="208">
        <v>39</v>
      </c>
      <c r="I615" s="299">
        <v>20</v>
      </c>
      <c r="J615" s="436"/>
      <c r="K615" s="437">
        <v>15.42728</v>
      </c>
      <c r="L615" s="438"/>
      <c r="M615" s="208" t="s">
        <v>1543</v>
      </c>
      <c r="N615" s="423"/>
      <c r="O615" s="209"/>
      <c r="P615" s="422"/>
      <c r="Q615" s="347">
        <v>7.46</v>
      </c>
      <c r="R615" s="302"/>
      <c r="S615" s="420">
        <f t="shared" si="51"/>
        <v>9.6234000000000002</v>
      </c>
      <c r="T615" s="420">
        <f t="shared" si="49"/>
        <v>2.9093999999999998</v>
      </c>
      <c r="U615" s="420">
        <f t="shared" si="50"/>
        <v>1.492</v>
      </c>
      <c r="V615" s="306"/>
      <c r="W615" s="424">
        <f t="shared" si="40"/>
        <v>14.024799999999999</v>
      </c>
      <c r="X615" s="424">
        <f t="shared" si="41"/>
        <v>15.42728</v>
      </c>
    </row>
    <row r="616" spans="1:24" s="307" customFormat="1" ht="24.9" hidden="1" customHeight="1">
      <c r="A616" s="296">
        <v>137</v>
      </c>
      <c r="B616" s="207" t="s">
        <v>1541</v>
      </c>
      <c r="C616" s="303" t="s">
        <v>1679</v>
      </c>
      <c r="D616" s="207" t="s">
        <v>235</v>
      </c>
      <c r="E616" s="298">
        <v>1</v>
      </c>
      <c r="F616" s="207" t="s">
        <v>236</v>
      </c>
      <c r="G616" s="208">
        <v>85</v>
      </c>
      <c r="H616" s="208">
        <v>29</v>
      </c>
      <c r="I616" s="299">
        <v>10</v>
      </c>
      <c r="J616" s="436"/>
      <c r="K616" s="437">
        <v>10.284559999999999</v>
      </c>
      <c r="L616" s="438"/>
      <c r="M616" s="208" t="s">
        <v>1543</v>
      </c>
      <c r="N616" s="423"/>
      <c r="O616" s="209"/>
      <c r="P616" s="422"/>
      <c r="Q616" s="421">
        <v>7.54</v>
      </c>
      <c r="R616" s="26"/>
      <c r="S616" s="420">
        <f>Q616*G616/100</f>
        <v>6.4089999999999998</v>
      </c>
      <c r="T616" s="420">
        <f t="shared" ref="T616:T619" si="52">Q616*H616/100</f>
        <v>2.1865999999999999</v>
      </c>
      <c r="U616" s="420">
        <f t="shared" ref="U616:U619" si="53">Q616*I616/100</f>
        <v>0.754</v>
      </c>
      <c r="V616" s="306"/>
      <c r="W616" s="424">
        <f t="shared" si="40"/>
        <v>9.3495999999999988</v>
      </c>
      <c r="X616" s="424">
        <f t="shared" si="41"/>
        <v>10.284559999999999</v>
      </c>
    </row>
    <row r="617" spans="1:24" s="307" customFormat="1" ht="24.9" hidden="1" customHeight="1">
      <c r="A617" s="296">
        <v>138</v>
      </c>
      <c r="B617" s="207" t="s">
        <v>1541</v>
      </c>
      <c r="C617" s="303" t="s">
        <v>1680</v>
      </c>
      <c r="D617" s="207" t="s">
        <v>235</v>
      </c>
      <c r="E617" s="298">
        <v>1</v>
      </c>
      <c r="F617" s="207" t="s">
        <v>236</v>
      </c>
      <c r="G617" s="208">
        <v>196</v>
      </c>
      <c r="H617" s="208">
        <v>15</v>
      </c>
      <c r="I617" s="299">
        <v>10</v>
      </c>
      <c r="J617" s="436"/>
      <c r="K617" s="437">
        <v>18.329740000000001</v>
      </c>
      <c r="L617" s="438"/>
      <c r="M617" s="208" t="s">
        <v>1543</v>
      </c>
      <c r="N617" s="423"/>
      <c r="O617" s="209"/>
      <c r="P617" s="422"/>
      <c r="Q617" s="421">
        <v>7.54</v>
      </c>
      <c r="R617" s="302"/>
      <c r="S617" s="420">
        <f>Q617*G617/100</f>
        <v>14.7784</v>
      </c>
      <c r="T617" s="420">
        <f t="shared" si="52"/>
        <v>1.131</v>
      </c>
      <c r="U617" s="420">
        <f t="shared" si="53"/>
        <v>0.754</v>
      </c>
      <c r="V617" s="306"/>
      <c r="W617" s="424">
        <f t="shared" si="40"/>
        <v>16.663399999999999</v>
      </c>
      <c r="X617" s="424">
        <f t="shared" si="41"/>
        <v>18.329740000000001</v>
      </c>
    </row>
    <row r="618" spans="1:24" s="307" customFormat="1" ht="24.9" hidden="1" customHeight="1">
      <c r="A618" s="296">
        <v>139</v>
      </c>
      <c r="B618" s="207" t="s">
        <v>1541</v>
      </c>
      <c r="C618" s="303" t="s">
        <v>1681</v>
      </c>
      <c r="D618" s="207" t="s">
        <v>235</v>
      </c>
      <c r="E618" s="298">
        <v>1</v>
      </c>
      <c r="F618" s="207" t="s">
        <v>236</v>
      </c>
      <c r="G618" s="208">
        <v>95</v>
      </c>
      <c r="H618" s="208">
        <v>10</v>
      </c>
      <c r="I618" s="299">
        <v>10</v>
      </c>
      <c r="J618" s="436"/>
      <c r="K618" s="437">
        <v>9.5381</v>
      </c>
      <c r="L618" s="438"/>
      <c r="M618" s="208" t="s">
        <v>1543</v>
      </c>
      <c r="N618" s="423"/>
      <c r="O618" s="209"/>
      <c r="P618" s="422"/>
      <c r="Q618" s="421">
        <v>7.54</v>
      </c>
      <c r="R618" s="26"/>
      <c r="S618" s="420">
        <f t="shared" ref="S618:S619" si="54">Q618*G618/100</f>
        <v>7.1629999999999994</v>
      </c>
      <c r="T618" s="420">
        <f t="shared" si="52"/>
        <v>0.754</v>
      </c>
      <c r="U618" s="420">
        <f t="shared" si="53"/>
        <v>0.754</v>
      </c>
      <c r="V618" s="306"/>
      <c r="W618" s="424">
        <f t="shared" si="40"/>
        <v>8.6709999999999994</v>
      </c>
      <c r="X618" s="424">
        <f t="shared" si="41"/>
        <v>9.5381</v>
      </c>
    </row>
    <row r="619" spans="1:24" s="307" customFormat="1" ht="24.9" hidden="1" customHeight="1">
      <c r="A619" s="296">
        <v>140</v>
      </c>
      <c r="B619" s="207" t="s">
        <v>1541</v>
      </c>
      <c r="C619" s="303" t="s">
        <v>1682</v>
      </c>
      <c r="D619" s="207" t="s">
        <v>235</v>
      </c>
      <c r="E619" s="298">
        <v>1</v>
      </c>
      <c r="F619" s="207" t="s">
        <v>236</v>
      </c>
      <c r="G619" s="208">
        <v>89</v>
      </c>
      <c r="H619" s="208">
        <v>29</v>
      </c>
      <c r="I619" s="299">
        <v>10</v>
      </c>
      <c r="J619" s="436"/>
      <c r="K619" s="437">
        <v>10.61632</v>
      </c>
      <c r="L619" s="438"/>
      <c r="M619" s="208" t="s">
        <v>1543</v>
      </c>
      <c r="N619" s="423"/>
      <c r="O619" s="209"/>
      <c r="P619" s="422"/>
      <c r="Q619" s="421">
        <v>7.54</v>
      </c>
      <c r="R619" s="302"/>
      <c r="S619" s="420">
        <f t="shared" si="54"/>
        <v>6.7106000000000003</v>
      </c>
      <c r="T619" s="420">
        <f t="shared" si="52"/>
        <v>2.1865999999999999</v>
      </c>
      <c r="U619" s="420">
        <f t="shared" si="53"/>
        <v>0.754</v>
      </c>
      <c r="V619" s="306"/>
      <c r="W619" s="424">
        <f t="shared" si="40"/>
        <v>9.6511999999999993</v>
      </c>
      <c r="X619" s="424">
        <f t="shared" si="41"/>
        <v>10.61632</v>
      </c>
    </row>
    <row r="620" spans="1:24" s="307" customFormat="1" ht="24.9" hidden="1" customHeight="1">
      <c r="A620" s="296">
        <v>141</v>
      </c>
      <c r="B620" s="207" t="s">
        <v>1541</v>
      </c>
      <c r="C620" s="303" t="s">
        <v>1683</v>
      </c>
      <c r="D620" s="207" t="s">
        <v>235</v>
      </c>
      <c r="E620" s="298">
        <v>1</v>
      </c>
      <c r="F620" s="207" t="s">
        <v>236</v>
      </c>
      <c r="G620" s="208">
        <v>95</v>
      </c>
      <c r="H620" s="208">
        <v>20</v>
      </c>
      <c r="I620" s="299">
        <v>20</v>
      </c>
      <c r="J620" s="436"/>
      <c r="K620" s="437">
        <v>11.196899999999999</v>
      </c>
      <c r="L620" s="438"/>
      <c r="M620" s="208" t="s">
        <v>1543</v>
      </c>
      <c r="N620" s="423"/>
      <c r="O620" s="209"/>
      <c r="P620" s="422"/>
      <c r="Q620" s="421">
        <v>7.54</v>
      </c>
      <c r="R620" s="26"/>
      <c r="S620" s="420">
        <f>Q620*G620/100</f>
        <v>7.1629999999999994</v>
      </c>
      <c r="T620" s="420">
        <f t="shared" ref="T620:T623" si="55">Q620*H620/100</f>
        <v>1.508</v>
      </c>
      <c r="U620" s="420">
        <f t="shared" ref="U620:U623" si="56">Q620*I620/100</f>
        <v>1.508</v>
      </c>
      <c r="V620" s="306"/>
      <c r="W620" s="424">
        <f t="shared" si="40"/>
        <v>10.178999999999998</v>
      </c>
      <c r="X620" s="424">
        <f t="shared" si="41"/>
        <v>11.196899999999999</v>
      </c>
    </row>
    <row r="621" spans="1:24" s="307" customFormat="1" ht="24.9" hidden="1" customHeight="1">
      <c r="A621" s="296">
        <v>142</v>
      </c>
      <c r="B621" s="207" t="s">
        <v>1541</v>
      </c>
      <c r="C621" s="303" t="s">
        <v>1684</v>
      </c>
      <c r="D621" s="207" t="s">
        <v>235</v>
      </c>
      <c r="E621" s="298">
        <v>1</v>
      </c>
      <c r="F621" s="207" t="s">
        <v>236</v>
      </c>
      <c r="G621" s="208">
        <v>196</v>
      </c>
      <c r="H621" s="208">
        <v>15</v>
      </c>
      <c r="I621" s="299">
        <v>15</v>
      </c>
      <c r="J621" s="436"/>
      <c r="K621" s="437">
        <v>18.744440000000001</v>
      </c>
      <c r="L621" s="438"/>
      <c r="M621" s="208" t="s">
        <v>1543</v>
      </c>
      <c r="N621" s="423"/>
      <c r="O621" s="209"/>
      <c r="P621" s="422"/>
      <c r="Q621" s="421">
        <v>7.54</v>
      </c>
      <c r="R621" s="302"/>
      <c r="S621" s="420">
        <f>Q621*G621/100</f>
        <v>14.7784</v>
      </c>
      <c r="T621" s="420">
        <f t="shared" si="55"/>
        <v>1.131</v>
      </c>
      <c r="U621" s="420">
        <f t="shared" si="56"/>
        <v>1.131</v>
      </c>
      <c r="V621" s="306"/>
      <c r="W621" s="424">
        <f t="shared" si="40"/>
        <v>17.040399999999998</v>
      </c>
      <c r="X621" s="424">
        <f t="shared" si="41"/>
        <v>18.744440000000001</v>
      </c>
    </row>
    <row r="622" spans="1:24" s="307" customFormat="1" ht="24.9" hidden="1" customHeight="1">
      <c r="A622" s="296">
        <v>143</v>
      </c>
      <c r="B622" s="207" t="s">
        <v>1541</v>
      </c>
      <c r="C622" s="303" t="s">
        <v>1685</v>
      </c>
      <c r="D622" s="207" t="s">
        <v>235</v>
      </c>
      <c r="E622" s="298">
        <v>1</v>
      </c>
      <c r="F622" s="207" t="s">
        <v>236</v>
      </c>
      <c r="G622" s="208">
        <v>85</v>
      </c>
      <c r="H622" s="208">
        <v>30</v>
      </c>
      <c r="I622" s="299">
        <v>38</v>
      </c>
      <c r="J622" s="436"/>
      <c r="K622" s="437">
        <v>12.689819999999999</v>
      </c>
      <c r="L622" s="438"/>
      <c r="M622" s="208" t="s">
        <v>1543</v>
      </c>
      <c r="N622" s="423"/>
      <c r="O622" s="209"/>
      <c r="P622" s="422"/>
      <c r="Q622" s="421">
        <v>7.54</v>
      </c>
      <c r="R622" s="26"/>
      <c r="S622" s="420">
        <f t="shared" ref="S622:S623" si="57">Q622*G622/100</f>
        <v>6.4089999999999998</v>
      </c>
      <c r="T622" s="420">
        <f t="shared" si="55"/>
        <v>2.262</v>
      </c>
      <c r="U622" s="420">
        <f t="shared" si="56"/>
        <v>2.8651999999999997</v>
      </c>
      <c r="V622" s="306"/>
      <c r="W622" s="424">
        <f t="shared" si="40"/>
        <v>11.536199999999999</v>
      </c>
      <c r="X622" s="424">
        <f t="shared" si="41"/>
        <v>12.689819999999999</v>
      </c>
    </row>
    <row r="623" spans="1:24" s="307" customFormat="1" ht="24.9" hidden="1" customHeight="1">
      <c r="A623" s="296">
        <v>144</v>
      </c>
      <c r="B623" s="207" t="s">
        <v>1541</v>
      </c>
      <c r="C623" s="303" t="s">
        <v>1686</v>
      </c>
      <c r="D623" s="207" t="s">
        <v>235</v>
      </c>
      <c r="E623" s="298">
        <v>1</v>
      </c>
      <c r="F623" s="207" t="s">
        <v>236</v>
      </c>
      <c r="G623" s="208">
        <v>90</v>
      </c>
      <c r="H623" s="208">
        <v>30</v>
      </c>
      <c r="I623" s="299">
        <v>38</v>
      </c>
      <c r="J623" s="436"/>
      <c r="K623" s="437">
        <v>13.104520000000001</v>
      </c>
      <c r="L623" s="438"/>
      <c r="M623" s="208" t="s">
        <v>1543</v>
      </c>
      <c r="N623" s="423"/>
      <c r="O623" s="209"/>
      <c r="P623" s="422"/>
      <c r="Q623" s="421">
        <v>7.54</v>
      </c>
      <c r="R623" s="302"/>
      <c r="S623" s="420">
        <f t="shared" si="57"/>
        <v>6.7860000000000005</v>
      </c>
      <c r="T623" s="420">
        <f t="shared" si="55"/>
        <v>2.262</v>
      </c>
      <c r="U623" s="420">
        <f t="shared" si="56"/>
        <v>2.8651999999999997</v>
      </c>
      <c r="V623" s="306"/>
      <c r="W623" s="424">
        <f t="shared" si="40"/>
        <v>11.9132</v>
      </c>
      <c r="X623" s="424">
        <f t="shared" si="41"/>
        <v>13.104520000000001</v>
      </c>
    </row>
    <row r="624" spans="1:24" s="307" customFormat="1" ht="24.9" hidden="1" customHeight="1">
      <c r="A624" s="296">
        <v>145</v>
      </c>
      <c r="B624" s="207" t="s">
        <v>1541</v>
      </c>
      <c r="C624" s="303" t="s">
        <v>1687</v>
      </c>
      <c r="D624" s="207" t="s">
        <v>235</v>
      </c>
      <c r="E624" s="298">
        <v>1</v>
      </c>
      <c r="F624" s="207" t="s">
        <v>236</v>
      </c>
      <c r="G624" s="208">
        <v>137</v>
      </c>
      <c r="H624" s="208">
        <v>27</v>
      </c>
      <c r="I624" s="299">
        <v>22</v>
      </c>
      <c r="J624" s="436"/>
      <c r="K624" s="437">
        <v>15.426840000000002</v>
      </c>
      <c r="L624" s="438"/>
      <c r="M624" s="208" t="s">
        <v>1543</v>
      </c>
      <c r="N624" s="423"/>
      <c r="O624" s="209"/>
      <c r="P624" s="422"/>
      <c r="Q624" s="421">
        <v>7.54</v>
      </c>
      <c r="R624" s="26"/>
      <c r="S624" s="420">
        <f>Q624*G624/100</f>
        <v>10.329800000000001</v>
      </c>
      <c r="T624" s="420">
        <f t="shared" ref="T624:T626" si="58">Q624*H624/100</f>
        <v>2.0358000000000001</v>
      </c>
      <c r="U624" s="420">
        <f t="shared" ref="U624:U626" si="59">Q624*I624/100</f>
        <v>1.6588000000000001</v>
      </c>
      <c r="V624" s="306"/>
      <c r="W624" s="424">
        <f t="shared" si="40"/>
        <v>14.0244</v>
      </c>
      <c r="X624" s="424">
        <f t="shared" si="41"/>
        <v>15.426840000000002</v>
      </c>
    </row>
    <row r="625" spans="1:24" s="307" customFormat="1" ht="24.9" hidden="1" customHeight="1">
      <c r="A625" s="296">
        <v>146</v>
      </c>
      <c r="B625" s="207" t="s">
        <v>1541</v>
      </c>
      <c r="C625" s="303" t="s">
        <v>1688</v>
      </c>
      <c r="D625" s="207" t="s">
        <v>235</v>
      </c>
      <c r="E625" s="298">
        <v>1</v>
      </c>
      <c r="F625" s="207" t="s">
        <v>236</v>
      </c>
      <c r="G625" s="208">
        <v>104</v>
      </c>
      <c r="H625" s="208">
        <v>15</v>
      </c>
      <c r="I625" s="299">
        <v>10</v>
      </c>
      <c r="J625" s="436"/>
      <c r="K625" s="437">
        <v>10.699260000000001</v>
      </c>
      <c r="L625" s="438"/>
      <c r="M625" s="208" t="s">
        <v>1543</v>
      </c>
      <c r="N625" s="423"/>
      <c r="O625" s="209"/>
      <c r="P625" s="422"/>
      <c r="Q625" s="421">
        <v>7.54</v>
      </c>
      <c r="R625" s="302"/>
      <c r="S625" s="420">
        <f>Q625*G625/100</f>
        <v>7.8415999999999997</v>
      </c>
      <c r="T625" s="420">
        <f t="shared" si="58"/>
        <v>1.131</v>
      </c>
      <c r="U625" s="420">
        <f t="shared" si="59"/>
        <v>0.754</v>
      </c>
      <c r="V625" s="306"/>
      <c r="W625" s="424">
        <f t="shared" si="40"/>
        <v>9.7265999999999995</v>
      </c>
      <c r="X625" s="424">
        <f t="shared" si="41"/>
        <v>10.699260000000001</v>
      </c>
    </row>
    <row r="626" spans="1:24" s="307" customFormat="1" ht="24.9" hidden="1" customHeight="1">
      <c r="A626" s="296">
        <v>147</v>
      </c>
      <c r="B626" s="207" t="s">
        <v>1541</v>
      </c>
      <c r="C626" s="303" t="s">
        <v>1689</v>
      </c>
      <c r="D626" s="207" t="s">
        <v>235</v>
      </c>
      <c r="E626" s="298">
        <v>1</v>
      </c>
      <c r="F626" s="207" t="s">
        <v>236</v>
      </c>
      <c r="G626" s="208">
        <v>196</v>
      </c>
      <c r="H626" s="208">
        <v>15</v>
      </c>
      <c r="I626" s="299">
        <v>15</v>
      </c>
      <c r="J626" s="436"/>
      <c r="K626" s="437">
        <v>18.744440000000001</v>
      </c>
      <c r="L626" s="438"/>
      <c r="M626" s="208" t="s">
        <v>1543</v>
      </c>
      <c r="N626" s="423"/>
      <c r="O626" s="209"/>
      <c r="P626" s="422"/>
      <c r="Q626" s="421">
        <v>7.54</v>
      </c>
      <c r="R626" s="26"/>
      <c r="S626" s="420">
        <f t="shared" ref="S626:S628" si="60">Q626*G626/100</f>
        <v>14.7784</v>
      </c>
      <c r="T626" s="420">
        <f t="shared" si="58"/>
        <v>1.131</v>
      </c>
      <c r="U626" s="420">
        <f t="shared" si="59"/>
        <v>1.131</v>
      </c>
      <c r="V626" s="306"/>
      <c r="W626" s="424">
        <f t="shared" si="40"/>
        <v>17.040399999999998</v>
      </c>
      <c r="X626" s="424">
        <f t="shared" si="41"/>
        <v>18.744440000000001</v>
      </c>
    </row>
    <row r="627" spans="1:24" s="307" customFormat="1" ht="24.9" hidden="1" customHeight="1">
      <c r="A627" s="296">
        <v>148</v>
      </c>
      <c r="B627" s="207" t="s">
        <v>1541</v>
      </c>
      <c r="C627" s="303" t="s">
        <v>1690</v>
      </c>
      <c r="D627" s="207" t="s">
        <v>235</v>
      </c>
      <c r="E627" s="298">
        <v>1</v>
      </c>
      <c r="F627" s="207" t="s">
        <v>236</v>
      </c>
      <c r="G627" s="208">
        <v>207</v>
      </c>
      <c r="H627" s="208">
        <v>15</v>
      </c>
      <c r="I627" s="299">
        <v>10</v>
      </c>
      <c r="J627" s="436"/>
      <c r="K627" s="437">
        <v>19.242080000000001</v>
      </c>
      <c r="L627" s="438"/>
      <c r="M627" s="208" t="s">
        <v>1543</v>
      </c>
      <c r="N627" s="423"/>
      <c r="O627" s="209"/>
      <c r="P627" s="422"/>
      <c r="Q627" s="421">
        <v>7.54</v>
      </c>
      <c r="R627" s="26"/>
      <c r="S627" s="420">
        <f t="shared" si="60"/>
        <v>15.607799999999999</v>
      </c>
      <c r="T627" s="420">
        <f t="shared" ref="T627:T630" si="61">Q627*H627/100</f>
        <v>1.131</v>
      </c>
      <c r="U627" s="420">
        <f t="shared" ref="U627:U630" si="62">Q627*I627/100</f>
        <v>0.754</v>
      </c>
      <c r="V627" s="306"/>
      <c r="W627" s="424">
        <f t="shared" si="40"/>
        <v>17.492799999999999</v>
      </c>
      <c r="X627" s="424">
        <f t="shared" si="41"/>
        <v>19.242080000000001</v>
      </c>
    </row>
    <row r="628" spans="1:24" s="307" customFormat="1" ht="24.9" hidden="1" customHeight="1">
      <c r="A628" s="296">
        <v>149</v>
      </c>
      <c r="B628" s="207" t="s">
        <v>1541</v>
      </c>
      <c r="C628" s="303" t="s">
        <v>1691</v>
      </c>
      <c r="D628" s="207" t="s">
        <v>235</v>
      </c>
      <c r="E628" s="298">
        <v>1</v>
      </c>
      <c r="F628" s="207" t="s">
        <v>236</v>
      </c>
      <c r="G628" s="208">
        <v>134</v>
      </c>
      <c r="H628" s="208">
        <v>39</v>
      </c>
      <c r="I628" s="299">
        <v>10</v>
      </c>
      <c r="J628" s="436"/>
      <c r="K628" s="437">
        <v>15.17802</v>
      </c>
      <c r="L628" s="438"/>
      <c r="M628" s="208" t="s">
        <v>1543</v>
      </c>
      <c r="N628" s="423"/>
      <c r="O628" s="209"/>
      <c r="P628" s="422"/>
      <c r="Q628" s="421">
        <v>7.54</v>
      </c>
      <c r="R628" s="302"/>
      <c r="S628" s="420">
        <f t="shared" si="60"/>
        <v>10.1036</v>
      </c>
      <c r="T628" s="420">
        <f t="shared" si="61"/>
        <v>2.9405999999999999</v>
      </c>
      <c r="U628" s="420">
        <f t="shared" si="62"/>
        <v>0.754</v>
      </c>
      <c r="V628" s="306"/>
      <c r="W628" s="424">
        <f t="shared" si="40"/>
        <v>13.7982</v>
      </c>
      <c r="X628" s="424">
        <f t="shared" si="41"/>
        <v>15.17802</v>
      </c>
    </row>
    <row r="629" spans="1:24" s="307" customFormat="1" ht="24.9" hidden="1" customHeight="1">
      <c r="A629" s="296">
        <v>150</v>
      </c>
      <c r="B629" s="207" t="s">
        <v>1541</v>
      </c>
      <c r="C629" s="303" t="s">
        <v>1692</v>
      </c>
      <c r="D629" s="207" t="s">
        <v>235</v>
      </c>
      <c r="E629" s="298">
        <v>1</v>
      </c>
      <c r="F629" s="207" t="s">
        <v>236</v>
      </c>
      <c r="G629" s="208">
        <v>104</v>
      </c>
      <c r="H629" s="208">
        <v>15</v>
      </c>
      <c r="I629" s="299">
        <v>10</v>
      </c>
      <c r="J629" s="436"/>
      <c r="K629" s="437">
        <v>10.699260000000001</v>
      </c>
      <c r="L629" s="438"/>
      <c r="M629" s="208" t="s">
        <v>1543</v>
      </c>
      <c r="N629" s="423"/>
      <c r="O629" s="209"/>
      <c r="P629" s="422"/>
      <c r="Q629" s="421">
        <v>7.54</v>
      </c>
      <c r="R629" s="26"/>
      <c r="S629" s="420">
        <f t="shared" ref="S629:S630" si="63">Q629*G629/100</f>
        <v>7.8415999999999997</v>
      </c>
      <c r="T629" s="420">
        <f t="shared" si="61"/>
        <v>1.131</v>
      </c>
      <c r="U629" s="420">
        <f t="shared" si="62"/>
        <v>0.754</v>
      </c>
      <c r="V629" s="306"/>
      <c r="W629" s="424">
        <f t="shared" si="40"/>
        <v>9.7265999999999995</v>
      </c>
      <c r="X629" s="424">
        <f t="shared" si="41"/>
        <v>10.699260000000001</v>
      </c>
    </row>
    <row r="630" spans="1:24" s="119" customFormat="1" ht="24.9" hidden="1" customHeight="1">
      <c r="A630" s="296">
        <v>151</v>
      </c>
      <c r="B630" s="207" t="s">
        <v>1541</v>
      </c>
      <c r="C630" s="303" t="s">
        <v>1693</v>
      </c>
      <c r="D630" s="207" t="s">
        <v>235</v>
      </c>
      <c r="E630" s="298">
        <v>1</v>
      </c>
      <c r="F630" s="207" t="s">
        <v>236</v>
      </c>
      <c r="G630" s="208">
        <v>137</v>
      </c>
      <c r="H630" s="208">
        <v>23</v>
      </c>
      <c r="I630" s="299">
        <v>22</v>
      </c>
      <c r="J630" s="218"/>
      <c r="K630" s="208">
        <v>15.095080000000001</v>
      </c>
      <c r="L630" s="208"/>
      <c r="M630" s="208" t="s">
        <v>1543</v>
      </c>
      <c r="N630" s="295"/>
      <c r="O630" s="209"/>
      <c r="P630" s="25"/>
      <c r="Q630" s="421">
        <v>7.54</v>
      </c>
      <c r="R630" s="26"/>
      <c r="S630" s="420">
        <f t="shared" si="63"/>
        <v>10.329800000000001</v>
      </c>
      <c r="T630" s="420">
        <f t="shared" si="61"/>
        <v>1.7342</v>
      </c>
      <c r="U630" s="420">
        <f t="shared" si="62"/>
        <v>1.6588000000000001</v>
      </c>
      <c r="V630" s="118"/>
      <c r="W630" s="424">
        <f t="shared" si="40"/>
        <v>13.722799999999999</v>
      </c>
      <c r="X630" s="424">
        <f t="shared" si="41"/>
        <v>15.095080000000001</v>
      </c>
    </row>
    <row r="631" spans="1:24" s="119" customFormat="1" ht="24.9" hidden="1" customHeight="1">
      <c r="A631" s="296">
        <v>152</v>
      </c>
      <c r="B631" s="207" t="s">
        <v>1541</v>
      </c>
      <c r="C631" s="303" t="s">
        <v>1694</v>
      </c>
      <c r="D631" s="207" t="s">
        <v>235</v>
      </c>
      <c r="E631" s="298">
        <v>1</v>
      </c>
      <c r="F631" s="207" t="s">
        <v>236</v>
      </c>
      <c r="G631" s="208">
        <v>138</v>
      </c>
      <c r="H631" s="208">
        <v>23</v>
      </c>
      <c r="I631" s="299">
        <v>21</v>
      </c>
      <c r="J631" s="218"/>
      <c r="K631" s="208">
        <v>15.095080000000001</v>
      </c>
      <c r="L631" s="208"/>
      <c r="M631" s="208" t="s">
        <v>1543</v>
      </c>
      <c r="N631" s="295"/>
      <c r="O631" s="209"/>
      <c r="P631" s="25"/>
      <c r="Q631" s="421">
        <v>7.54</v>
      </c>
      <c r="R631" s="26"/>
      <c r="S631" s="420">
        <f>Q631*G631/100</f>
        <v>10.405200000000001</v>
      </c>
      <c r="T631" s="420">
        <f t="shared" ref="T631:T637" si="64">Q631*H631/100</f>
        <v>1.7342</v>
      </c>
      <c r="U631" s="420">
        <f t="shared" ref="U631:U637" si="65">Q631*I631/100</f>
        <v>1.5834000000000001</v>
      </c>
      <c r="V631" s="118"/>
      <c r="W631" s="424">
        <f t="shared" si="40"/>
        <v>13.722799999999999</v>
      </c>
      <c r="X631" s="424">
        <f t="shared" si="41"/>
        <v>15.095080000000001</v>
      </c>
    </row>
    <row r="632" spans="1:24" s="119" customFormat="1" ht="24.9" hidden="1" customHeight="1">
      <c r="A632" s="296">
        <v>153</v>
      </c>
      <c r="B632" s="207" t="s">
        <v>1541</v>
      </c>
      <c r="C632" s="303" t="s">
        <v>1695</v>
      </c>
      <c r="D632" s="207" t="s">
        <v>235</v>
      </c>
      <c r="E632" s="298">
        <v>1</v>
      </c>
      <c r="F632" s="207" t="s">
        <v>236</v>
      </c>
      <c r="G632" s="208">
        <v>104</v>
      </c>
      <c r="H632" s="208">
        <v>14</v>
      </c>
      <c r="I632" s="299">
        <v>10</v>
      </c>
      <c r="J632" s="218"/>
      <c r="K632" s="208">
        <v>10.61632</v>
      </c>
      <c r="L632" s="208"/>
      <c r="M632" s="208" t="s">
        <v>1543</v>
      </c>
      <c r="N632" s="295"/>
      <c r="O632" s="209"/>
      <c r="P632" s="25"/>
      <c r="Q632" s="421">
        <v>7.54</v>
      </c>
      <c r="R632" s="302"/>
      <c r="S632" s="420">
        <f>Q632*G632/100</f>
        <v>7.8415999999999997</v>
      </c>
      <c r="T632" s="420">
        <f t="shared" si="64"/>
        <v>1.0556000000000001</v>
      </c>
      <c r="U632" s="420">
        <f t="shared" si="65"/>
        <v>0.754</v>
      </c>
      <c r="V632" s="118"/>
      <c r="W632" s="424">
        <f t="shared" si="40"/>
        <v>9.6511999999999993</v>
      </c>
      <c r="X632" s="424">
        <f t="shared" si="41"/>
        <v>10.61632</v>
      </c>
    </row>
    <row r="633" spans="1:24" s="119" customFormat="1" ht="24.9" hidden="1" customHeight="1">
      <c r="A633" s="296">
        <v>154</v>
      </c>
      <c r="B633" s="207" t="s">
        <v>1541</v>
      </c>
      <c r="C633" s="303" t="s">
        <v>1696</v>
      </c>
      <c r="D633" s="207" t="s">
        <v>235</v>
      </c>
      <c r="E633" s="298">
        <v>1</v>
      </c>
      <c r="F633" s="207" t="s">
        <v>236</v>
      </c>
      <c r="G633" s="208">
        <v>195</v>
      </c>
      <c r="H633" s="208">
        <v>14</v>
      </c>
      <c r="I633" s="299">
        <v>10</v>
      </c>
      <c r="J633" s="218"/>
      <c r="K633" s="208">
        <v>18.16386</v>
      </c>
      <c r="L633" s="208"/>
      <c r="M633" s="208" t="s">
        <v>1543</v>
      </c>
      <c r="N633" s="295"/>
      <c r="O633" s="209"/>
      <c r="P633" s="25"/>
      <c r="Q633" s="421">
        <v>7.54</v>
      </c>
      <c r="R633" s="26"/>
      <c r="S633" s="420">
        <f t="shared" ref="S633:S637" si="66">Q633*G633/100</f>
        <v>14.702999999999999</v>
      </c>
      <c r="T633" s="420">
        <f t="shared" si="64"/>
        <v>1.0556000000000001</v>
      </c>
      <c r="U633" s="420">
        <f t="shared" si="65"/>
        <v>0.754</v>
      </c>
      <c r="V633" s="118"/>
      <c r="W633" s="424">
        <f t="shared" si="40"/>
        <v>16.512599999999999</v>
      </c>
      <c r="X633" s="424">
        <f t="shared" si="41"/>
        <v>18.16386</v>
      </c>
    </row>
    <row r="634" spans="1:24" s="119" customFormat="1" ht="24.9" hidden="1" customHeight="1">
      <c r="A634" s="296">
        <v>155</v>
      </c>
      <c r="B634" s="207" t="s">
        <v>1541</v>
      </c>
      <c r="C634" s="303" t="s">
        <v>1697</v>
      </c>
      <c r="D634" s="207" t="s">
        <v>235</v>
      </c>
      <c r="E634" s="298">
        <v>1</v>
      </c>
      <c r="F634" s="207" t="s">
        <v>236</v>
      </c>
      <c r="G634" s="208">
        <v>205</v>
      </c>
      <c r="H634" s="208">
        <v>14</v>
      </c>
      <c r="I634" s="299">
        <v>10</v>
      </c>
      <c r="J634" s="218"/>
      <c r="K634" s="208">
        <v>18.993260000000003</v>
      </c>
      <c r="L634" s="208"/>
      <c r="M634" s="208" t="s">
        <v>1543</v>
      </c>
      <c r="N634" s="295"/>
      <c r="O634" s="209"/>
      <c r="P634" s="25"/>
      <c r="Q634" s="421">
        <v>7.54</v>
      </c>
      <c r="R634" s="26"/>
      <c r="S634" s="420">
        <f t="shared" si="66"/>
        <v>15.457000000000001</v>
      </c>
      <c r="T634" s="420">
        <f t="shared" si="64"/>
        <v>1.0556000000000001</v>
      </c>
      <c r="U634" s="420">
        <f t="shared" si="65"/>
        <v>0.754</v>
      </c>
      <c r="V634" s="118"/>
      <c r="W634" s="424">
        <f t="shared" si="40"/>
        <v>17.2666</v>
      </c>
      <c r="X634" s="424">
        <f t="shared" si="41"/>
        <v>18.993260000000003</v>
      </c>
    </row>
    <row r="635" spans="1:24" s="119" customFormat="1" ht="24.9" hidden="1" customHeight="1">
      <c r="A635" s="296">
        <v>156</v>
      </c>
      <c r="B635" s="207" t="s">
        <v>1541</v>
      </c>
      <c r="C635" s="303" t="s">
        <v>1698</v>
      </c>
      <c r="D635" s="207" t="s">
        <v>235</v>
      </c>
      <c r="E635" s="298">
        <v>1</v>
      </c>
      <c r="F635" s="207" t="s">
        <v>236</v>
      </c>
      <c r="G635" s="208">
        <v>135</v>
      </c>
      <c r="H635" s="208">
        <v>40</v>
      </c>
      <c r="I635" s="299">
        <v>20</v>
      </c>
      <c r="J635" s="218"/>
      <c r="K635" s="208">
        <v>16.173300000000001</v>
      </c>
      <c r="L635" s="208"/>
      <c r="M635" s="208" t="s">
        <v>1543</v>
      </c>
      <c r="N635" s="295"/>
      <c r="O635" s="209"/>
      <c r="P635" s="25"/>
      <c r="Q635" s="421">
        <v>7.54</v>
      </c>
      <c r="R635" s="302"/>
      <c r="S635" s="420">
        <f t="shared" si="66"/>
        <v>10.179</v>
      </c>
      <c r="T635" s="420">
        <f t="shared" si="64"/>
        <v>3.016</v>
      </c>
      <c r="U635" s="420">
        <f t="shared" si="65"/>
        <v>1.508</v>
      </c>
      <c r="V635" s="118"/>
      <c r="W635" s="424">
        <f t="shared" si="40"/>
        <v>14.702999999999999</v>
      </c>
      <c r="X635" s="424">
        <f t="shared" si="41"/>
        <v>16.173300000000001</v>
      </c>
    </row>
    <row r="636" spans="1:24" s="119" customFormat="1" ht="24.9" hidden="1" customHeight="1">
      <c r="A636" s="296">
        <v>157</v>
      </c>
      <c r="B636" s="207" t="s">
        <v>1541</v>
      </c>
      <c r="C636" s="303" t="s">
        <v>1699</v>
      </c>
      <c r="D636" s="207" t="s">
        <v>235</v>
      </c>
      <c r="E636" s="298">
        <v>1</v>
      </c>
      <c r="F636" s="207" t="s">
        <v>236</v>
      </c>
      <c r="G636" s="208">
        <v>104</v>
      </c>
      <c r="H636" s="208">
        <v>14</v>
      </c>
      <c r="I636" s="299">
        <v>10</v>
      </c>
      <c r="J636" s="218"/>
      <c r="K636" s="208">
        <v>10.61632</v>
      </c>
      <c r="L636" s="208"/>
      <c r="M636" s="208" t="s">
        <v>1543</v>
      </c>
      <c r="N636" s="295"/>
      <c r="O636" s="209"/>
      <c r="P636" s="25"/>
      <c r="Q636" s="421">
        <v>7.54</v>
      </c>
      <c r="R636" s="26"/>
      <c r="S636" s="420">
        <f t="shared" si="66"/>
        <v>7.8415999999999997</v>
      </c>
      <c r="T636" s="420">
        <f t="shared" si="64"/>
        <v>1.0556000000000001</v>
      </c>
      <c r="U636" s="420">
        <f t="shared" si="65"/>
        <v>0.754</v>
      </c>
      <c r="V636" s="118"/>
      <c r="W636" s="424">
        <f t="shared" si="40"/>
        <v>9.6511999999999993</v>
      </c>
      <c r="X636" s="424">
        <f t="shared" si="41"/>
        <v>10.61632</v>
      </c>
    </row>
    <row r="637" spans="1:24" s="119" customFormat="1" ht="24.9" hidden="1" customHeight="1">
      <c r="A637" s="296">
        <v>158</v>
      </c>
      <c r="B637" s="207" t="s">
        <v>1541</v>
      </c>
      <c r="C637" s="303" t="s">
        <v>1700</v>
      </c>
      <c r="D637" s="207" t="s">
        <v>235</v>
      </c>
      <c r="E637" s="298">
        <v>1</v>
      </c>
      <c r="F637" s="207" t="s">
        <v>236</v>
      </c>
      <c r="G637" s="208">
        <v>137</v>
      </c>
      <c r="H637" s="208">
        <v>38</v>
      </c>
      <c r="I637" s="299">
        <v>22</v>
      </c>
      <c r="J637" s="218"/>
      <c r="K637" s="208">
        <v>16.339180000000002</v>
      </c>
      <c r="L637" s="208"/>
      <c r="M637" s="208" t="s">
        <v>1543</v>
      </c>
      <c r="N637" s="295"/>
      <c r="O637" s="209"/>
      <c r="P637" s="25"/>
      <c r="Q637" s="421">
        <v>7.54</v>
      </c>
      <c r="R637" s="26"/>
      <c r="S637" s="420">
        <f t="shared" si="66"/>
        <v>10.329800000000001</v>
      </c>
      <c r="T637" s="420">
        <f t="shared" si="64"/>
        <v>2.8651999999999997</v>
      </c>
      <c r="U637" s="420">
        <f t="shared" si="65"/>
        <v>1.6588000000000001</v>
      </c>
      <c r="V637" s="118"/>
      <c r="W637" s="424">
        <f t="shared" si="40"/>
        <v>14.8538</v>
      </c>
      <c r="X637" s="424">
        <f t="shared" si="41"/>
        <v>16.339180000000002</v>
      </c>
    </row>
    <row r="638" spans="1:24" s="119" customFormat="1" ht="24.9" hidden="1" customHeight="1">
      <c r="A638" s="296">
        <v>159</v>
      </c>
      <c r="B638" s="207" t="s">
        <v>1541</v>
      </c>
      <c r="C638" s="303" t="s">
        <v>1701</v>
      </c>
      <c r="D638" s="207" t="s">
        <v>235</v>
      </c>
      <c r="E638" s="298">
        <v>1</v>
      </c>
      <c r="F638" s="207" t="s">
        <v>236</v>
      </c>
      <c r="G638" s="208">
        <v>335</v>
      </c>
      <c r="H638" s="208">
        <v>54</v>
      </c>
      <c r="I638" s="299">
        <v>15</v>
      </c>
      <c r="J638" s="218"/>
      <c r="K638" s="208">
        <v>33.152239999999999</v>
      </c>
      <c r="L638" s="208"/>
      <c r="M638" s="208" t="s">
        <v>1543</v>
      </c>
      <c r="N638" s="295"/>
      <c r="O638" s="209"/>
      <c r="P638" s="25"/>
      <c r="Q638" s="347">
        <v>7.46</v>
      </c>
      <c r="R638" s="26"/>
      <c r="S638" s="420">
        <f>Q638*G638/100</f>
        <v>24.991</v>
      </c>
      <c r="T638" s="420">
        <f t="shared" ref="T638:T640" si="67">Q638*H638/100</f>
        <v>4.0283999999999995</v>
      </c>
      <c r="U638" s="420">
        <f t="shared" ref="U638:U640" si="68">Q638*I638/100</f>
        <v>1.119</v>
      </c>
      <c r="V638" s="118"/>
      <c r="W638" s="424">
        <f t="shared" ref="W638:W702" si="69">S638+T638+U638</f>
        <v>30.138399999999997</v>
      </c>
      <c r="X638" s="424">
        <f t="shared" ref="X638:X702" si="70">W638*1.1</f>
        <v>33.152239999999999</v>
      </c>
    </row>
    <row r="639" spans="1:24" s="119" customFormat="1" ht="24.9" hidden="1" customHeight="1">
      <c r="A639" s="296">
        <v>160</v>
      </c>
      <c r="B639" s="207" t="s">
        <v>1541</v>
      </c>
      <c r="C639" s="303" t="s">
        <v>1702</v>
      </c>
      <c r="D639" s="207" t="s">
        <v>235</v>
      </c>
      <c r="E639" s="298">
        <v>1</v>
      </c>
      <c r="F639" s="207" t="s">
        <v>236</v>
      </c>
      <c r="G639" s="208">
        <v>173</v>
      </c>
      <c r="H639" s="208">
        <v>96</v>
      </c>
      <c r="I639" s="299">
        <v>10</v>
      </c>
      <c r="J639" s="218"/>
      <c r="K639" s="208">
        <v>22.894739999999999</v>
      </c>
      <c r="L639" s="208"/>
      <c r="M639" s="208" t="s">
        <v>1543</v>
      </c>
      <c r="N639" s="295"/>
      <c r="O639" s="209"/>
      <c r="P639" s="25"/>
      <c r="Q639" s="347">
        <v>7.46</v>
      </c>
      <c r="R639" s="302"/>
      <c r="S639" s="420">
        <f>Q639*G639/100</f>
        <v>12.905799999999999</v>
      </c>
      <c r="T639" s="420">
        <f t="shared" si="67"/>
        <v>7.1616</v>
      </c>
      <c r="U639" s="420">
        <f t="shared" si="68"/>
        <v>0.746</v>
      </c>
      <c r="V639" s="118"/>
      <c r="W639" s="424">
        <f t="shared" si="69"/>
        <v>20.813399999999998</v>
      </c>
      <c r="X639" s="424">
        <f t="shared" si="70"/>
        <v>22.894739999999999</v>
      </c>
    </row>
    <row r="640" spans="1:24" s="119" customFormat="1" ht="24.9" hidden="1" customHeight="1">
      <c r="A640" s="296">
        <v>161</v>
      </c>
      <c r="B640" s="207" t="s">
        <v>1541</v>
      </c>
      <c r="C640" s="303" t="s">
        <v>1703</v>
      </c>
      <c r="D640" s="207" t="s">
        <v>235</v>
      </c>
      <c r="E640" s="298">
        <v>1</v>
      </c>
      <c r="F640" s="207" t="s">
        <v>236</v>
      </c>
      <c r="G640" s="208">
        <v>367</v>
      </c>
      <c r="H640" s="208">
        <v>96</v>
      </c>
      <c r="I640" s="299">
        <v>10</v>
      </c>
      <c r="J640" s="218"/>
      <c r="K640" s="208">
        <v>38.814380000000007</v>
      </c>
      <c r="L640" s="208"/>
      <c r="M640" s="208" t="s">
        <v>1543</v>
      </c>
      <c r="N640" s="295"/>
      <c r="O640" s="209"/>
      <c r="P640" s="25"/>
      <c r="Q640" s="347">
        <v>7.46</v>
      </c>
      <c r="R640" s="26"/>
      <c r="S640" s="420">
        <f t="shared" ref="S640:S642" si="71">Q640*G640/100</f>
        <v>27.378200000000003</v>
      </c>
      <c r="T640" s="420">
        <f t="shared" si="67"/>
        <v>7.1616</v>
      </c>
      <c r="U640" s="420">
        <f t="shared" si="68"/>
        <v>0.746</v>
      </c>
      <c r="V640" s="118"/>
      <c r="W640" s="424">
        <f t="shared" si="69"/>
        <v>35.285800000000002</v>
      </c>
      <c r="X640" s="424">
        <f t="shared" si="70"/>
        <v>38.814380000000007</v>
      </c>
    </row>
    <row r="641" spans="1:24" s="119" customFormat="1" ht="24.9" hidden="1" customHeight="1">
      <c r="A641" s="296">
        <v>162</v>
      </c>
      <c r="B641" s="207" t="s">
        <v>1541</v>
      </c>
      <c r="C641" s="303" t="s">
        <v>1704</v>
      </c>
      <c r="D641" s="207" t="s">
        <v>235</v>
      </c>
      <c r="E641" s="298">
        <v>1</v>
      </c>
      <c r="F641" s="207" t="s">
        <v>236</v>
      </c>
      <c r="G641" s="208">
        <v>418</v>
      </c>
      <c r="H641" s="208">
        <v>96</v>
      </c>
      <c r="I641" s="299">
        <v>10</v>
      </c>
      <c r="J641" s="218"/>
      <c r="K641" s="208">
        <v>42.999440000000007</v>
      </c>
      <c r="L641" s="208"/>
      <c r="M641" s="208" t="s">
        <v>1543</v>
      </c>
      <c r="N641" s="295"/>
      <c r="O641" s="209"/>
      <c r="P641" s="25"/>
      <c r="Q641" s="347">
        <v>7.46</v>
      </c>
      <c r="R641" s="26"/>
      <c r="S641" s="420">
        <f t="shared" si="71"/>
        <v>31.1828</v>
      </c>
      <c r="T641" s="420">
        <f t="shared" ref="T641:T650" si="72">Q641*H641/100</f>
        <v>7.1616</v>
      </c>
      <c r="U641" s="420">
        <f t="shared" ref="U641:U650" si="73">Q641*I641/100</f>
        <v>0.746</v>
      </c>
      <c r="V641" s="118"/>
      <c r="W641" s="424">
        <f t="shared" si="69"/>
        <v>39.090400000000002</v>
      </c>
      <c r="X641" s="424">
        <f t="shared" si="70"/>
        <v>42.999440000000007</v>
      </c>
    </row>
    <row r="642" spans="1:24" s="119" customFormat="1" ht="24.9" hidden="1" customHeight="1">
      <c r="A642" s="296">
        <v>163</v>
      </c>
      <c r="B642" s="207" t="s">
        <v>1541</v>
      </c>
      <c r="C642" s="303" t="s">
        <v>1705</v>
      </c>
      <c r="D642" s="207" t="s">
        <v>235</v>
      </c>
      <c r="E642" s="298">
        <v>1</v>
      </c>
      <c r="F642" s="207" t="s">
        <v>236</v>
      </c>
      <c r="G642" s="208">
        <v>367</v>
      </c>
      <c r="H642" s="208">
        <v>96</v>
      </c>
      <c r="I642" s="299">
        <v>10</v>
      </c>
      <c r="J642" s="218"/>
      <c r="K642" s="208">
        <v>38.814380000000007</v>
      </c>
      <c r="L642" s="208"/>
      <c r="M642" s="208" t="s">
        <v>1543</v>
      </c>
      <c r="N642" s="295"/>
      <c r="O642" s="209"/>
      <c r="P642" s="25"/>
      <c r="Q642" s="347">
        <v>7.46</v>
      </c>
      <c r="R642" s="302"/>
      <c r="S642" s="420">
        <f t="shared" si="71"/>
        <v>27.378200000000003</v>
      </c>
      <c r="T642" s="420">
        <f t="shared" si="72"/>
        <v>7.1616</v>
      </c>
      <c r="U642" s="420">
        <f t="shared" si="73"/>
        <v>0.746</v>
      </c>
      <c r="V642" s="118"/>
      <c r="W642" s="424">
        <f t="shared" si="69"/>
        <v>35.285800000000002</v>
      </c>
      <c r="X642" s="424">
        <f t="shared" si="70"/>
        <v>38.814380000000007</v>
      </c>
    </row>
    <row r="643" spans="1:24" s="119" customFormat="1" ht="24.9" hidden="1" customHeight="1">
      <c r="A643" s="296">
        <v>164</v>
      </c>
      <c r="B643" s="207" t="s">
        <v>1541</v>
      </c>
      <c r="C643" s="303" t="s">
        <v>1706</v>
      </c>
      <c r="D643" s="207" t="s">
        <v>235</v>
      </c>
      <c r="E643" s="298">
        <v>1</v>
      </c>
      <c r="F643" s="207" t="s">
        <v>236</v>
      </c>
      <c r="G643" s="208">
        <v>418</v>
      </c>
      <c r="H643" s="208">
        <v>96</v>
      </c>
      <c r="I643" s="299">
        <v>10</v>
      </c>
      <c r="J643" s="218"/>
      <c r="K643" s="208">
        <v>42.999440000000007</v>
      </c>
      <c r="L643" s="208"/>
      <c r="M643" s="208" t="s">
        <v>1543</v>
      </c>
      <c r="N643" s="295"/>
      <c r="O643" s="209"/>
      <c r="P643" s="25"/>
      <c r="Q643" s="347">
        <v>7.46</v>
      </c>
      <c r="R643" s="26"/>
      <c r="S643" s="420">
        <f t="shared" ref="S643:S650" si="74">Q643*G643/100</f>
        <v>31.1828</v>
      </c>
      <c r="T643" s="420">
        <f t="shared" si="72"/>
        <v>7.1616</v>
      </c>
      <c r="U643" s="420">
        <f t="shared" si="73"/>
        <v>0.746</v>
      </c>
      <c r="V643" s="118"/>
      <c r="W643" s="424">
        <f t="shared" si="69"/>
        <v>39.090400000000002</v>
      </c>
      <c r="X643" s="424">
        <f t="shared" si="70"/>
        <v>42.999440000000007</v>
      </c>
    </row>
    <row r="644" spans="1:24" s="119" customFormat="1" ht="24.9" hidden="1" customHeight="1">
      <c r="A644" s="296">
        <v>165</v>
      </c>
      <c r="B644" s="207" t="s">
        <v>1541</v>
      </c>
      <c r="C644" s="303" t="s">
        <v>1707</v>
      </c>
      <c r="D644" s="207" t="s">
        <v>235</v>
      </c>
      <c r="E644" s="298">
        <v>1</v>
      </c>
      <c r="F644" s="207" t="s">
        <v>236</v>
      </c>
      <c r="G644" s="208">
        <v>367</v>
      </c>
      <c r="H644" s="208">
        <v>96</v>
      </c>
      <c r="I644" s="299">
        <v>10</v>
      </c>
      <c r="J644" s="218"/>
      <c r="K644" s="208">
        <v>38.814380000000007</v>
      </c>
      <c r="L644" s="208"/>
      <c r="M644" s="208" t="s">
        <v>1543</v>
      </c>
      <c r="N644" s="295"/>
      <c r="O644" s="209"/>
      <c r="P644" s="25"/>
      <c r="Q644" s="347">
        <v>7.46</v>
      </c>
      <c r="R644" s="26"/>
      <c r="S644" s="420">
        <f t="shared" si="74"/>
        <v>27.378200000000003</v>
      </c>
      <c r="T644" s="420">
        <f t="shared" si="72"/>
        <v>7.1616</v>
      </c>
      <c r="U644" s="420">
        <f t="shared" si="73"/>
        <v>0.746</v>
      </c>
      <c r="V644" s="118"/>
      <c r="W644" s="424">
        <f t="shared" si="69"/>
        <v>35.285800000000002</v>
      </c>
      <c r="X644" s="424">
        <f t="shared" si="70"/>
        <v>38.814380000000007</v>
      </c>
    </row>
    <row r="645" spans="1:24" s="119" customFormat="1" ht="24.9" hidden="1" customHeight="1">
      <c r="A645" s="296">
        <v>166</v>
      </c>
      <c r="B645" s="207" t="s">
        <v>1541</v>
      </c>
      <c r="C645" s="303" t="s">
        <v>1708</v>
      </c>
      <c r="D645" s="207" t="s">
        <v>235</v>
      </c>
      <c r="E645" s="298">
        <v>1</v>
      </c>
      <c r="F645" s="207" t="s">
        <v>236</v>
      </c>
      <c r="G645" s="208">
        <v>418</v>
      </c>
      <c r="H645" s="208">
        <v>96</v>
      </c>
      <c r="I645" s="299">
        <v>10</v>
      </c>
      <c r="J645" s="218"/>
      <c r="K645" s="208">
        <v>42.999440000000007</v>
      </c>
      <c r="L645" s="208"/>
      <c r="M645" s="208" t="s">
        <v>1543</v>
      </c>
      <c r="N645" s="295"/>
      <c r="O645" s="209"/>
      <c r="P645" s="25"/>
      <c r="Q645" s="347">
        <v>7.46</v>
      </c>
      <c r="R645" s="302"/>
      <c r="S645" s="420">
        <f t="shared" si="74"/>
        <v>31.1828</v>
      </c>
      <c r="T645" s="420">
        <f t="shared" si="72"/>
        <v>7.1616</v>
      </c>
      <c r="U645" s="420">
        <f t="shared" si="73"/>
        <v>0.746</v>
      </c>
      <c r="V645" s="118"/>
      <c r="W645" s="424">
        <f t="shared" si="69"/>
        <v>39.090400000000002</v>
      </c>
      <c r="X645" s="424">
        <f t="shared" si="70"/>
        <v>42.999440000000007</v>
      </c>
    </row>
    <row r="646" spans="1:24" s="119" customFormat="1" ht="24.9" hidden="1" customHeight="1">
      <c r="A646" s="296">
        <v>167</v>
      </c>
      <c r="B646" s="207" t="s">
        <v>1541</v>
      </c>
      <c r="C646" s="303" t="s">
        <v>1709</v>
      </c>
      <c r="D646" s="207" t="s">
        <v>235</v>
      </c>
      <c r="E646" s="298">
        <v>1</v>
      </c>
      <c r="F646" s="207" t="s">
        <v>236</v>
      </c>
      <c r="G646" s="208">
        <v>367</v>
      </c>
      <c r="H646" s="208">
        <v>96</v>
      </c>
      <c r="I646" s="299">
        <v>10</v>
      </c>
      <c r="J646" s="218"/>
      <c r="K646" s="208">
        <v>38.814380000000007</v>
      </c>
      <c r="L646" s="208"/>
      <c r="M646" s="208" t="s">
        <v>1543</v>
      </c>
      <c r="N646" s="295"/>
      <c r="O646" s="209"/>
      <c r="P646" s="25"/>
      <c r="Q646" s="347">
        <v>7.46</v>
      </c>
      <c r="R646" s="26"/>
      <c r="S646" s="420">
        <f t="shared" si="74"/>
        <v>27.378200000000003</v>
      </c>
      <c r="T646" s="420">
        <f t="shared" si="72"/>
        <v>7.1616</v>
      </c>
      <c r="U646" s="420">
        <f t="shared" si="73"/>
        <v>0.746</v>
      </c>
      <c r="V646" s="118"/>
      <c r="W646" s="424">
        <f t="shared" si="69"/>
        <v>35.285800000000002</v>
      </c>
      <c r="X646" s="424">
        <f t="shared" si="70"/>
        <v>38.814380000000007</v>
      </c>
    </row>
    <row r="647" spans="1:24" s="119" customFormat="1" ht="24.9" hidden="1" customHeight="1">
      <c r="A647" s="296">
        <v>168</v>
      </c>
      <c r="B647" s="207" t="s">
        <v>1541</v>
      </c>
      <c r="C647" s="303" t="s">
        <v>1710</v>
      </c>
      <c r="D647" s="207" t="s">
        <v>235</v>
      </c>
      <c r="E647" s="298">
        <v>1</v>
      </c>
      <c r="F647" s="207" t="s">
        <v>236</v>
      </c>
      <c r="G647" s="208">
        <v>418</v>
      </c>
      <c r="H647" s="208">
        <v>96</v>
      </c>
      <c r="I647" s="299">
        <v>10</v>
      </c>
      <c r="J647" s="218"/>
      <c r="K647" s="208">
        <v>42.999440000000007</v>
      </c>
      <c r="L647" s="208"/>
      <c r="M647" s="208" t="s">
        <v>1543</v>
      </c>
      <c r="N647" s="295"/>
      <c r="O647" s="209"/>
      <c r="P647" s="25"/>
      <c r="Q647" s="347">
        <v>7.46</v>
      </c>
      <c r="R647" s="26"/>
      <c r="S647" s="420">
        <f t="shared" si="74"/>
        <v>31.1828</v>
      </c>
      <c r="T647" s="420">
        <f t="shared" si="72"/>
        <v>7.1616</v>
      </c>
      <c r="U647" s="420">
        <f t="shared" si="73"/>
        <v>0.746</v>
      </c>
      <c r="V647" s="118"/>
      <c r="W647" s="424">
        <f t="shared" si="69"/>
        <v>39.090400000000002</v>
      </c>
      <c r="X647" s="424">
        <f t="shared" si="70"/>
        <v>42.999440000000007</v>
      </c>
    </row>
    <row r="648" spans="1:24" s="119" customFormat="1" ht="24.9" hidden="1" customHeight="1">
      <c r="A648" s="296">
        <v>169</v>
      </c>
      <c r="B648" s="207" t="s">
        <v>1541</v>
      </c>
      <c r="C648" s="303" t="s">
        <v>1711</v>
      </c>
      <c r="D648" s="207" t="s">
        <v>235</v>
      </c>
      <c r="E648" s="298">
        <v>1</v>
      </c>
      <c r="F648" s="207" t="s">
        <v>236</v>
      </c>
      <c r="G648" s="208">
        <v>367</v>
      </c>
      <c r="H648" s="208">
        <v>96</v>
      </c>
      <c r="I648" s="299">
        <v>10</v>
      </c>
      <c r="J648" s="218"/>
      <c r="K648" s="208">
        <v>38.814380000000007</v>
      </c>
      <c r="L648" s="208"/>
      <c r="M648" s="208" t="s">
        <v>1543</v>
      </c>
      <c r="N648" s="295"/>
      <c r="O648" s="209"/>
      <c r="P648" s="25"/>
      <c r="Q648" s="347">
        <v>7.46</v>
      </c>
      <c r="R648" s="302"/>
      <c r="S648" s="420">
        <f t="shared" si="74"/>
        <v>27.378200000000003</v>
      </c>
      <c r="T648" s="420">
        <f t="shared" si="72"/>
        <v>7.1616</v>
      </c>
      <c r="U648" s="420">
        <f t="shared" si="73"/>
        <v>0.746</v>
      </c>
      <c r="V648" s="118"/>
      <c r="W648" s="424">
        <f t="shared" si="69"/>
        <v>35.285800000000002</v>
      </c>
      <c r="X648" s="424">
        <f t="shared" si="70"/>
        <v>38.814380000000007</v>
      </c>
    </row>
    <row r="649" spans="1:24" s="119" customFormat="1" ht="24.9" hidden="1" customHeight="1">
      <c r="A649" s="296">
        <v>170</v>
      </c>
      <c r="B649" s="207" t="s">
        <v>1541</v>
      </c>
      <c r="C649" s="303" t="s">
        <v>1712</v>
      </c>
      <c r="D649" s="207" t="s">
        <v>235</v>
      </c>
      <c r="E649" s="298">
        <v>1</v>
      </c>
      <c r="F649" s="207" t="s">
        <v>236</v>
      </c>
      <c r="G649" s="208">
        <v>418</v>
      </c>
      <c r="H649" s="208">
        <v>96</v>
      </c>
      <c r="I649" s="299">
        <v>10</v>
      </c>
      <c r="J649" s="218"/>
      <c r="K649" s="208">
        <v>42.999440000000007</v>
      </c>
      <c r="L649" s="208"/>
      <c r="M649" s="208" t="s">
        <v>1543</v>
      </c>
      <c r="N649" s="295"/>
      <c r="O649" s="209"/>
      <c r="P649" s="25"/>
      <c r="Q649" s="347">
        <v>7.46</v>
      </c>
      <c r="R649" s="26"/>
      <c r="S649" s="420">
        <f t="shared" si="74"/>
        <v>31.1828</v>
      </c>
      <c r="T649" s="420">
        <f t="shared" si="72"/>
        <v>7.1616</v>
      </c>
      <c r="U649" s="420">
        <f t="shared" si="73"/>
        <v>0.746</v>
      </c>
      <c r="V649" s="118"/>
      <c r="W649" s="424">
        <f t="shared" si="69"/>
        <v>39.090400000000002</v>
      </c>
      <c r="X649" s="424">
        <f t="shared" si="70"/>
        <v>42.999440000000007</v>
      </c>
    </row>
    <row r="650" spans="1:24" s="119" customFormat="1" ht="24.9" hidden="1" customHeight="1">
      <c r="A650" s="296">
        <v>171</v>
      </c>
      <c r="B650" s="207" t="s">
        <v>1541</v>
      </c>
      <c r="C650" s="303" t="s">
        <v>1713</v>
      </c>
      <c r="D650" s="207" t="s">
        <v>235</v>
      </c>
      <c r="E650" s="298">
        <v>1</v>
      </c>
      <c r="F650" s="207" t="s">
        <v>236</v>
      </c>
      <c r="G650" s="208">
        <v>367</v>
      </c>
      <c r="H650" s="208">
        <v>96</v>
      </c>
      <c r="I650" s="299">
        <v>10</v>
      </c>
      <c r="J650" s="218"/>
      <c r="K650" s="208">
        <v>38.814380000000007</v>
      </c>
      <c r="L650" s="208"/>
      <c r="M650" s="208" t="s">
        <v>1543</v>
      </c>
      <c r="N650" s="295"/>
      <c r="O650" s="209"/>
      <c r="P650" s="25"/>
      <c r="Q650" s="347">
        <v>7.46</v>
      </c>
      <c r="R650" s="26"/>
      <c r="S650" s="420">
        <f t="shared" si="74"/>
        <v>27.378200000000003</v>
      </c>
      <c r="T650" s="420">
        <f t="shared" si="72"/>
        <v>7.1616</v>
      </c>
      <c r="U650" s="420">
        <f t="shared" si="73"/>
        <v>0.746</v>
      </c>
      <c r="V650" s="118"/>
      <c r="W650" s="424">
        <f t="shared" si="69"/>
        <v>35.285800000000002</v>
      </c>
      <c r="X650" s="424">
        <f t="shared" si="70"/>
        <v>38.814380000000007</v>
      </c>
    </row>
    <row r="651" spans="1:24" s="119" customFormat="1" ht="24.9" hidden="1" customHeight="1">
      <c r="A651" s="296">
        <v>172</v>
      </c>
      <c r="B651" s="207" t="s">
        <v>1541</v>
      </c>
      <c r="C651" s="303" t="s">
        <v>1714</v>
      </c>
      <c r="D651" s="207" t="s">
        <v>235</v>
      </c>
      <c r="E651" s="298">
        <v>1</v>
      </c>
      <c r="F651" s="207" t="s">
        <v>236</v>
      </c>
      <c r="G651" s="208">
        <v>335</v>
      </c>
      <c r="H651" s="208">
        <v>58</v>
      </c>
      <c r="I651" s="299">
        <v>20</v>
      </c>
      <c r="J651" s="218"/>
      <c r="K651" s="208">
        <v>33.890779999999999</v>
      </c>
      <c r="L651" s="208"/>
      <c r="M651" s="208" t="s">
        <v>1543</v>
      </c>
      <c r="N651" s="295"/>
      <c r="O651" s="209"/>
      <c r="P651" s="25"/>
      <c r="Q651" s="347">
        <v>7.46</v>
      </c>
      <c r="R651" s="26"/>
      <c r="S651" s="420">
        <f>Q651*G651/100</f>
        <v>24.991</v>
      </c>
      <c r="T651" s="420">
        <f t="shared" ref="T651:T663" si="75">Q651*H651/100</f>
        <v>4.3268000000000004</v>
      </c>
      <c r="U651" s="420">
        <f t="shared" ref="U651:U663" si="76">Q651*I651/100</f>
        <v>1.492</v>
      </c>
      <c r="V651" s="118"/>
      <c r="W651" s="424">
        <f t="shared" si="69"/>
        <v>30.809799999999999</v>
      </c>
      <c r="X651" s="424">
        <f t="shared" si="70"/>
        <v>33.890779999999999</v>
      </c>
    </row>
    <row r="652" spans="1:24" s="119" customFormat="1" ht="24.9" hidden="1" customHeight="1">
      <c r="A652" s="296">
        <v>173</v>
      </c>
      <c r="B652" s="207" t="s">
        <v>1541</v>
      </c>
      <c r="C652" s="303" t="s">
        <v>1715</v>
      </c>
      <c r="D652" s="207" t="s">
        <v>235</v>
      </c>
      <c r="E652" s="298">
        <v>1</v>
      </c>
      <c r="F652" s="207" t="s">
        <v>236</v>
      </c>
      <c r="G652" s="208">
        <v>175</v>
      </c>
      <c r="H652" s="208">
        <v>80</v>
      </c>
      <c r="I652" s="299">
        <v>20</v>
      </c>
      <c r="J652" s="218"/>
      <c r="K652" s="208">
        <v>22.566500000000001</v>
      </c>
      <c r="L652" s="208"/>
      <c r="M652" s="208" t="s">
        <v>1543</v>
      </c>
      <c r="N652" s="295"/>
      <c r="O652" s="209"/>
      <c r="P652" s="25"/>
      <c r="Q652" s="347">
        <v>7.46</v>
      </c>
      <c r="R652" s="302"/>
      <c r="S652" s="420">
        <f>Q652*G652/100</f>
        <v>13.055</v>
      </c>
      <c r="T652" s="420">
        <f t="shared" si="75"/>
        <v>5.968</v>
      </c>
      <c r="U652" s="420">
        <f t="shared" si="76"/>
        <v>1.492</v>
      </c>
      <c r="V652" s="118"/>
      <c r="W652" s="424">
        <f t="shared" si="69"/>
        <v>20.515000000000001</v>
      </c>
      <c r="X652" s="424">
        <f t="shared" si="70"/>
        <v>22.566500000000001</v>
      </c>
    </row>
    <row r="653" spans="1:24" s="119" customFormat="1" ht="24.9" hidden="1" customHeight="1">
      <c r="A653" s="296">
        <v>174</v>
      </c>
      <c r="B653" s="207" t="s">
        <v>1541</v>
      </c>
      <c r="C653" s="303" t="s">
        <v>1716</v>
      </c>
      <c r="D653" s="207" t="s">
        <v>235</v>
      </c>
      <c r="E653" s="298">
        <v>1</v>
      </c>
      <c r="F653" s="207" t="s">
        <v>236</v>
      </c>
      <c r="G653" s="208">
        <v>367</v>
      </c>
      <c r="H653" s="208">
        <v>80</v>
      </c>
      <c r="I653" s="299">
        <v>20</v>
      </c>
      <c r="J653" s="218"/>
      <c r="K653" s="208">
        <v>38.322020000000002</v>
      </c>
      <c r="L653" s="208"/>
      <c r="M653" s="208" t="s">
        <v>1543</v>
      </c>
      <c r="N653" s="295"/>
      <c r="O653" s="209"/>
      <c r="P653" s="25"/>
      <c r="Q653" s="347">
        <v>7.46</v>
      </c>
      <c r="R653" s="26"/>
      <c r="S653" s="420">
        <f t="shared" ref="S653:S663" si="77">Q653*G653/100</f>
        <v>27.378200000000003</v>
      </c>
      <c r="T653" s="420">
        <f t="shared" si="75"/>
        <v>5.968</v>
      </c>
      <c r="U653" s="420">
        <f t="shared" si="76"/>
        <v>1.492</v>
      </c>
      <c r="V653" s="118"/>
      <c r="W653" s="424">
        <f t="shared" si="69"/>
        <v>34.838200000000001</v>
      </c>
      <c r="X653" s="424">
        <f t="shared" si="70"/>
        <v>38.322020000000002</v>
      </c>
    </row>
    <row r="654" spans="1:24" s="119" customFormat="1" ht="24.9" hidden="1" customHeight="1">
      <c r="A654" s="296">
        <v>175</v>
      </c>
      <c r="B654" s="207" t="s">
        <v>1541</v>
      </c>
      <c r="C654" s="303" t="s">
        <v>1717</v>
      </c>
      <c r="D654" s="207" t="s">
        <v>235</v>
      </c>
      <c r="E654" s="298">
        <v>1</v>
      </c>
      <c r="F654" s="207" t="s">
        <v>236</v>
      </c>
      <c r="G654" s="208">
        <v>418</v>
      </c>
      <c r="H654" s="208">
        <v>80</v>
      </c>
      <c r="I654" s="299">
        <v>20</v>
      </c>
      <c r="J654" s="218"/>
      <c r="K654" s="208">
        <v>42.507080000000002</v>
      </c>
      <c r="L654" s="208"/>
      <c r="M654" s="208" t="s">
        <v>1543</v>
      </c>
      <c r="N654" s="295"/>
      <c r="O654" s="209"/>
      <c r="P654" s="25"/>
      <c r="Q654" s="347">
        <v>7.46</v>
      </c>
      <c r="R654" s="26"/>
      <c r="S654" s="420">
        <f t="shared" si="77"/>
        <v>31.1828</v>
      </c>
      <c r="T654" s="420">
        <f t="shared" si="75"/>
        <v>5.968</v>
      </c>
      <c r="U654" s="420">
        <f t="shared" si="76"/>
        <v>1.492</v>
      </c>
      <c r="V654" s="118"/>
      <c r="W654" s="424">
        <f t="shared" si="69"/>
        <v>38.642800000000001</v>
      </c>
      <c r="X654" s="424">
        <f t="shared" si="70"/>
        <v>42.507080000000002</v>
      </c>
    </row>
    <row r="655" spans="1:24" s="119" customFormat="1" ht="24.9" hidden="1" customHeight="1">
      <c r="A655" s="296">
        <v>176</v>
      </c>
      <c r="B655" s="207" t="s">
        <v>1541</v>
      </c>
      <c r="C655" s="303" t="s">
        <v>1718</v>
      </c>
      <c r="D655" s="207" t="s">
        <v>235</v>
      </c>
      <c r="E655" s="298">
        <v>1</v>
      </c>
      <c r="F655" s="207" t="s">
        <v>236</v>
      </c>
      <c r="G655" s="208">
        <v>367</v>
      </c>
      <c r="H655" s="208">
        <v>80</v>
      </c>
      <c r="I655" s="299">
        <v>20</v>
      </c>
      <c r="J655" s="218"/>
      <c r="K655" s="208">
        <v>38.322020000000002</v>
      </c>
      <c r="L655" s="208"/>
      <c r="M655" s="208" t="s">
        <v>1543</v>
      </c>
      <c r="N655" s="295"/>
      <c r="O655" s="209"/>
      <c r="P655" s="25"/>
      <c r="Q655" s="347">
        <v>7.46</v>
      </c>
      <c r="R655" s="302"/>
      <c r="S655" s="420">
        <f t="shared" si="77"/>
        <v>27.378200000000003</v>
      </c>
      <c r="T655" s="420">
        <f t="shared" si="75"/>
        <v>5.968</v>
      </c>
      <c r="U655" s="420">
        <f t="shared" si="76"/>
        <v>1.492</v>
      </c>
      <c r="V655" s="118"/>
      <c r="W655" s="424">
        <f t="shared" si="69"/>
        <v>34.838200000000001</v>
      </c>
      <c r="X655" s="424">
        <f t="shared" si="70"/>
        <v>38.322020000000002</v>
      </c>
    </row>
    <row r="656" spans="1:24" s="119" customFormat="1" ht="24.9" hidden="1" customHeight="1">
      <c r="A656" s="296">
        <v>177</v>
      </c>
      <c r="B656" s="207" t="s">
        <v>1541</v>
      </c>
      <c r="C656" s="303" t="s">
        <v>1719</v>
      </c>
      <c r="D656" s="207" t="s">
        <v>235</v>
      </c>
      <c r="E656" s="298">
        <v>1</v>
      </c>
      <c r="F656" s="207" t="s">
        <v>236</v>
      </c>
      <c r="G656" s="208">
        <v>418</v>
      </c>
      <c r="H656" s="208">
        <v>80</v>
      </c>
      <c r="I656" s="299">
        <v>20</v>
      </c>
      <c r="J656" s="218"/>
      <c r="K656" s="208">
        <v>42.507080000000002</v>
      </c>
      <c r="L656" s="208"/>
      <c r="M656" s="208" t="s">
        <v>1543</v>
      </c>
      <c r="N656" s="295"/>
      <c r="O656" s="209"/>
      <c r="P656" s="25"/>
      <c r="Q656" s="347">
        <v>7.46</v>
      </c>
      <c r="R656" s="26"/>
      <c r="S656" s="420">
        <f t="shared" si="77"/>
        <v>31.1828</v>
      </c>
      <c r="T656" s="420">
        <f t="shared" si="75"/>
        <v>5.968</v>
      </c>
      <c r="U656" s="420">
        <f t="shared" si="76"/>
        <v>1.492</v>
      </c>
      <c r="V656" s="118"/>
      <c r="W656" s="424">
        <f t="shared" si="69"/>
        <v>38.642800000000001</v>
      </c>
      <c r="X656" s="424">
        <f t="shared" si="70"/>
        <v>42.507080000000002</v>
      </c>
    </row>
    <row r="657" spans="1:24" s="119" customFormat="1" ht="24.9" hidden="1" customHeight="1">
      <c r="A657" s="296">
        <v>178</v>
      </c>
      <c r="B657" s="207" t="s">
        <v>1541</v>
      </c>
      <c r="C657" s="303" t="s">
        <v>1720</v>
      </c>
      <c r="D657" s="207" t="s">
        <v>235</v>
      </c>
      <c r="E657" s="298">
        <v>1</v>
      </c>
      <c r="F657" s="207" t="s">
        <v>236</v>
      </c>
      <c r="G657" s="208">
        <v>367</v>
      </c>
      <c r="H657" s="208">
        <v>80</v>
      </c>
      <c r="I657" s="299">
        <v>20</v>
      </c>
      <c r="J657" s="218"/>
      <c r="K657" s="208">
        <v>38.322020000000002</v>
      </c>
      <c r="L657" s="208"/>
      <c r="M657" s="208" t="s">
        <v>1543</v>
      </c>
      <c r="N657" s="295"/>
      <c r="O657" s="209"/>
      <c r="P657" s="25"/>
      <c r="Q657" s="347">
        <v>7.46</v>
      </c>
      <c r="R657" s="26"/>
      <c r="S657" s="420">
        <f t="shared" si="77"/>
        <v>27.378200000000003</v>
      </c>
      <c r="T657" s="420">
        <f t="shared" si="75"/>
        <v>5.968</v>
      </c>
      <c r="U657" s="420">
        <f t="shared" si="76"/>
        <v>1.492</v>
      </c>
      <c r="V657" s="118"/>
      <c r="W657" s="424">
        <f t="shared" si="69"/>
        <v>34.838200000000001</v>
      </c>
      <c r="X657" s="424">
        <f t="shared" si="70"/>
        <v>38.322020000000002</v>
      </c>
    </row>
    <row r="658" spans="1:24" s="119" customFormat="1" ht="24.9" hidden="1" customHeight="1">
      <c r="A658" s="296">
        <v>179</v>
      </c>
      <c r="B658" s="207" t="s">
        <v>1541</v>
      </c>
      <c r="C658" s="303" t="s">
        <v>1721</v>
      </c>
      <c r="D658" s="207" t="s">
        <v>235</v>
      </c>
      <c r="E658" s="298">
        <v>1</v>
      </c>
      <c r="F658" s="207" t="s">
        <v>236</v>
      </c>
      <c r="G658" s="208">
        <v>418</v>
      </c>
      <c r="H658" s="208">
        <v>80</v>
      </c>
      <c r="I658" s="299">
        <v>20</v>
      </c>
      <c r="J658" s="218"/>
      <c r="K658" s="208">
        <v>42.507080000000002</v>
      </c>
      <c r="L658" s="208"/>
      <c r="M658" s="208" t="s">
        <v>1543</v>
      </c>
      <c r="N658" s="295"/>
      <c r="O658" s="209"/>
      <c r="P658" s="25"/>
      <c r="Q658" s="347">
        <v>7.46</v>
      </c>
      <c r="R658" s="302"/>
      <c r="S658" s="420">
        <f t="shared" si="77"/>
        <v>31.1828</v>
      </c>
      <c r="T658" s="420">
        <f t="shared" si="75"/>
        <v>5.968</v>
      </c>
      <c r="U658" s="420">
        <f t="shared" si="76"/>
        <v>1.492</v>
      </c>
      <c r="V658" s="118"/>
      <c r="W658" s="424">
        <f t="shared" si="69"/>
        <v>38.642800000000001</v>
      </c>
      <c r="X658" s="424">
        <f t="shared" si="70"/>
        <v>42.507080000000002</v>
      </c>
    </row>
    <row r="659" spans="1:24" s="119" customFormat="1" ht="24.9" hidden="1" customHeight="1">
      <c r="A659" s="296">
        <v>180</v>
      </c>
      <c r="B659" s="207" t="s">
        <v>1541</v>
      </c>
      <c r="C659" s="303" t="s">
        <v>1722</v>
      </c>
      <c r="D659" s="207" t="s">
        <v>235</v>
      </c>
      <c r="E659" s="298">
        <v>1</v>
      </c>
      <c r="F659" s="207" t="s">
        <v>236</v>
      </c>
      <c r="G659" s="208">
        <v>367</v>
      </c>
      <c r="H659" s="208">
        <v>80</v>
      </c>
      <c r="I659" s="299">
        <v>20</v>
      </c>
      <c r="J659" s="218"/>
      <c r="K659" s="208">
        <v>38.322020000000002</v>
      </c>
      <c r="L659" s="208"/>
      <c r="M659" s="208" t="s">
        <v>1543</v>
      </c>
      <c r="N659" s="295"/>
      <c r="O659" s="209"/>
      <c r="P659" s="25"/>
      <c r="Q659" s="347">
        <v>7.46</v>
      </c>
      <c r="R659" s="26"/>
      <c r="S659" s="420">
        <f t="shared" si="77"/>
        <v>27.378200000000003</v>
      </c>
      <c r="T659" s="420">
        <f t="shared" si="75"/>
        <v>5.968</v>
      </c>
      <c r="U659" s="420">
        <f t="shared" si="76"/>
        <v>1.492</v>
      </c>
      <c r="V659" s="118"/>
      <c r="W659" s="424">
        <f t="shared" si="69"/>
        <v>34.838200000000001</v>
      </c>
      <c r="X659" s="424">
        <f t="shared" si="70"/>
        <v>38.322020000000002</v>
      </c>
    </row>
    <row r="660" spans="1:24" s="119" customFormat="1" ht="24.9" hidden="1" customHeight="1">
      <c r="A660" s="296">
        <v>181</v>
      </c>
      <c r="B660" s="207" t="s">
        <v>1541</v>
      </c>
      <c r="C660" s="303" t="s">
        <v>1723</v>
      </c>
      <c r="D660" s="207" t="s">
        <v>235</v>
      </c>
      <c r="E660" s="298">
        <v>1</v>
      </c>
      <c r="F660" s="207" t="s">
        <v>236</v>
      </c>
      <c r="G660" s="208">
        <v>418</v>
      </c>
      <c r="H660" s="208">
        <v>80</v>
      </c>
      <c r="I660" s="299">
        <v>20</v>
      </c>
      <c r="J660" s="218"/>
      <c r="K660" s="208">
        <v>42.507080000000002</v>
      </c>
      <c r="L660" s="208"/>
      <c r="M660" s="208" t="s">
        <v>1543</v>
      </c>
      <c r="N660" s="295"/>
      <c r="O660" s="209"/>
      <c r="P660" s="25"/>
      <c r="Q660" s="347">
        <v>7.46</v>
      </c>
      <c r="R660" s="26"/>
      <c r="S660" s="420">
        <f t="shared" si="77"/>
        <v>31.1828</v>
      </c>
      <c r="T660" s="420">
        <f t="shared" si="75"/>
        <v>5.968</v>
      </c>
      <c r="U660" s="420">
        <f t="shared" si="76"/>
        <v>1.492</v>
      </c>
      <c r="V660" s="118"/>
      <c r="W660" s="424">
        <f t="shared" si="69"/>
        <v>38.642800000000001</v>
      </c>
      <c r="X660" s="424">
        <f t="shared" si="70"/>
        <v>42.507080000000002</v>
      </c>
    </row>
    <row r="661" spans="1:24" s="119" customFormat="1" ht="24.9" hidden="1" customHeight="1">
      <c r="A661" s="296">
        <v>182</v>
      </c>
      <c r="B661" s="207" t="s">
        <v>1541</v>
      </c>
      <c r="C661" s="303" t="s">
        <v>1724</v>
      </c>
      <c r="D661" s="207" t="s">
        <v>235</v>
      </c>
      <c r="E661" s="298">
        <v>1</v>
      </c>
      <c r="F661" s="207" t="s">
        <v>236</v>
      </c>
      <c r="G661" s="208">
        <v>367</v>
      </c>
      <c r="H661" s="208">
        <v>80</v>
      </c>
      <c r="I661" s="299">
        <v>20</v>
      </c>
      <c r="J661" s="218"/>
      <c r="K661" s="208">
        <v>38.322020000000002</v>
      </c>
      <c r="L661" s="208"/>
      <c r="M661" s="208" t="s">
        <v>1543</v>
      </c>
      <c r="N661" s="295"/>
      <c r="O661" s="209"/>
      <c r="P661" s="25"/>
      <c r="Q661" s="347">
        <v>7.46</v>
      </c>
      <c r="R661" s="302"/>
      <c r="S661" s="420">
        <f t="shared" si="77"/>
        <v>27.378200000000003</v>
      </c>
      <c r="T661" s="420">
        <f t="shared" si="75"/>
        <v>5.968</v>
      </c>
      <c r="U661" s="420">
        <f t="shared" si="76"/>
        <v>1.492</v>
      </c>
      <c r="V661" s="118"/>
      <c r="W661" s="424">
        <f t="shared" si="69"/>
        <v>34.838200000000001</v>
      </c>
      <c r="X661" s="424">
        <f t="shared" si="70"/>
        <v>38.322020000000002</v>
      </c>
    </row>
    <row r="662" spans="1:24" s="119" customFormat="1" ht="24.9" hidden="1" customHeight="1">
      <c r="A662" s="296">
        <v>183</v>
      </c>
      <c r="B662" s="207" t="s">
        <v>1541</v>
      </c>
      <c r="C662" s="303" t="s">
        <v>1725</v>
      </c>
      <c r="D662" s="207" t="s">
        <v>235</v>
      </c>
      <c r="E662" s="298">
        <v>1</v>
      </c>
      <c r="F662" s="207" t="s">
        <v>236</v>
      </c>
      <c r="G662" s="208">
        <v>418</v>
      </c>
      <c r="H662" s="208">
        <v>80</v>
      </c>
      <c r="I662" s="299">
        <v>20</v>
      </c>
      <c r="J662" s="218"/>
      <c r="K662" s="208">
        <v>42.507080000000002</v>
      </c>
      <c r="L662" s="208"/>
      <c r="M662" s="208" t="s">
        <v>1543</v>
      </c>
      <c r="N662" s="295"/>
      <c r="O662" s="209"/>
      <c r="P662" s="25"/>
      <c r="Q662" s="347">
        <v>7.46</v>
      </c>
      <c r="R662" s="26"/>
      <c r="S662" s="420">
        <f t="shared" si="77"/>
        <v>31.1828</v>
      </c>
      <c r="T662" s="420">
        <f t="shared" si="75"/>
        <v>5.968</v>
      </c>
      <c r="U662" s="420">
        <f t="shared" si="76"/>
        <v>1.492</v>
      </c>
      <c r="V662" s="118"/>
      <c r="W662" s="424">
        <f t="shared" si="69"/>
        <v>38.642800000000001</v>
      </c>
      <c r="X662" s="424">
        <f t="shared" si="70"/>
        <v>42.507080000000002</v>
      </c>
    </row>
    <row r="663" spans="1:24" s="119" customFormat="1" ht="24.9" hidden="1" customHeight="1">
      <c r="A663" s="296">
        <v>184</v>
      </c>
      <c r="B663" s="207" t="s">
        <v>1541</v>
      </c>
      <c r="C663" s="303" t="s">
        <v>1726</v>
      </c>
      <c r="D663" s="207" t="s">
        <v>235</v>
      </c>
      <c r="E663" s="298">
        <v>1</v>
      </c>
      <c r="F663" s="207" t="s">
        <v>236</v>
      </c>
      <c r="G663" s="208">
        <v>367</v>
      </c>
      <c r="H663" s="208">
        <v>80</v>
      </c>
      <c r="I663" s="299">
        <v>20</v>
      </c>
      <c r="J663" s="218"/>
      <c r="K663" s="208">
        <v>38.322020000000002</v>
      </c>
      <c r="L663" s="208"/>
      <c r="M663" s="208" t="s">
        <v>1543</v>
      </c>
      <c r="N663" s="295"/>
      <c r="O663" s="209"/>
      <c r="P663" s="25"/>
      <c r="Q663" s="347">
        <v>7.46</v>
      </c>
      <c r="R663" s="26"/>
      <c r="S663" s="420">
        <f t="shared" si="77"/>
        <v>27.378200000000003</v>
      </c>
      <c r="T663" s="420">
        <f t="shared" si="75"/>
        <v>5.968</v>
      </c>
      <c r="U663" s="420">
        <f t="shared" si="76"/>
        <v>1.492</v>
      </c>
      <c r="V663" s="118"/>
      <c r="W663" s="424">
        <f t="shared" si="69"/>
        <v>34.838200000000001</v>
      </c>
      <c r="X663" s="424">
        <f t="shared" si="70"/>
        <v>38.322020000000002</v>
      </c>
    </row>
    <row r="664" spans="1:24" s="119" customFormat="1" ht="24.9" hidden="1" customHeight="1">
      <c r="A664" s="296">
        <v>185</v>
      </c>
      <c r="B664" s="207" t="s">
        <v>1541</v>
      </c>
      <c r="C664" s="303" t="s">
        <v>1727</v>
      </c>
      <c r="D664" s="207" t="s">
        <v>235</v>
      </c>
      <c r="E664" s="298">
        <v>1</v>
      </c>
      <c r="F664" s="207" t="s">
        <v>236</v>
      </c>
      <c r="G664" s="208">
        <v>60</v>
      </c>
      <c r="H664" s="208">
        <v>20</v>
      </c>
      <c r="I664" s="299">
        <v>20</v>
      </c>
      <c r="J664" s="218"/>
      <c r="K664" s="208">
        <v>184</v>
      </c>
      <c r="L664" s="208"/>
      <c r="M664" s="208" t="s">
        <v>1543</v>
      </c>
      <c r="N664" s="295"/>
      <c r="O664" s="209"/>
      <c r="P664" s="25"/>
      <c r="Q664" s="347">
        <v>184</v>
      </c>
      <c r="R664" s="302"/>
      <c r="S664" s="420">
        <f>Q664*G664/100</f>
        <v>110.4</v>
      </c>
      <c r="T664" s="420">
        <f>Q664*H664/100</f>
        <v>36.799999999999997</v>
      </c>
      <c r="U664" s="420">
        <f>Q664*I664/100</f>
        <v>36.799999999999997</v>
      </c>
      <c r="V664" s="118"/>
      <c r="W664" s="424">
        <f>S664+T664+U664</f>
        <v>184</v>
      </c>
      <c r="X664" s="424">
        <f>W664*1.1</f>
        <v>202.4</v>
      </c>
    </row>
    <row r="665" spans="1:24" s="119" customFormat="1" ht="24.9" hidden="1" customHeight="1">
      <c r="A665" s="296">
        <v>186</v>
      </c>
      <c r="B665" s="207" t="s">
        <v>1541</v>
      </c>
      <c r="C665" s="303" t="s">
        <v>1728</v>
      </c>
      <c r="D665" s="207" t="s">
        <v>235</v>
      </c>
      <c r="E665" s="298">
        <v>1</v>
      </c>
      <c r="F665" s="207" t="s">
        <v>236</v>
      </c>
      <c r="G665" s="208">
        <v>20</v>
      </c>
      <c r="H665" s="208">
        <v>20</v>
      </c>
      <c r="I665" s="299">
        <v>15</v>
      </c>
      <c r="J665" s="218"/>
      <c r="K665" s="208">
        <v>101.19999999999999</v>
      </c>
      <c r="L665" s="208"/>
      <c r="M665" s="208" t="s">
        <v>1543</v>
      </c>
      <c r="N665" s="295"/>
      <c r="O665" s="209"/>
      <c r="P665" s="25"/>
      <c r="Q665" s="347">
        <v>184</v>
      </c>
      <c r="R665" s="302"/>
      <c r="S665" s="420">
        <f>Q665*G665/100</f>
        <v>36.799999999999997</v>
      </c>
      <c r="T665" s="420">
        <f>Q665*H665/100</f>
        <v>36.799999999999997</v>
      </c>
      <c r="U665" s="420">
        <f>Q665*I665/100</f>
        <v>27.6</v>
      </c>
      <c r="V665" s="118"/>
      <c r="W665" s="424">
        <f>S665+T665+U665</f>
        <v>101.19999999999999</v>
      </c>
      <c r="X665" s="424">
        <f>W665*1.1</f>
        <v>111.32</v>
      </c>
    </row>
    <row r="666" spans="1:24" s="307" customFormat="1" ht="24.9" hidden="1" customHeight="1">
      <c r="A666" s="234"/>
      <c r="B666" s="235"/>
      <c r="C666" s="246"/>
      <c r="D666" s="237"/>
      <c r="E666" s="238">
        <f>SUM(E480:E665)</f>
        <v>186</v>
      </c>
      <c r="F666" s="237"/>
      <c r="G666" s="239">
        <v>630</v>
      </c>
      <c r="H666" s="239">
        <v>226</v>
      </c>
      <c r="I666" s="240">
        <v>180</v>
      </c>
      <c r="J666" s="241">
        <f>ROUND(I666*H666*G666/1000000,3)</f>
        <v>25.628</v>
      </c>
      <c r="K666" s="242">
        <f>SUM(K480:K665)</f>
        <v>4905.1942799999979</v>
      </c>
      <c r="L666" s="239">
        <f>K666+140</f>
        <v>5045.1942799999979</v>
      </c>
      <c r="M666" s="239"/>
      <c r="N666" s="243"/>
      <c r="O666" s="244"/>
      <c r="P666" s="245"/>
      <c r="Q666" s="348"/>
      <c r="R666" s="302"/>
      <c r="S666" s="304"/>
      <c r="T666" s="305"/>
      <c r="U666" s="304"/>
      <c r="V666" s="306"/>
      <c r="W666" s="424">
        <f t="shared" si="69"/>
        <v>0</v>
      </c>
      <c r="X666" s="424">
        <f t="shared" si="70"/>
        <v>0</v>
      </c>
    </row>
    <row r="667" spans="1:24" s="119" customFormat="1" ht="24.9" hidden="1" customHeight="1">
      <c r="A667" s="296">
        <v>1</v>
      </c>
      <c r="B667" s="207" t="s">
        <v>1729</v>
      </c>
      <c r="C667" s="303" t="s">
        <v>1730</v>
      </c>
      <c r="D667" s="207" t="s">
        <v>235</v>
      </c>
      <c r="E667" s="298">
        <v>1</v>
      </c>
      <c r="F667" s="207" t="s">
        <v>236</v>
      </c>
      <c r="G667" s="208">
        <v>364</v>
      </c>
      <c r="H667" s="208">
        <v>128</v>
      </c>
      <c r="I667" s="299">
        <v>80</v>
      </c>
      <c r="J667" s="218"/>
      <c r="K667" s="208">
        <v>526.24</v>
      </c>
      <c r="L667" s="208"/>
      <c r="M667" s="208" t="s">
        <v>1543</v>
      </c>
      <c r="N667" s="295"/>
      <c r="O667" s="209"/>
      <c r="P667" s="25"/>
      <c r="Q667" s="347">
        <v>184</v>
      </c>
      <c r="R667" s="218" t="s">
        <v>1731</v>
      </c>
      <c r="S667" s="420">
        <f t="shared" ref="S667:S674" si="78">Q667*G667/100</f>
        <v>669.76</v>
      </c>
      <c r="T667" s="420">
        <f t="shared" ref="T667:T674" si="79">Q667*H667/100</f>
        <v>235.52</v>
      </c>
      <c r="U667" s="420">
        <f t="shared" ref="U667:U674" si="80">Q667*I667/100</f>
        <v>147.19999999999999</v>
      </c>
      <c r="V667" s="118"/>
      <c r="W667" s="424">
        <f t="shared" ref="W667:W684" si="81">S667+T667+U667</f>
        <v>1052.48</v>
      </c>
      <c r="X667" s="424">
        <f t="shared" ref="X667:X684" si="82">W667*1.1</f>
        <v>1157.7280000000001</v>
      </c>
    </row>
    <row r="668" spans="1:24" s="119" customFormat="1" ht="24.9" hidden="1" customHeight="1">
      <c r="A668" s="296">
        <v>2</v>
      </c>
      <c r="B668" s="207" t="s">
        <v>1729</v>
      </c>
      <c r="C668" s="303" t="s">
        <v>1732</v>
      </c>
      <c r="D668" s="207" t="s">
        <v>235</v>
      </c>
      <c r="E668" s="298">
        <v>1</v>
      </c>
      <c r="F668" s="207" t="s">
        <v>236</v>
      </c>
      <c r="G668" s="208">
        <v>313</v>
      </c>
      <c r="H668" s="208">
        <v>129</v>
      </c>
      <c r="I668" s="299">
        <v>60</v>
      </c>
      <c r="J668" s="218"/>
      <c r="K668" s="208">
        <v>461.84</v>
      </c>
      <c r="L668" s="208"/>
      <c r="M668" s="208" t="s">
        <v>1543</v>
      </c>
      <c r="N668" s="295"/>
      <c r="O668" s="209"/>
      <c r="P668" s="25"/>
      <c r="Q668" s="347">
        <v>184</v>
      </c>
      <c r="R668" s="218" t="s">
        <v>1733</v>
      </c>
      <c r="S668" s="420">
        <f t="shared" si="78"/>
        <v>575.91999999999996</v>
      </c>
      <c r="T668" s="420">
        <f t="shared" si="79"/>
        <v>237.36</v>
      </c>
      <c r="U668" s="420">
        <f t="shared" si="80"/>
        <v>110.4</v>
      </c>
      <c r="V668" s="118"/>
      <c r="W668" s="424">
        <f t="shared" si="81"/>
        <v>923.68</v>
      </c>
      <c r="X668" s="424">
        <f t="shared" si="82"/>
        <v>1016.048</v>
      </c>
    </row>
    <row r="669" spans="1:24" s="119" customFormat="1" ht="24.9" hidden="1" customHeight="1">
      <c r="A669" s="296">
        <v>3</v>
      </c>
      <c r="B669" s="207" t="s">
        <v>1729</v>
      </c>
      <c r="C669" s="303" t="s">
        <v>1734</v>
      </c>
      <c r="D669" s="207" t="s">
        <v>235</v>
      </c>
      <c r="E669" s="298">
        <v>1</v>
      </c>
      <c r="F669" s="207" t="s">
        <v>236</v>
      </c>
      <c r="G669" s="208">
        <v>600</v>
      </c>
      <c r="H669" s="208">
        <v>100</v>
      </c>
      <c r="I669" s="299">
        <v>80</v>
      </c>
      <c r="J669" s="218"/>
      <c r="K669" s="208">
        <v>717.6</v>
      </c>
      <c r="L669" s="208"/>
      <c r="M669" s="208" t="s">
        <v>1543</v>
      </c>
      <c r="N669" s="295"/>
      <c r="O669" s="209"/>
      <c r="P669" s="25"/>
      <c r="Q669" s="347">
        <v>184</v>
      </c>
      <c r="R669" s="218" t="s">
        <v>1735</v>
      </c>
      <c r="S669" s="420">
        <f t="shared" si="78"/>
        <v>1104</v>
      </c>
      <c r="T669" s="420">
        <f t="shared" si="79"/>
        <v>184</v>
      </c>
      <c r="U669" s="420">
        <f t="shared" si="80"/>
        <v>147.19999999999999</v>
      </c>
      <c r="V669" s="118"/>
      <c r="W669" s="424">
        <f t="shared" si="81"/>
        <v>1435.2</v>
      </c>
      <c r="X669" s="424">
        <f t="shared" si="82"/>
        <v>1578.7200000000003</v>
      </c>
    </row>
    <row r="670" spans="1:24" s="119" customFormat="1" ht="24.9" hidden="1" customHeight="1">
      <c r="A670" s="296">
        <v>4</v>
      </c>
      <c r="B670" s="207" t="s">
        <v>1729</v>
      </c>
      <c r="C670" s="303" t="s">
        <v>1736</v>
      </c>
      <c r="D670" s="207" t="s">
        <v>235</v>
      </c>
      <c r="E670" s="298">
        <v>1</v>
      </c>
      <c r="F670" s="207" t="s">
        <v>236</v>
      </c>
      <c r="G670" s="208">
        <v>650</v>
      </c>
      <c r="H670" s="208">
        <v>100</v>
      </c>
      <c r="I670" s="299">
        <v>80</v>
      </c>
      <c r="J670" s="218"/>
      <c r="K670" s="208">
        <v>763.6</v>
      </c>
      <c r="L670" s="208"/>
      <c r="M670" s="208" t="s">
        <v>1543</v>
      </c>
      <c r="N670" s="295"/>
      <c r="O670" s="209"/>
      <c r="P670" s="25"/>
      <c r="Q670" s="347">
        <v>184</v>
      </c>
      <c r="R670" s="218" t="s">
        <v>1737</v>
      </c>
      <c r="S670" s="420">
        <f t="shared" si="78"/>
        <v>1196</v>
      </c>
      <c r="T670" s="420">
        <f t="shared" si="79"/>
        <v>184</v>
      </c>
      <c r="U670" s="420">
        <f t="shared" si="80"/>
        <v>147.19999999999999</v>
      </c>
      <c r="V670" s="118"/>
      <c r="W670" s="424">
        <f t="shared" si="81"/>
        <v>1527.2</v>
      </c>
      <c r="X670" s="424">
        <f t="shared" si="82"/>
        <v>1679.92</v>
      </c>
    </row>
    <row r="671" spans="1:24" s="119" customFormat="1" ht="24.9" hidden="1" customHeight="1">
      <c r="A671" s="296">
        <v>5</v>
      </c>
      <c r="B671" s="207" t="s">
        <v>1729</v>
      </c>
      <c r="C671" s="303" t="s">
        <v>1738</v>
      </c>
      <c r="D671" s="207" t="s">
        <v>235</v>
      </c>
      <c r="E671" s="298">
        <v>1</v>
      </c>
      <c r="F671" s="207" t="s">
        <v>236</v>
      </c>
      <c r="G671" s="208">
        <v>655</v>
      </c>
      <c r="H671" s="208">
        <v>155</v>
      </c>
      <c r="I671" s="299">
        <v>97</v>
      </c>
      <c r="J671" s="218"/>
      <c r="K671" s="208">
        <v>834.44</v>
      </c>
      <c r="L671" s="208"/>
      <c r="M671" s="208" t="s">
        <v>1543</v>
      </c>
      <c r="N671" s="295"/>
      <c r="O671" s="209"/>
      <c r="P671" s="25"/>
      <c r="Q671" s="347">
        <v>184</v>
      </c>
      <c r="R671" s="218" t="s">
        <v>1739</v>
      </c>
      <c r="S671" s="420">
        <f t="shared" si="78"/>
        <v>1205.2</v>
      </c>
      <c r="T671" s="420">
        <f t="shared" si="79"/>
        <v>285.2</v>
      </c>
      <c r="U671" s="420">
        <f t="shared" si="80"/>
        <v>178.48</v>
      </c>
      <c r="V671" s="118"/>
      <c r="W671" s="424">
        <f t="shared" si="81"/>
        <v>1668.88</v>
      </c>
      <c r="X671" s="424">
        <f t="shared" si="82"/>
        <v>1835.7680000000003</v>
      </c>
    </row>
    <row r="672" spans="1:24" s="119" customFormat="1" ht="24.9" hidden="1" customHeight="1">
      <c r="A672" s="296">
        <v>6</v>
      </c>
      <c r="B672" s="207" t="s">
        <v>1729</v>
      </c>
      <c r="C672" s="303" t="s">
        <v>1740</v>
      </c>
      <c r="D672" s="207" t="s">
        <v>235</v>
      </c>
      <c r="E672" s="298">
        <v>1</v>
      </c>
      <c r="F672" s="207" t="s">
        <v>236</v>
      </c>
      <c r="G672" s="208">
        <v>550</v>
      </c>
      <c r="H672" s="208">
        <v>155</v>
      </c>
      <c r="I672" s="299">
        <v>97</v>
      </c>
      <c r="J672" s="218"/>
      <c r="K672" s="208">
        <v>737.84</v>
      </c>
      <c r="L672" s="208"/>
      <c r="M672" s="208" t="s">
        <v>1543</v>
      </c>
      <c r="N672" s="295"/>
      <c r="O672" s="209"/>
      <c r="P672" s="25"/>
      <c r="Q672" s="347">
        <v>184</v>
      </c>
      <c r="R672" s="218" t="s">
        <v>1737</v>
      </c>
      <c r="S672" s="420">
        <f t="shared" si="78"/>
        <v>1012</v>
      </c>
      <c r="T672" s="420">
        <f t="shared" si="79"/>
        <v>285.2</v>
      </c>
      <c r="U672" s="420">
        <f t="shared" si="80"/>
        <v>178.48</v>
      </c>
      <c r="V672" s="118"/>
      <c r="W672" s="424">
        <f t="shared" si="81"/>
        <v>1475.68</v>
      </c>
      <c r="X672" s="424">
        <f t="shared" si="82"/>
        <v>1623.2480000000003</v>
      </c>
    </row>
    <row r="673" spans="1:24" s="119" customFormat="1" ht="24.9" hidden="1" customHeight="1">
      <c r="A673" s="296">
        <v>7</v>
      </c>
      <c r="B673" s="207" t="s">
        <v>1729</v>
      </c>
      <c r="C673" s="303" t="s">
        <v>1741</v>
      </c>
      <c r="D673" s="207" t="s">
        <v>235</v>
      </c>
      <c r="E673" s="298">
        <v>1</v>
      </c>
      <c r="F673" s="207" t="s">
        <v>236</v>
      </c>
      <c r="G673" s="208">
        <v>640</v>
      </c>
      <c r="H673" s="208">
        <v>155</v>
      </c>
      <c r="I673" s="299">
        <v>97</v>
      </c>
      <c r="J673" s="218"/>
      <c r="K673" s="208">
        <v>820.64</v>
      </c>
      <c r="L673" s="208"/>
      <c r="M673" s="208" t="s">
        <v>1543</v>
      </c>
      <c r="N673" s="295"/>
      <c r="O673" s="209"/>
      <c r="P673" s="25"/>
      <c r="Q673" s="347">
        <v>184</v>
      </c>
      <c r="R673" s="218" t="s">
        <v>1742</v>
      </c>
      <c r="S673" s="420">
        <f t="shared" si="78"/>
        <v>1177.5999999999999</v>
      </c>
      <c r="T673" s="420">
        <f t="shared" si="79"/>
        <v>285.2</v>
      </c>
      <c r="U673" s="420">
        <f t="shared" si="80"/>
        <v>178.48</v>
      </c>
      <c r="V673" s="118"/>
      <c r="W673" s="424">
        <f t="shared" si="81"/>
        <v>1641.28</v>
      </c>
      <c r="X673" s="424">
        <f t="shared" si="82"/>
        <v>1805.4080000000001</v>
      </c>
    </row>
    <row r="674" spans="1:24" s="119" customFormat="1" ht="24.9" hidden="1" customHeight="1">
      <c r="A674" s="296">
        <v>8</v>
      </c>
      <c r="B674" s="207" t="s">
        <v>1729</v>
      </c>
      <c r="C674" s="303" t="s">
        <v>1743</v>
      </c>
      <c r="D674" s="207" t="s">
        <v>235</v>
      </c>
      <c r="E674" s="298">
        <v>1</v>
      </c>
      <c r="F674" s="207" t="s">
        <v>236</v>
      </c>
      <c r="G674" s="208">
        <v>655</v>
      </c>
      <c r="H674" s="208">
        <v>155</v>
      </c>
      <c r="I674" s="299">
        <v>97</v>
      </c>
      <c r="J674" s="218"/>
      <c r="K674" s="208">
        <v>834.44</v>
      </c>
      <c r="L674" s="208"/>
      <c r="M674" s="208" t="s">
        <v>1543</v>
      </c>
      <c r="N674" s="295"/>
      <c r="O674" s="209"/>
      <c r="P674" s="25"/>
      <c r="Q674" s="347">
        <v>184</v>
      </c>
      <c r="R674" s="218" t="s">
        <v>1742</v>
      </c>
      <c r="S674" s="420">
        <f t="shared" si="78"/>
        <v>1205.2</v>
      </c>
      <c r="T674" s="420">
        <f t="shared" si="79"/>
        <v>285.2</v>
      </c>
      <c r="U674" s="420">
        <f t="shared" si="80"/>
        <v>178.48</v>
      </c>
      <c r="V674" s="118"/>
      <c r="W674" s="424">
        <f t="shared" si="81"/>
        <v>1668.88</v>
      </c>
      <c r="X674" s="424">
        <f t="shared" si="82"/>
        <v>1835.7680000000003</v>
      </c>
    </row>
    <row r="675" spans="1:24" s="307" customFormat="1" ht="24.9" hidden="1" customHeight="1">
      <c r="A675" s="234"/>
      <c r="B675" s="235"/>
      <c r="C675" s="246"/>
      <c r="D675" s="237"/>
      <c r="E675" s="238">
        <f>SUM(E667:E674)</f>
        <v>8</v>
      </c>
      <c r="F675" s="237"/>
      <c r="G675" s="239">
        <v>620</v>
      </c>
      <c r="H675" s="239">
        <v>225</v>
      </c>
      <c r="I675" s="240">
        <v>230</v>
      </c>
      <c r="J675" s="241">
        <f>ROUND(I675*H675*G675/1000000,3)</f>
        <v>32.085000000000001</v>
      </c>
      <c r="K675" s="242">
        <f>SUM(K667:K674)</f>
        <v>5696.6399999999994</v>
      </c>
      <c r="L675" s="239">
        <f>K675+140</f>
        <v>5836.6399999999994</v>
      </c>
      <c r="M675" s="239"/>
      <c r="N675" s="243"/>
      <c r="O675" s="244"/>
      <c r="P675" s="245"/>
      <c r="Q675" s="348"/>
      <c r="R675" s="241">
        <f>ROUND(Q675*P675*O675/1000000,3)</f>
        <v>0</v>
      </c>
      <c r="S675" s="304"/>
      <c r="T675" s="305"/>
      <c r="U675" s="304"/>
      <c r="V675" s="306"/>
      <c r="W675" s="424">
        <f t="shared" si="81"/>
        <v>0</v>
      </c>
      <c r="X675" s="424">
        <f t="shared" si="82"/>
        <v>0</v>
      </c>
    </row>
    <row r="676" spans="1:24" s="119" customFormat="1" ht="24.9" hidden="1" customHeight="1">
      <c r="A676" s="296">
        <v>1</v>
      </c>
      <c r="B676" s="207" t="s">
        <v>1744</v>
      </c>
      <c r="C676" s="303" t="s">
        <v>1745</v>
      </c>
      <c r="D676" s="207" t="s">
        <v>235</v>
      </c>
      <c r="E676" s="298">
        <v>1</v>
      </c>
      <c r="F676" s="207" t="s">
        <v>236</v>
      </c>
      <c r="G676" s="208">
        <v>652</v>
      </c>
      <c r="H676" s="208">
        <v>100</v>
      </c>
      <c r="I676" s="299">
        <v>80</v>
      </c>
      <c r="J676" s="217"/>
      <c r="K676" s="299">
        <v>765.44</v>
      </c>
      <c r="L676" s="208"/>
      <c r="M676" s="208" t="s">
        <v>1543</v>
      </c>
      <c r="N676" s="295"/>
      <c r="O676" s="209"/>
      <c r="P676" s="25"/>
      <c r="Q676" s="347">
        <v>184</v>
      </c>
      <c r="R676" s="217" t="s">
        <v>1742</v>
      </c>
      <c r="S676" s="420">
        <f t="shared" ref="S676:S683" si="83">Q676*G676/100</f>
        <v>1199.68</v>
      </c>
      <c r="T676" s="420">
        <f t="shared" ref="T676:T683" si="84">Q676*H676/100</f>
        <v>184</v>
      </c>
      <c r="U676" s="420">
        <f t="shared" ref="U676:U683" si="85">Q676*I676/100</f>
        <v>147.19999999999999</v>
      </c>
      <c r="V676" s="118"/>
      <c r="W676" s="424">
        <f t="shared" si="81"/>
        <v>1530.88</v>
      </c>
      <c r="X676" s="424">
        <f t="shared" si="82"/>
        <v>1683.9680000000003</v>
      </c>
    </row>
    <row r="677" spans="1:24" s="119" customFormat="1" ht="24.9" hidden="1" customHeight="1">
      <c r="A677" s="296">
        <v>2</v>
      </c>
      <c r="B677" s="207" t="s">
        <v>1744</v>
      </c>
      <c r="C677" s="303" t="s">
        <v>1746</v>
      </c>
      <c r="D677" s="207" t="s">
        <v>235</v>
      </c>
      <c r="E677" s="298">
        <v>1</v>
      </c>
      <c r="F677" s="207" t="s">
        <v>236</v>
      </c>
      <c r="G677" s="208">
        <v>600</v>
      </c>
      <c r="H677" s="208">
        <v>100</v>
      </c>
      <c r="I677" s="299">
        <v>80</v>
      </c>
      <c r="J677" s="218"/>
      <c r="K677" s="208">
        <v>717.6</v>
      </c>
      <c r="L677" s="208"/>
      <c r="M677" s="208" t="s">
        <v>1543</v>
      </c>
      <c r="N677" s="295"/>
      <c r="O677" s="209"/>
      <c r="P677" s="25"/>
      <c r="Q677" s="347">
        <v>184</v>
      </c>
      <c r="R677" s="218" t="s">
        <v>1735</v>
      </c>
      <c r="S677" s="420">
        <f t="shared" si="83"/>
        <v>1104</v>
      </c>
      <c r="T677" s="420">
        <f t="shared" si="84"/>
        <v>184</v>
      </c>
      <c r="U677" s="420">
        <f t="shared" si="85"/>
        <v>147.19999999999999</v>
      </c>
      <c r="V677" s="118"/>
      <c r="W677" s="424">
        <f t="shared" si="81"/>
        <v>1435.2</v>
      </c>
      <c r="X677" s="424">
        <f t="shared" si="82"/>
        <v>1578.7200000000003</v>
      </c>
    </row>
    <row r="678" spans="1:24" s="119" customFormat="1" ht="24.9" hidden="1" customHeight="1">
      <c r="A678" s="296">
        <v>3</v>
      </c>
      <c r="B678" s="207" t="s">
        <v>1744</v>
      </c>
      <c r="C678" s="303" t="s">
        <v>1747</v>
      </c>
      <c r="D678" s="207" t="s">
        <v>235</v>
      </c>
      <c r="E678" s="298">
        <v>1</v>
      </c>
      <c r="F678" s="207" t="s">
        <v>236</v>
      </c>
      <c r="G678" s="208">
        <v>652</v>
      </c>
      <c r="H678" s="208">
        <v>100</v>
      </c>
      <c r="I678" s="299">
        <v>80</v>
      </c>
      <c r="J678" s="218"/>
      <c r="K678" s="208">
        <v>765.44</v>
      </c>
      <c r="L678" s="208"/>
      <c r="M678" s="208" t="s">
        <v>1543</v>
      </c>
      <c r="N678" s="295"/>
      <c r="O678" s="209"/>
      <c r="P678" s="25"/>
      <c r="Q678" s="347">
        <v>184</v>
      </c>
      <c r="R678" s="218" t="s">
        <v>1737</v>
      </c>
      <c r="S678" s="420">
        <f t="shared" si="83"/>
        <v>1199.68</v>
      </c>
      <c r="T678" s="420">
        <f t="shared" si="84"/>
        <v>184</v>
      </c>
      <c r="U678" s="420">
        <f t="shared" si="85"/>
        <v>147.19999999999999</v>
      </c>
      <c r="V678" s="118"/>
      <c r="W678" s="424">
        <f t="shared" si="81"/>
        <v>1530.88</v>
      </c>
      <c r="X678" s="424">
        <f t="shared" si="82"/>
        <v>1683.9680000000003</v>
      </c>
    </row>
    <row r="679" spans="1:24" s="119" customFormat="1" ht="24.9" hidden="1" customHeight="1">
      <c r="A679" s="296">
        <v>4</v>
      </c>
      <c r="B679" s="207" t="s">
        <v>1744</v>
      </c>
      <c r="C679" s="303" t="s">
        <v>1748</v>
      </c>
      <c r="D679" s="207" t="s">
        <v>235</v>
      </c>
      <c r="E679" s="298">
        <v>1</v>
      </c>
      <c r="F679" s="207" t="s">
        <v>236</v>
      </c>
      <c r="G679" s="208">
        <v>617</v>
      </c>
      <c r="H679" s="208">
        <v>100</v>
      </c>
      <c r="I679" s="299">
        <v>80</v>
      </c>
      <c r="J679" s="218"/>
      <c r="K679" s="208">
        <v>733.24</v>
      </c>
      <c r="L679" s="208"/>
      <c r="M679" s="208" t="s">
        <v>1543</v>
      </c>
      <c r="N679" s="295"/>
      <c r="O679" s="209"/>
      <c r="P679" s="25"/>
      <c r="Q679" s="347">
        <v>184</v>
      </c>
      <c r="R679" s="218" t="s">
        <v>1735</v>
      </c>
      <c r="S679" s="420">
        <f t="shared" si="83"/>
        <v>1135.28</v>
      </c>
      <c r="T679" s="420">
        <f t="shared" si="84"/>
        <v>184</v>
      </c>
      <c r="U679" s="420">
        <f t="shared" si="85"/>
        <v>147.19999999999999</v>
      </c>
      <c r="V679" s="118"/>
      <c r="W679" s="424">
        <f t="shared" si="81"/>
        <v>1466.48</v>
      </c>
      <c r="X679" s="424">
        <f t="shared" si="82"/>
        <v>1613.1280000000002</v>
      </c>
    </row>
    <row r="680" spans="1:24" s="119" customFormat="1" ht="24.9" hidden="1" customHeight="1">
      <c r="A680" s="296">
        <v>5</v>
      </c>
      <c r="B680" s="207" t="s">
        <v>1744</v>
      </c>
      <c r="C680" s="303" t="s">
        <v>1749</v>
      </c>
      <c r="D680" s="207" t="s">
        <v>235</v>
      </c>
      <c r="E680" s="298">
        <v>1</v>
      </c>
      <c r="F680" s="207" t="s">
        <v>236</v>
      </c>
      <c r="G680" s="208">
        <v>652</v>
      </c>
      <c r="H680" s="208">
        <v>128</v>
      </c>
      <c r="I680" s="299">
        <v>172</v>
      </c>
      <c r="J680" s="218"/>
      <c r="K680" s="208">
        <v>875.84</v>
      </c>
      <c r="L680" s="208"/>
      <c r="M680" s="208" t="s">
        <v>1543</v>
      </c>
      <c r="N680" s="295"/>
      <c r="O680" s="209"/>
      <c r="P680" s="25"/>
      <c r="Q680" s="347">
        <v>184</v>
      </c>
      <c r="R680" s="218" t="s">
        <v>1737</v>
      </c>
      <c r="S680" s="420">
        <f t="shared" si="83"/>
        <v>1199.68</v>
      </c>
      <c r="T680" s="420">
        <f t="shared" si="84"/>
        <v>235.52</v>
      </c>
      <c r="U680" s="420">
        <f t="shared" si="85"/>
        <v>316.48</v>
      </c>
      <c r="V680" s="118"/>
      <c r="W680" s="424">
        <f t="shared" si="81"/>
        <v>1751.68</v>
      </c>
      <c r="X680" s="424">
        <f t="shared" si="82"/>
        <v>1926.8480000000002</v>
      </c>
    </row>
    <row r="681" spans="1:24" s="119" customFormat="1" ht="24.9" hidden="1" customHeight="1">
      <c r="A681" s="296">
        <v>6</v>
      </c>
      <c r="B681" s="207" t="s">
        <v>1744</v>
      </c>
      <c r="C681" s="303" t="s">
        <v>1750</v>
      </c>
      <c r="D681" s="207" t="s">
        <v>235</v>
      </c>
      <c r="E681" s="298">
        <v>1</v>
      </c>
      <c r="F681" s="207" t="s">
        <v>236</v>
      </c>
      <c r="G681" s="208">
        <v>652</v>
      </c>
      <c r="H681" s="208">
        <v>128</v>
      </c>
      <c r="I681" s="299">
        <v>172</v>
      </c>
      <c r="J681" s="218"/>
      <c r="K681" s="208">
        <v>875.84</v>
      </c>
      <c r="L681" s="208"/>
      <c r="M681" s="208" t="s">
        <v>1543</v>
      </c>
      <c r="N681" s="295"/>
      <c r="O681" s="209"/>
      <c r="P681" s="25"/>
      <c r="Q681" s="347">
        <v>184</v>
      </c>
      <c r="R681" s="218" t="s">
        <v>1739</v>
      </c>
      <c r="S681" s="420">
        <f t="shared" si="83"/>
        <v>1199.68</v>
      </c>
      <c r="T681" s="420">
        <f t="shared" si="84"/>
        <v>235.52</v>
      </c>
      <c r="U681" s="420">
        <f t="shared" si="85"/>
        <v>316.48</v>
      </c>
      <c r="V681" s="118"/>
      <c r="W681" s="424">
        <f t="shared" si="81"/>
        <v>1751.68</v>
      </c>
      <c r="X681" s="424">
        <f t="shared" si="82"/>
        <v>1926.8480000000002</v>
      </c>
    </row>
    <row r="682" spans="1:24" s="119" customFormat="1" ht="24.9" hidden="1" customHeight="1">
      <c r="A682" s="296">
        <v>7</v>
      </c>
      <c r="B682" s="207" t="s">
        <v>1744</v>
      </c>
      <c r="C682" s="303" t="s">
        <v>1751</v>
      </c>
      <c r="D682" s="207" t="s">
        <v>235</v>
      </c>
      <c r="E682" s="298">
        <v>1</v>
      </c>
      <c r="F682" s="207" t="s">
        <v>236</v>
      </c>
      <c r="G682" s="208">
        <v>652</v>
      </c>
      <c r="H682" s="208">
        <v>128</v>
      </c>
      <c r="I682" s="299">
        <v>172</v>
      </c>
      <c r="J682" s="218"/>
      <c r="K682" s="208">
        <v>875.84</v>
      </c>
      <c r="L682" s="208"/>
      <c r="M682" s="208" t="s">
        <v>1543</v>
      </c>
      <c r="N682" s="295"/>
      <c r="O682" s="209"/>
      <c r="P682" s="25"/>
      <c r="Q682" s="347">
        <v>184</v>
      </c>
      <c r="R682" s="218" t="s">
        <v>1742</v>
      </c>
      <c r="S682" s="420">
        <f t="shared" si="83"/>
        <v>1199.68</v>
      </c>
      <c r="T682" s="420">
        <f t="shared" si="84"/>
        <v>235.52</v>
      </c>
      <c r="U682" s="420">
        <f t="shared" si="85"/>
        <v>316.48</v>
      </c>
      <c r="V682" s="118"/>
      <c r="W682" s="424">
        <f t="shared" si="81"/>
        <v>1751.68</v>
      </c>
      <c r="X682" s="424">
        <f t="shared" si="82"/>
        <v>1926.8480000000002</v>
      </c>
    </row>
    <row r="683" spans="1:24" s="119" customFormat="1" ht="24.9" hidden="1" customHeight="1">
      <c r="A683" s="296">
        <v>8</v>
      </c>
      <c r="B683" s="207" t="s">
        <v>1744</v>
      </c>
      <c r="C683" s="303" t="s">
        <v>1752</v>
      </c>
      <c r="D683" s="207" t="s">
        <v>235</v>
      </c>
      <c r="E683" s="298">
        <v>1</v>
      </c>
      <c r="F683" s="207" t="s">
        <v>236</v>
      </c>
      <c r="G683" s="208">
        <v>638</v>
      </c>
      <c r="H683" s="208">
        <v>128</v>
      </c>
      <c r="I683" s="299">
        <v>172</v>
      </c>
      <c r="J683" s="218"/>
      <c r="K683" s="208">
        <v>862.96</v>
      </c>
      <c r="L683" s="208"/>
      <c r="M683" s="208" t="s">
        <v>1543</v>
      </c>
      <c r="N683" s="295"/>
      <c r="O683" s="209"/>
      <c r="P683" s="25"/>
      <c r="Q683" s="347">
        <v>184</v>
      </c>
      <c r="R683" s="218" t="s">
        <v>1742</v>
      </c>
      <c r="S683" s="420">
        <f t="shared" si="83"/>
        <v>1173.92</v>
      </c>
      <c r="T683" s="420">
        <f t="shared" si="84"/>
        <v>235.52</v>
      </c>
      <c r="U683" s="420">
        <f t="shared" si="85"/>
        <v>316.48</v>
      </c>
      <c r="V683" s="118"/>
      <c r="W683" s="424">
        <f t="shared" si="81"/>
        <v>1725.92</v>
      </c>
      <c r="X683" s="424">
        <f t="shared" si="82"/>
        <v>1898.5120000000002</v>
      </c>
    </row>
    <row r="684" spans="1:24" s="307" customFormat="1" ht="24.9" hidden="1" customHeight="1">
      <c r="A684" s="234"/>
      <c r="B684" s="235"/>
      <c r="C684" s="246"/>
      <c r="D684" s="237"/>
      <c r="E684" s="238">
        <f>SUM(E676:E683)</f>
        <v>8</v>
      </c>
      <c r="F684" s="237"/>
      <c r="G684" s="239">
        <v>620</v>
      </c>
      <c r="H684" s="239">
        <v>225</v>
      </c>
      <c r="I684" s="240">
        <v>230</v>
      </c>
      <c r="J684" s="241">
        <f>ROUND(I684*H684*G684/1000000,3)</f>
        <v>32.085000000000001</v>
      </c>
      <c r="K684" s="242">
        <f>SUM(K676:K683)</f>
        <v>6472.2000000000007</v>
      </c>
      <c r="L684" s="239">
        <f>K684+140</f>
        <v>6612.2000000000007</v>
      </c>
      <c r="M684" s="239"/>
      <c r="N684" s="243"/>
      <c r="O684" s="244"/>
      <c r="P684" s="245"/>
      <c r="Q684" s="348"/>
      <c r="R684" s="241">
        <f>ROUND(Q684*P684*O684/1000000,3)</f>
        <v>0</v>
      </c>
      <c r="S684" s="304"/>
      <c r="T684" s="305"/>
      <c r="U684" s="304"/>
      <c r="V684" s="306"/>
      <c r="W684" s="424">
        <f t="shared" si="81"/>
        <v>0</v>
      </c>
      <c r="X684" s="424">
        <f t="shared" si="82"/>
        <v>0</v>
      </c>
    </row>
    <row r="685" spans="1:24" s="119" customFormat="1" ht="24.75" hidden="1" customHeight="1">
      <c r="A685" s="296">
        <v>1</v>
      </c>
      <c r="B685" s="207" t="s">
        <v>1753</v>
      </c>
      <c r="C685" s="303" t="s">
        <v>1754</v>
      </c>
      <c r="D685" s="207" t="s">
        <v>235</v>
      </c>
      <c r="E685" s="298">
        <v>1</v>
      </c>
      <c r="F685" s="207" t="s">
        <v>236</v>
      </c>
      <c r="G685" s="208">
        <v>364</v>
      </c>
      <c r="H685" s="208">
        <v>102</v>
      </c>
      <c r="I685" s="299">
        <v>80</v>
      </c>
      <c r="J685" s="218"/>
      <c r="K685" s="208">
        <v>502.32000000000005</v>
      </c>
      <c r="L685" s="208"/>
      <c r="M685" s="208" t="s">
        <v>1543</v>
      </c>
      <c r="N685" s="295"/>
      <c r="O685" s="209"/>
      <c r="P685" s="25"/>
      <c r="Q685" s="347">
        <v>184</v>
      </c>
      <c r="R685" s="218" t="s">
        <v>1731</v>
      </c>
      <c r="S685" s="420">
        <f t="shared" ref="S685:S686" si="86">Q685*G685/100</f>
        <v>669.76</v>
      </c>
      <c r="T685" s="420">
        <f t="shared" ref="T685:T686" si="87">Q685*H685/100</f>
        <v>187.68</v>
      </c>
      <c r="U685" s="420">
        <f t="shared" ref="U685:U686" si="88">Q685*I685/100</f>
        <v>147.19999999999999</v>
      </c>
      <c r="V685" s="118"/>
      <c r="W685" s="424">
        <f t="shared" si="69"/>
        <v>1004.6400000000001</v>
      </c>
      <c r="X685" s="424">
        <f t="shared" si="70"/>
        <v>1105.1040000000003</v>
      </c>
    </row>
    <row r="686" spans="1:24" s="119" customFormat="1" ht="24.9" hidden="1" customHeight="1">
      <c r="A686" s="296">
        <v>2</v>
      </c>
      <c r="B686" s="207" t="s">
        <v>1753</v>
      </c>
      <c r="C686" s="303" t="s">
        <v>1755</v>
      </c>
      <c r="D686" s="207" t="s">
        <v>235</v>
      </c>
      <c r="E686" s="298">
        <v>1</v>
      </c>
      <c r="F686" s="207" t="s">
        <v>236</v>
      </c>
      <c r="G686" s="208">
        <v>313</v>
      </c>
      <c r="H686" s="208">
        <v>60</v>
      </c>
      <c r="I686" s="299">
        <v>128</v>
      </c>
      <c r="J686" s="218"/>
      <c r="K686" s="208">
        <v>460.91999999999996</v>
      </c>
      <c r="L686" s="208"/>
      <c r="M686" s="208" t="s">
        <v>1543</v>
      </c>
      <c r="N686" s="295"/>
      <c r="O686" s="209"/>
      <c r="P686" s="25"/>
      <c r="Q686" s="347">
        <v>184</v>
      </c>
      <c r="R686" s="218" t="s">
        <v>1733</v>
      </c>
      <c r="S686" s="420">
        <f t="shared" si="86"/>
        <v>575.91999999999996</v>
      </c>
      <c r="T686" s="420">
        <f t="shared" si="87"/>
        <v>110.4</v>
      </c>
      <c r="U686" s="420">
        <f t="shared" si="88"/>
        <v>235.52</v>
      </c>
      <c r="V686" s="118"/>
      <c r="W686" s="424">
        <f t="shared" si="69"/>
        <v>921.83999999999992</v>
      </c>
      <c r="X686" s="424">
        <f t="shared" si="70"/>
        <v>1014.024</v>
      </c>
    </row>
    <row r="687" spans="1:24" s="119" customFormat="1" ht="24.9" hidden="1" customHeight="1">
      <c r="A687" s="296">
        <v>3</v>
      </c>
      <c r="B687" s="207" t="s">
        <v>1753</v>
      </c>
      <c r="C687" s="303" t="s">
        <v>1756</v>
      </c>
      <c r="D687" s="207" t="s">
        <v>235</v>
      </c>
      <c r="E687" s="298">
        <v>1</v>
      </c>
      <c r="F687" s="207" t="s">
        <v>236</v>
      </c>
      <c r="G687" s="208">
        <v>652</v>
      </c>
      <c r="H687" s="208">
        <v>100</v>
      </c>
      <c r="I687" s="299">
        <v>80</v>
      </c>
      <c r="J687" s="218"/>
      <c r="K687" s="208">
        <v>765.44</v>
      </c>
      <c r="L687" s="208"/>
      <c r="M687" s="208" t="s">
        <v>1543</v>
      </c>
      <c r="N687" s="295"/>
      <c r="O687" s="209"/>
      <c r="P687" s="25"/>
      <c r="Q687" s="347">
        <v>184</v>
      </c>
      <c r="R687" s="218" t="s">
        <v>1737</v>
      </c>
      <c r="S687" s="420">
        <f>Q687*G687/100</f>
        <v>1199.68</v>
      </c>
      <c r="T687" s="420">
        <f>Q687*H687/100</f>
        <v>184</v>
      </c>
      <c r="U687" s="420">
        <f>Q687*I687/100</f>
        <v>147.19999999999999</v>
      </c>
      <c r="V687" s="118"/>
      <c r="W687" s="424">
        <f t="shared" ref="W687:W692" si="89">S687+T687+U687</f>
        <v>1530.88</v>
      </c>
      <c r="X687" s="424">
        <f t="shared" ref="X687:X692" si="90">W687*1.1</f>
        <v>1683.9680000000003</v>
      </c>
    </row>
    <row r="688" spans="1:24" s="119" customFormat="1" ht="24.9" hidden="1" customHeight="1">
      <c r="A688" s="296">
        <v>4</v>
      </c>
      <c r="B688" s="207" t="s">
        <v>1753</v>
      </c>
      <c r="C688" s="303" t="s">
        <v>1757</v>
      </c>
      <c r="D688" s="207" t="s">
        <v>235</v>
      </c>
      <c r="E688" s="298">
        <v>1</v>
      </c>
      <c r="F688" s="207" t="s">
        <v>236</v>
      </c>
      <c r="G688" s="208">
        <v>600</v>
      </c>
      <c r="H688" s="208">
        <v>100</v>
      </c>
      <c r="I688" s="299">
        <v>80</v>
      </c>
      <c r="J688" s="217"/>
      <c r="K688" s="208">
        <v>717.6</v>
      </c>
      <c r="L688" s="208"/>
      <c r="M688" s="208" t="s">
        <v>1543</v>
      </c>
      <c r="N688" s="295"/>
      <c r="O688" s="209"/>
      <c r="P688" s="25"/>
      <c r="Q688" s="347">
        <v>184</v>
      </c>
      <c r="R688" s="217" t="s">
        <v>1742</v>
      </c>
      <c r="S688" s="420">
        <f>Q688*G688/100</f>
        <v>1104</v>
      </c>
      <c r="T688" s="420">
        <f>Q688*H688/100</f>
        <v>184</v>
      </c>
      <c r="U688" s="420">
        <f>Q688*I688/100</f>
        <v>147.19999999999999</v>
      </c>
      <c r="V688" s="118"/>
      <c r="W688" s="424">
        <f t="shared" si="89"/>
        <v>1435.2</v>
      </c>
      <c r="X688" s="424">
        <f t="shared" si="90"/>
        <v>1578.7200000000003</v>
      </c>
    </row>
    <row r="689" spans="1:24" s="119" customFormat="1" ht="24.9" hidden="1" customHeight="1">
      <c r="A689" s="296">
        <v>5</v>
      </c>
      <c r="B689" s="207" t="s">
        <v>1753</v>
      </c>
      <c r="C689" s="303" t="s">
        <v>1758</v>
      </c>
      <c r="D689" s="207" t="s">
        <v>235</v>
      </c>
      <c r="E689" s="298">
        <v>1</v>
      </c>
      <c r="F689" s="207" t="s">
        <v>236</v>
      </c>
      <c r="G689" s="208">
        <v>632</v>
      </c>
      <c r="H689" s="208">
        <v>128</v>
      </c>
      <c r="I689" s="299">
        <v>172</v>
      </c>
      <c r="J689" s="218"/>
      <c r="K689" s="208">
        <v>857.44</v>
      </c>
      <c r="L689" s="208"/>
      <c r="M689" s="208" t="s">
        <v>1543</v>
      </c>
      <c r="N689" s="295"/>
      <c r="O689" s="209"/>
      <c r="P689" s="25"/>
      <c r="Q689" s="347">
        <v>184</v>
      </c>
      <c r="R689" s="218" t="s">
        <v>1759</v>
      </c>
      <c r="S689" s="420">
        <f t="shared" ref="S689:S690" si="91">Q689*G689/100</f>
        <v>1162.8800000000001</v>
      </c>
      <c r="T689" s="420">
        <f t="shared" ref="T689:T690" si="92">Q689*H689/100</f>
        <v>235.52</v>
      </c>
      <c r="U689" s="420">
        <f t="shared" ref="U689:U690" si="93">Q689*I689/100</f>
        <v>316.48</v>
      </c>
      <c r="V689" s="118"/>
      <c r="W689" s="424">
        <f t="shared" si="89"/>
        <v>1714.88</v>
      </c>
      <c r="X689" s="424">
        <f t="shared" si="90"/>
        <v>1886.3680000000002</v>
      </c>
    </row>
    <row r="690" spans="1:24" s="119" customFormat="1" ht="24.9" hidden="1" customHeight="1">
      <c r="A690" s="296">
        <v>6</v>
      </c>
      <c r="B690" s="207" t="s">
        <v>1753</v>
      </c>
      <c r="C690" s="303" t="s">
        <v>1760</v>
      </c>
      <c r="D690" s="207" t="s">
        <v>235</v>
      </c>
      <c r="E690" s="298">
        <v>1</v>
      </c>
      <c r="F690" s="207" t="s">
        <v>236</v>
      </c>
      <c r="G690" s="208">
        <v>652</v>
      </c>
      <c r="H690" s="208">
        <v>128</v>
      </c>
      <c r="I690" s="299">
        <v>172</v>
      </c>
      <c r="J690" s="218"/>
      <c r="K690" s="208">
        <v>875.84</v>
      </c>
      <c r="L690" s="208"/>
      <c r="M690" s="208" t="s">
        <v>1543</v>
      </c>
      <c r="N690" s="295"/>
      <c r="O690" s="209"/>
      <c r="P690" s="25"/>
      <c r="Q690" s="347">
        <v>184</v>
      </c>
      <c r="R690" s="218" t="s">
        <v>1737</v>
      </c>
      <c r="S690" s="420">
        <f t="shared" si="91"/>
        <v>1199.68</v>
      </c>
      <c r="T690" s="420">
        <f t="shared" si="92"/>
        <v>235.52</v>
      </c>
      <c r="U690" s="420">
        <f t="shared" si="93"/>
        <v>316.48</v>
      </c>
      <c r="V690" s="118"/>
      <c r="W690" s="424">
        <f t="shared" si="89"/>
        <v>1751.68</v>
      </c>
      <c r="X690" s="424">
        <f t="shared" si="90"/>
        <v>1926.8480000000002</v>
      </c>
    </row>
    <row r="691" spans="1:24" s="119" customFormat="1" ht="24.9" hidden="1" customHeight="1">
      <c r="A691" s="296">
        <v>7</v>
      </c>
      <c r="B691" s="207" t="s">
        <v>1753</v>
      </c>
      <c r="C691" s="303" t="s">
        <v>1761</v>
      </c>
      <c r="D691" s="207" t="s">
        <v>235</v>
      </c>
      <c r="E691" s="298">
        <v>1</v>
      </c>
      <c r="F691" s="207" t="s">
        <v>236</v>
      </c>
      <c r="G691" s="208">
        <v>652</v>
      </c>
      <c r="H691" s="208">
        <v>128</v>
      </c>
      <c r="I691" s="299">
        <v>172</v>
      </c>
      <c r="J691" s="218"/>
      <c r="K691" s="208">
        <v>875.84</v>
      </c>
      <c r="L691" s="208"/>
      <c r="M691" s="208" t="s">
        <v>1543</v>
      </c>
      <c r="N691" s="295"/>
      <c r="O691" s="209"/>
      <c r="P691" s="25"/>
      <c r="Q691" s="347">
        <v>184</v>
      </c>
      <c r="R691" s="218" t="s">
        <v>1737</v>
      </c>
      <c r="S691" s="420">
        <f t="shared" ref="S691:S692" si="94">Q691*G691/100</f>
        <v>1199.68</v>
      </c>
      <c r="T691" s="420">
        <f t="shared" ref="T691:T692" si="95">Q691*H691/100</f>
        <v>235.52</v>
      </c>
      <c r="U691" s="420">
        <f t="shared" ref="U691:U692" si="96">Q691*I691/100</f>
        <v>316.48</v>
      </c>
      <c r="V691" s="118"/>
      <c r="W691" s="424">
        <f t="shared" si="89"/>
        <v>1751.68</v>
      </c>
      <c r="X691" s="424">
        <f t="shared" si="90"/>
        <v>1926.8480000000002</v>
      </c>
    </row>
    <row r="692" spans="1:24" s="119" customFormat="1" ht="24.9" hidden="1" customHeight="1">
      <c r="A692" s="296">
        <v>8</v>
      </c>
      <c r="B692" s="207" t="s">
        <v>1753</v>
      </c>
      <c r="C692" s="303" t="s">
        <v>1762</v>
      </c>
      <c r="D692" s="207" t="s">
        <v>235</v>
      </c>
      <c r="E692" s="298">
        <v>1</v>
      </c>
      <c r="F692" s="207" t="s">
        <v>236</v>
      </c>
      <c r="G692" s="208">
        <v>652</v>
      </c>
      <c r="H692" s="208">
        <v>128</v>
      </c>
      <c r="I692" s="299">
        <v>172</v>
      </c>
      <c r="J692" s="218"/>
      <c r="K692" s="208">
        <v>875.84</v>
      </c>
      <c r="L692" s="208"/>
      <c r="M692" s="208" t="s">
        <v>1543</v>
      </c>
      <c r="N692" s="295"/>
      <c r="O692" s="209"/>
      <c r="P692" s="25"/>
      <c r="Q692" s="347">
        <v>184</v>
      </c>
      <c r="R692" s="218" t="s">
        <v>1737</v>
      </c>
      <c r="S692" s="420">
        <f t="shared" si="94"/>
        <v>1199.68</v>
      </c>
      <c r="T692" s="420">
        <f t="shared" si="95"/>
        <v>235.52</v>
      </c>
      <c r="U692" s="420">
        <f t="shared" si="96"/>
        <v>316.48</v>
      </c>
      <c r="V692" s="118"/>
      <c r="W692" s="424">
        <f t="shared" si="89"/>
        <v>1751.68</v>
      </c>
      <c r="X692" s="424">
        <f t="shared" si="90"/>
        <v>1926.8480000000002</v>
      </c>
    </row>
    <row r="693" spans="1:24" s="307" customFormat="1" ht="24.9" hidden="1" customHeight="1">
      <c r="A693" s="234"/>
      <c r="B693" s="235"/>
      <c r="C693" s="246"/>
      <c r="D693" s="237"/>
      <c r="E693" s="238">
        <f>SUM(E685:E692)</f>
        <v>8</v>
      </c>
      <c r="F693" s="237"/>
      <c r="G693" s="239">
        <v>620</v>
      </c>
      <c r="H693" s="239">
        <v>225</v>
      </c>
      <c r="I693" s="240">
        <v>230</v>
      </c>
      <c r="J693" s="241">
        <f>ROUND(I693*H693*G693/1000000,3)</f>
        <v>32.085000000000001</v>
      </c>
      <c r="K693" s="242">
        <f>SUM(K685:K692)</f>
        <v>5931.2400000000007</v>
      </c>
      <c r="L693" s="239">
        <f>K693+140</f>
        <v>6071.2400000000007</v>
      </c>
      <c r="M693" s="239"/>
      <c r="N693" s="243"/>
      <c r="O693" s="244"/>
      <c r="P693" s="245"/>
      <c r="Q693" s="348"/>
      <c r="R693" s="241">
        <f>ROUND(Q693*P693*O693/1000000,3)</f>
        <v>0</v>
      </c>
      <c r="S693" s="304"/>
      <c r="T693" s="305"/>
      <c r="U693" s="304"/>
      <c r="V693" s="306"/>
      <c r="W693" s="424">
        <f t="shared" ref="W693" si="97">S693+T693+U693</f>
        <v>0</v>
      </c>
      <c r="X693" s="424">
        <f t="shared" ref="X693" si="98">W693*1.1</f>
        <v>0</v>
      </c>
    </row>
    <row r="694" spans="1:24" s="119" customFormat="1" ht="24.9" hidden="1" customHeight="1">
      <c r="A694" s="296">
        <v>1</v>
      </c>
      <c r="B694" s="207" t="s">
        <v>1763</v>
      </c>
      <c r="C694" s="303" t="s">
        <v>1764</v>
      </c>
      <c r="D694" s="207" t="s">
        <v>235</v>
      </c>
      <c r="E694" s="298">
        <v>1</v>
      </c>
      <c r="F694" s="207" t="s">
        <v>236</v>
      </c>
      <c r="G694" s="208">
        <v>650</v>
      </c>
      <c r="H694" s="208">
        <v>100</v>
      </c>
      <c r="I694" s="299">
        <v>80</v>
      </c>
      <c r="J694" s="218"/>
      <c r="K694" s="208">
        <v>763.6</v>
      </c>
      <c r="L694" s="208"/>
      <c r="M694" s="208" t="s">
        <v>1543</v>
      </c>
      <c r="N694" s="295"/>
      <c r="O694" s="209"/>
      <c r="P694" s="25"/>
      <c r="Q694" s="347">
        <v>184</v>
      </c>
      <c r="R694" s="218" t="s">
        <v>1737</v>
      </c>
      <c r="S694" s="420">
        <f t="shared" ref="S694:S697" si="99">Q694*G694/100</f>
        <v>1196</v>
      </c>
      <c r="T694" s="420">
        <f t="shared" ref="T694:T697" si="100">Q694*H694/100</f>
        <v>184</v>
      </c>
      <c r="U694" s="420">
        <f t="shared" ref="U694:U697" si="101">Q694*I694/100</f>
        <v>147.19999999999999</v>
      </c>
      <c r="V694" s="118"/>
      <c r="W694" s="424">
        <f t="shared" si="69"/>
        <v>1527.2</v>
      </c>
      <c r="X694" s="424">
        <f t="shared" si="70"/>
        <v>1679.92</v>
      </c>
    </row>
    <row r="695" spans="1:24" s="119" customFormat="1" ht="24.9" hidden="1" customHeight="1">
      <c r="A695" s="296">
        <v>2</v>
      </c>
      <c r="B695" s="207" t="s">
        <v>1763</v>
      </c>
      <c r="C695" s="303" t="s">
        <v>1765</v>
      </c>
      <c r="D695" s="207" t="s">
        <v>235</v>
      </c>
      <c r="E695" s="298">
        <v>1</v>
      </c>
      <c r="F695" s="207" t="s">
        <v>236</v>
      </c>
      <c r="G695" s="208">
        <v>650</v>
      </c>
      <c r="H695" s="208">
        <v>100</v>
      </c>
      <c r="I695" s="299">
        <v>80</v>
      </c>
      <c r="J695" s="217"/>
      <c r="K695" s="208">
        <v>763.6</v>
      </c>
      <c r="L695" s="208"/>
      <c r="M695" s="208" t="s">
        <v>1543</v>
      </c>
      <c r="N695" s="295"/>
      <c r="O695" s="209"/>
      <c r="P695" s="25"/>
      <c r="Q695" s="347">
        <v>184</v>
      </c>
      <c r="R695" s="217" t="s">
        <v>1742</v>
      </c>
      <c r="S695" s="420">
        <f t="shared" si="99"/>
        <v>1196</v>
      </c>
      <c r="T695" s="420">
        <f t="shared" si="100"/>
        <v>184</v>
      </c>
      <c r="U695" s="420">
        <f t="shared" si="101"/>
        <v>147.19999999999999</v>
      </c>
      <c r="V695" s="118"/>
      <c r="W695" s="424">
        <f t="shared" si="69"/>
        <v>1527.2</v>
      </c>
      <c r="X695" s="424">
        <f t="shared" si="70"/>
        <v>1679.92</v>
      </c>
    </row>
    <row r="696" spans="1:24" s="119" customFormat="1" ht="24.9" hidden="1" customHeight="1">
      <c r="A696" s="296">
        <v>3</v>
      </c>
      <c r="B696" s="207" t="s">
        <v>1763</v>
      </c>
      <c r="C696" s="303" t="s">
        <v>1766</v>
      </c>
      <c r="D696" s="207" t="s">
        <v>235</v>
      </c>
      <c r="E696" s="298">
        <v>1</v>
      </c>
      <c r="F696" s="207" t="s">
        <v>236</v>
      </c>
      <c r="G696" s="208">
        <v>600</v>
      </c>
      <c r="H696" s="208">
        <v>100</v>
      </c>
      <c r="I696" s="299">
        <v>80</v>
      </c>
      <c r="J696" s="217"/>
      <c r="K696" s="208">
        <v>717.6</v>
      </c>
      <c r="L696" s="208"/>
      <c r="M696" s="208" t="s">
        <v>1543</v>
      </c>
      <c r="N696" s="295"/>
      <c r="O696" s="209"/>
      <c r="P696" s="25"/>
      <c r="Q696" s="347">
        <v>184</v>
      </c>
      <c r="R696" s="217" t="s">
        <v>1742</v>
      </c>
      <c r="S696" s="420">
        <f t="shared" si="99"/>
        <v>1104</v>
      </c>
      <c r="T696" s="420">
        <f t="shared" si="100"/>
        <v>184</v>
      </c>
      <c r="U696" s="420">
        <f t="shared" si="101"/>
        <v>147.19999999999999</v>
      </c>
      <c r="V696" s="118"/>
      <c r="W696" s="424">
        <f t="shared" si="69"/>
        <v>1435.2</v>
      </c>
      <c r="X696" s="424">
        <f t="shared" si="70"/>
        <v>1578.7200000000003</v>
      </c>
    </row>
    <row r="697" spans="1:24" s="119" customFormat="1" ht="24.9" hidden="1" customHeight="1">
      <c r="A697" s="296">
        <v>4</v>
      </c>
      <c r="B697" s="207" t="s">
        <v>1763</v>
      </c>
      <c r="C697" s="303" t="s">
        <v>1767</v>
      </c>
      <c r="D697" s="207" t="s">
        <v>235</v>
      </c>
      <c r="E697" s="298">
        <v>1</v>
      </c>
      <c r="F697" s="207" t="s">
        <v>236</v>
      </c>
      <c r="G697" s="208">
        <v>615</v>
      </c>
      <c r="H697" s="208">
        <v>90</v>
      </c>
      <c r="I697" s="299">
        <v>80</v>
      </c>
      <c r="J697" s="218"/>
      <c r="K697" s="208">
        <v>722.19999999999993</v>
      </c>
      <c r="L697" s="208"/>
      <c r="M697" s="208" t="s">
        <v>1543</v>
      </c>
      <c r="N697" s="295"/>
      <c r="O697" s="209"/>
      <c r="P697" s="25"/>
      <c r="Q697" s="347">
        <v>184</v>
      </c>
      <c r="R697" s="218" t="s">
        <v>1735</v>
      </c>
      <c r="S697" s="420">
        <f t="shared" si="99"/>
        <v>1131.5999999999999</v>
      </c>
      <c r="T697" s="420">
        <f t="shared" si="100"/>
        <v>165.6</v>
      </c>
      <c r="U697" s="420">
        <f t="shared" si="101"/>
        <v>147.19999999999999</v>
      </c>
      <c r="V697" s="118"/>
      <c r="W697" s="424">
        <f t="shared" si="69"/>
        <v>1444.3999999999999</v>
      </c>
      <c r="X697" s="424">
        <f t="shared" si="70"/>
        <v>1588.84</v>
      </c>
    </row>
    <row r="698" spans="1:24" s="119" customFormat="1" ht="24.9" hidden="1" customHeight="1">
      <c r="A698" s="296">
        <v>5</v>
      </c>
      <c r="B698" s="207" t="s">
        <v>1763</v>
      </c>
      <c r="C698" s="303" t="s">
        <v>1768</v>
      </c>
      <c r="D698" s="207" t="s">
        <v>235</v>
      </c>
      <c r="E698" s="298">
        <v>1</v>
      </c>
      <c r="F698" s="207" t="s">
        <v>236</v>
      </c>
      <c r="G698" s="208">
        <v>652</v>
      </c>
      <c r="H698" s="208">
        <v>155</v>
      </c>
      <c r="I698" s="299">
        <v>97</v>
      </c>
      <c r="J698" s="218"/>
      <c r="K698" s="208">
        <v>831.68000000000006</v>
      </c>
      <c r="L698" s="208"/>
      <c r="M698" s="208" t="s">
        <v>1543</v>
      </c>
      <c r="N698" s="295"/>
      <c r="O698" s="209"/>
      <c r="P698" s="25"/>
      <c r="Q698" s="347">
        <v>184</v>
      </c>
      <c r="R698" s="218" t="s">
        <v>1737</v>
      </c>
      <c r="S698" s="420">
        <f t="shared" ref="S698:S701" si="102">Q698*G698/100</f>
        <v>1199.68</v>
      </c>
      <c r="T698" s="420">
        <f t="shared" ref="T698:T701" si="103">Q698*H698/100</f>
        <v>285.2</v>
      </c>
      <c r="U698" s="420">
        <f t="shared" ref="U698:U701" si="104">Q698*I698/100</f>
        <v>178.48</v>
      </c>
      <c r="V698" s="118"/>
      <c r="W698" s="424">
        <f>S698+T698+U698</f>
        <v>1663.3600000000001</v>
      </c>
      <c r="X698" s="424">
        <f>W698*1.1</f>
        <v>1829.6960000000004</v>
      </c>
    </row>
    <row r="699" spans="1:24" s="119" customFormat="1" ht="24.9" hidden="1" customHeight="1">
      <c r="A699" s="296">
        <v>6</v>
      </c>
      <c r="B699" s="207" t="s">
        <v>1763</v>
      </c>
      <c r="C699" s="303" t="s">
        <v>1769</v>
      </c>
      <c r="D699" s="207" t="s">
        <v>235</v>
      </c>
      <c r="E699" s="298">
        <v>1</v>
      </c>
      <c r="F699" s="207" t="s">
        <v>236</v>
      </c>
      <c r="G699" s="208">
        <v>632</v>
      </c>
      <c r="H699" s="208">
        <v>155</v>
      </c>
      <c r="I699" s="299">
        <v>97</v>
      </c>
      <c r="J699" s="218"/>
      <c r="K699" s="208">
        <v>813.28000000000009</v>
      </c>
      <c r="L699" s="208"/>
      <c r="M699" s="208" t="s">
        <v>1543</v>
      </c>
      <c r="N699" s="295"/>
      <c r="O699" s="209"/>
      <c r="P699" s="25"/>
      <c r="Q699" s="347">
        <v>184</v>
      </c>
      <c r="R699" s="218" t="s">
        <v>1759</v>
      </c>
      <c r="S699" s="420">
        <f t="shared" si="102"/>
        <v>1162.8800000000001</v>
      </c>
      <c r="T699" s="420">
        <f t="shared" si="103"/>
        <v>285.2</v>
      </c>
      <c r="U699" s="420">
        <f t="shared" si="104"/>
        <v>178.48</v>
      </c>
      <c r="V699" s="118"/>
      <c r="W699" s="424">
        <f>S699+T699+U699</f>
        <v>1626.5600000000002</v>
      </c>
      <c r="X699" s="424">
        <f>W699*1.1</f>
        <v>1789.2160000000003</v>
      </c>
    </row>
    <row r="700" spans="1:24" s="119" customFormat="1" ht="24.9" hidden="1" customHeight="1">
      <c r="A700" s="296">
        <v>7</v>
      </c>
      <c r="B700" s="207" t="s">
        <v>1763</v>
      </c>
      <c r="C700" s="303" t="s">
        <v>1770</v>
      </c>
      <c r="D700" s="207" t="s">
        <v>235</v>
      </c>
      <c r="E700" s="298">
        <v>1</v>
      </c>
      <c r="F700" s="207" t="s">
        <v>236</v>
      </c>
      <c r="G700" s="208">
        <v>655</v>
      </c>
      <c r="H700" s="208">
        <v>155</v>
      </c>
      <c r="I700" s="299">
        <v>97</v>
      </c>
      <c r="J700" s="218"/>
      <c r="K700" s="208">
        <v>834.44</v>
      </c>
      <c r="L700" s="208"/>
      <c r="M700" s="208" t="s">
        <v>1543</v>
      </c>
      <c r="N700" s="295"/>
      <c r="O700" s="209"/>
      <c r="P700" s="25"/>
      <c r="Q700" s="347">
        <v>184</v>
      </c>
      <c r="R700" s="218" t="s">
        <v>1737</v>
      </c>
      <c r="S700" s="420">
        <f t="shared" si="102"/>
        <v>1205.2</v>
      </c>
      <c r="T700" s="420">
        <f t="shared" si="103"/>
        <v>285.2</v>
      </c>
      <c r="U700" s="420">
        <f t="shared" si="104"/>
        <v>178.48</v>
      </c>
      <c r="V700" s="118"/>
      <c r="W700" s="424">
        <f>S700+T700+U700</f>
        <v>1668.88</v>
      </c>
      <c r="X700" s="424">
        <f>W700*1.1</f>
        <v>1835.7680000000003</v>
      </c>
    </row>
    <row r="701" spans="1:24" s="119" customFormat="1" ht="24.9" hidden="1" customHeight="1">
      <c r="A701" s="296">
        <v>8</v>
      </c>
      <c r="B701" s="207" t="s">
        <v>1763</v>
      </c>
      <c r="C701" s="303" t="s">
        <v>1771</v>
      </c>
      <c r="D701" s="207" t="s">
        <v>235</v>
      </c>
      <c r="E701" s="298">
        <v>1</v>
      </c>
      <c r="F701" s="207" t="s">
        <v>236</v>
      </c>
      <c r="G701" s="208">
        <v>655</v>
      </c>
      <c r="H701" s="208">
        <v>155</v>
      </c>
      <c r="I701" s="299">
        <v>97</v>
      </c>
      <c r="J701" s="218"/>
      <c r="K701" s="208">
        <v>834.44</v>
      </c>
      <c r="L701" s="208"/>
      <c r="M701" s="208" t="s">
        <v>1543</v>
      </c>
      <c r="N701" s="295"/>
      <c r="O701" s="209"/>
      <c r="P701" s="25"/>
      <c r="Q701" s="347">
        <v>184</v>
      </c>
      <c r="R701" s="218" t="s">
        <v>1737</v>
      </c>
      <c r="S701" s="420">
        <f t="shared" si="102"/>
        <v>1205.2</v>
      </c>
      <c r="T701" s="420">
        <f t="shared" si="103"/>
        <v>285.2</v>
      </c>
      <c r="U701" s="420">
        <f t="shared" si="104"/>
        <v>178.48</v>
      </c>
      <c r="V701" s="118"/>
      <c r="W701" s="424">
        <f>S701+T701+U701</f>
        <v>1668.88</v>
      </c>
      <c r="X701" s="424">
        <f>W701*1.1</f>
        <v>1835.7680000000003</v>
      </c>
    </row>
    <row r="702" spans="1:24" s="307" customFormat="1" ht="24.9" hidden="1" customHeight="1">
      <c r="A702" s="234"/>
      <c r="B702" s="235"/>
      <c r="C702" s="246"/>
      <c r="D702" s="237"/>
      <c r="E702" s="238">
        <f>SUM(E694:E701)</f>
        <v>8</v>
      </c>
      <c r="F702" s="237"/>
      <c r="G702" s="239">
        <v>620</v>
      </c>
      <c r="H702" s="239">
        <v>225</v>
      </c>
      <c r="I702" s="240">
        <v>230</v>
      </c>
      <c r="J702" s="241">
        <f>ROUND(I702*H702*G702/1000000,3)</f>
        <v>32.085000000000001</v>
      </c>
      <c r="K702" s="242">
        <f>SUM(K694:K701)</f>
        <v>6280.84</v>
      </c>
      <c r="L702" s="239">
        <f>K702+140</f>
        <v>6420.84</v>
      </c>
      <c r="M702" s="239"/>
      <c r="N702" s="243"/>
      <c r="O702" s="244"/>
      <c r="P702" s="245"/>
      <c r="Q702" s="348"/>
      <c r="R702" s="26"/>
      <c r="S702" s="304"/>
      <c r="T702" s="305"/>
      <c r="U702" s="304"/>
      <c r="V702" s="306"/>
      <c r="W702" s="424">
        <f t="shared" si="69"/>
        <v>0</v>
      </c>
      <c r="X702" s="424">
        <f t="shared" si="70"/>
        <v>0</v>
      </c>
    </row>
    <row r="703" spans="1:24" s="119" customFormat="1" ht="24.75" hidden="1" customHeight="1">
      <c r="A703" s="296">
        <v>1</v>
      </c>
      <c r="B703" s="207" t="s">
        <v>1772</v>
      </c>
      <c r="C703" s="303" t="s">
        <v>1773</v>
      </c>
      <c r="D703" s="207" t="s">
        <v>235</v>
      </c>
      <c r="E703" s="298">
        <v>1</v>
      </c>
      <c r="F703" s="207" t="s">
        <v>236</v>
      </c>
      <c r="G703" s="208">
        <v>542</v>
      </c>
      <c r="H703" s="208">
        <v>129</v>
      </c>
      <c r="I703" s="299">
        <v>60</v>
      </c>
      <c r="J703" s="218"/>
      <c r="K703" s="208">
        <v>672.52</v>
      </c>
      <c r="L703" s="208"/>
      <c r="M703" s="208" t="s">
        <v>1543</v>
      </c>
      <c r="N703" s="295"/>
      <c r="O703" s="209"/>
      <c r="P703" s="25"/>
      <c r="Q703" s="347">
        <v>184</v>
      </c>
      <c r="R703" s="26"/>
      <c r="S703" s="420">
        <f>Q703*G703/100</f>
        <v>997.28</v>
      </c>
      <c r="T703" s="420">
        <f>Q703*H703/100</f>
        <v>237.36</v>
      </c>
      <c r="U703" s="420">
        <f>Q703*I703/100</f>
        <v>110.4</v>
      </c>
      <c r="V703" s="118"/>
      <c r="W703" s="424">
        <f t="shared" ref="W703:W708" si="105">S703+T703+U703</f>
        <v>1345.04</v>
      </c>
      <c r="X703" s="424">
        <f t="shared" ref="X703:X708" si="106">W703*1.1</f>
        <v>1479.5440000000001</v>
      </c>
    </row>
    <row r="704" spans="1:24" s="119" customFormat="1" ht="24.9" hidden="1" customHeight="1">
      <c r="A704" s="296">
        <v>2</v>
      </c>
      <c r="B704" s="207" t="s">
        <v>1772</v>
      </c>
      <c r="C704" s="303" t="s">
        <v>1774</v>
      </c>
      <c r="D704" s="207" t="s">
        <v>235</v>
      </c>
      <c r="E704" s="298">
        <v>1</v>
      </c>
      <c r="F704" s="207" t="s">
        <v>236</v>
      </c>
      <c r="G704" s="208">
        <v>652</v>
      </c>
      <c r="H704" s="208">
        <v>100</v>
      </c>
      <c r="I704" s="299">
        <v>80</v>
      </c>
      <c r="J704" s="439"/>
      <c r="K704" s="208">
        <v>765.44</v>
      </c>
      <c r="L704" s="208"/>
      <c r="M704" s="208" t="s">
        <v>1543</v>
      </c>
      <c r="N704" s="295"/>
      <c r="O704" s="209"/>
      <c r="P704" s="25"/>
      <c r="Q704" s="347">
        <v>184</v>
      </c>
      <c r="R704" s="302"/>
      <c r="S704" s="420">
        <f>Q704*G704/100</f>
        <v>1199.68</v>
      </c>
      <c r="T704" s="420">
        <f>Q704*H704/100</f>
        <v>184</v>
      </c>
      <c r="U704" s="420">
        <f>Q704*I704/100</f>
        <v>147.19999999999999</v>
      </c>
      <c r="V704" s="118"/>
      <c r="W704" s="424">
        <f t="shared" si="105"/>
        <v>1530.88</v>
      </c>
      <c r="X704" s="424">
        <f t="shared" si="106"/>
        <v>1683.9680000000003</v>
      </c>
    </row>
    <row r="705" spans="1:24" s="119" customFormat="1" ht="24.9" hidden="1" customHeight="1">
      <c r="A705" s="296">
        <v>3</v>
      </c>
      <c r="B705" s="207" t="s">
        <v>1772</v>
      </c>
      <c r="C705" s="303" t="s">
        <v>1775</v>
      </c>
      <c r="D705" s="207" t="s">
        <v>235</v>
      </c>
      <c r="E705" s="298">
        <v>1</v>
      </c>
      <c r="F705" s="207" t="s">
        <v>236</v>
      </c>
      <c r="G705" s="208">
        <v>652</v>
      </c>
      <c r="H705" s="208">
        <v>100</v>
      </c>
      <c r="I705" s="299">
        <v>80</v>
      </c>
      <c r="J705" s="218"/>
      <c r="K705" s="208">
        <v>765.44</v>
      </c>
      <c r="L705" s="208"/>
      <c r="M705" s="208" t="s">
        <v>1543</v>
      </c>
      <c r="N705" s="295"/>
      <c r="O705" s="209"/>
      <c r="P705" s="25"/>
      <c r="Q705" s="347">
        <v>184</v>
      </c>
      <c r="R705" s="26"/>
      <c r="S705" s="420">
        <f t="shared" ref="S705" si="107">Q705*G705/100</f>
        <v>1199.68</v>
      </c>
      <c r="T705" s="420">
        <f t="shared" ref="T705" si="108">Q705*H705/100</f>
        <v>184</v>
      </c>
      <c r="U705" s="420">
        <f t="shared" ref="U705" si="109">Q705*I705/100</f>
        <v>147.19999999999999</v>
      </c>
      <c r="V705" s="118"/>
      <c r="W705" s="424">
        <f t="shared" si="105"/>
        <v>1530.88</v>
      </c>
      <c r="X705" s="424">
        <f t="shared" si="106"/>
        <v>1683.9680000000003</v>
      </c>
    </row>
    <row r="706" spans="1:24" s="119" customFormat="1" ht="24.9" hidden="1" customHeight="1">
      <c r="A706" s="296">
        <v>4</v>
      </c>
      <c r="B706" s="207" t="s">
        <v>1772</v>
      </c>
      <c r="C706" s="303" t="s">
        <v>1776</v>
      </c>
      <c r="D706" s="207" t="s">
        <v>235</v>
      </c>
      <c r="E706" s="298">
        <v>1</v>
      </c>
      <c r="F706" s="207" t="s">
        <v>236</v>
      </c>
      <c r="G706" s="208">
        <v>188</v>
      </c>
      <c r="H706" s="208">
        <v>75</v>
      </c>
      <c r="I706" s="299">
        <v>72</v>
      </c>
      <c r="J706" s="439"/>
      <c r="K706" s="208">
        <v>308.2</v>
      </c>
      <c r="L706" s="208"/>
      <c r="M706" s="208" t="s">
        <v>1543</v>
      </c>
      <c r="N706" s="295"/>
      <c r="O706" s="209"/>
      <c r="P706" s="25"/>
      <c r="Q706" s="347">
        <v>184</v>
      </c>
      <c r="R706" s="26"/>
      <c r="S706" s="420">
        <f>Q706*G706/100</f>
        <v>345.92</v>
      </c>
      <c r="T706" s="420">
        <f>Q706*H706/100</f>
        <v>138</v>
      </c>
      <c r="U706" s="420">
        <f>Q706*I706/100</f>
        <v>132.47999999999999</v>
      </c>
      <c r="V706" s="118"/>
      <c r="W706" s="424">
        <f t="shared" si="105"/>
        <v>616.4</v>
      </c>
      <c r="X706" s="424">
        <f t="shared" si="106"/>
        <v>678.04000000000008</v>
      </c>
    </row>
    <row r="707" spans="1:24" s="119" customFormat="1" ht="24.9" hidden="1" customHeight="1">
      <c r="A707" s="296">
        <v>5</v>
      </c>
      <c r="B707" s="207" t="s">
        <v>1772</v>
      </c>
      <c r="C707" s="303" t="s">
        <v>1777</v>
      </c>
      <c r="D707" s="207" t="s">
        <v>235</v>
      </c>
      <c r="E707" s="298">
        <v>1</v>
      </c>
      <c r="F707" s="207" t="s">
        <v>236</v>
      </c>
      <c r="G707" s="208">
        <v>238</v>
      </c>
      <c r="H707" s="208">
        <v>128</v>
      </c>
      <c r="I707" s="299">
        <v>60</v>
      </c>
      <c r="J707" s="439"/>
      <c r="K707" s="208">
        <v>391.92</v>
      </c>
      <c r="L707" s="208"/>
      <c r="M707" s="208" t="s">
        <v>1543</v>
      </c>
      <c r="N707" s="295"/>
      <c r="O707" s="209"/>
      <c r="P707" s="25"/>
      <c r="Q707" s="347">
        <v>184</v>
      </c>
      <c r="R707" s="302"/>
      <c r="S707" s="420">
        <f>Q707*G707/100</f>
        <v>437.92</v>
      </c>
      <c r="T707" s="420">
        <f>Q707*H707/100</f>
        <v>235.52</v>
      </c>
      <c r="U707" s="420">
        <f>Q707*I707/100</f>
        <v>110.4</v>
      </c>
      <c r="V707" s="118"/>
      <c r="W707" s="424">
        <f t="shared" si="105"/>
        <v>783.84</v>
      </c>
      <c r="X707" s="424">
        <f t="shared" si="106"/>
        <v>862.22400000000016</v>
      </c>
    </row>
    <row r="708" spans="1:24" s="119" customFormat="1" ht="24.9" hidden="1" customHeight="1">
      <c r="A708" s="296">
        <v>6</v>
      </c>
      <c r="B708" s="207" t="s">
        <v>1772</v>
      </c>
      <c r="C708" s="303" t="s">
        <v>1778</v>
      </c>
      <c r="D708" s="207" t="s">
        <v>235</v>
      </c>
      <c r="E708" s="298">
        <v>1</v>
      </c>
      <c r="F708" s="207" t="s">
        <v>236</v>
      </c>
      <c r="G708" s="208">
        <v>220</v>
      </c>
      <c r="H708" s="208">
        <v>128</v>
      </c>
      <c r="I708" s="299">
        <v>60</v>
      </c>
      <c r="J708" s="439"/>
      <c r="K708" s="208">
        <v>375.36</v>
      </c>
      <c r="L708" s="208"/>
      <c r="M708" s="208" t="s">
        <v>1543</v>
      </c>
      <c r="N708" s="295"/>
      <c r="O708" s="209"/>
      <c r="P708" s="25"/>
      <c r="Q708" s="347">
        <v>184</v>
      </c>
      <c r="R708" s="26"/>
      <c r="S708" s="420">
        <f>Q708*G708/100</f>
        <v>404.8</v>
      </c>
      <c r="T708" s="420">
        <f>Q708*H708/100</f>
        <v>235.52</v>
      </c>
      <c r="U708" s="420">
        <f>Q708*I708/100</f>
        <v>110.4</v>
      </c>
      <c r="V708" s="118"/>
      <c r="W708" s="424">
        <f t="shared" si="105"/>
        <v>750.72</v>
      </c>
      <c r="X708" s="424">
        <f t="shared" si="106"/>
        <v>825.79200000000014</v>
      </c>
    </row>
    <row r="709" spans="1:24" s="307" customFormat="1" ht="24.9" hidden="1" customHeight="1">
      <c r="A709" s="234"/>
      <c r="B709" s="235"/>
      <c r="C709" s="246"/>
      <c r="D709" s="237"/>
      <c r="E709" s="238">
        <f>SUM(E703:E708)</f>
        <v>6</v>
      </c>
      <c r="F709" s="237"/>
      <c r="G709" s="239">
        <v>611</v>
      </c>
      <c r="H709" s="239">
        <v>231</v>
      </c>
      <c r="I709" s="240">
        <v>140</v>
      </c>
      <c r="J709" s="241">
        <f>ROUND(I709*H709*G709/1000000,3)</f>
        <v>19.760000000000002</v>
      </c>
      <c r="K709" s="242">
        <f>SUM(K703:K708)</f>
        <v>3278.88</v>
      </c>
      <c r="L709" s="239">
        <f>K709+140</f>
        <v>3418.88</v>
      </c>
      <c r="M709" s="239"/>
      <c r="N709" s="243"/>
      <c r="O709" s="244"/>
      <c r="P709" s="245"/>
      <c r="Q709" s="348"/>
      <c r="R709" s="26"/>
      <c r="S709" s="304"/>
      <c r="T709" s="305"/>
      <c r="U709" s="304"/>
      <c r="V709" s="306"/>
    </row>
    <row r="710" spans="1:24" s="119" customFormat="1" ht="24.9" hidden="1" customHeight="1">
      <c r="A710" s="296">
        <v>1</v>
      </c>
      <c r="B710" s="207" t="s">
        <v>1779</v>
      </c>
      <c r="C710" s="303" t="s">
        <v>1780</v>
      </c>
      <c r="D710" s="207" t="s">
        <v>235</v>
      </c>
      <c r="E710" s="298">
        <v>1</v>
      </c>
      <c r="F710" s="207" t="s">
        <v>236</v>
      </c>
      <c r="G710" s="208">
        <v>542</v>
      </c>
      <c r="H710" s="208">
        <v>129</v>
      </c>
      <c r="I710" s="299">
        <v>60</v>
      </c>
      <c r="J710" s="218"/>
      <c r="K710" s="208">
        <v>672.52</v>
      </c>
      <c r="L710" s="208"/>
      <c r="M710" s="208" t="s">
        <v>1543</v>
      </c>
      <c r="N710" s="295"/>
      <c r="O710" s="209"/>
      <c r="P710" s="25"/>
      <c r="Q710" s="347">
        <v>184</v>
      </c>
      <c r="R710" s="26"/>
      <c r="S710" s="420">
        <f t="shared" ref="S710:S712" si="110">Q710*G710/100</f>
        <v>997.28</v>
      </c>
      <c r="T710" s="420">
        <f t="shared" ref="T710:T712" si="111">Q710*H710/100</f>
        <v>237.36</v>
      </c>
      <c r="U710" s="420">
        <f t="shared" ref="U710:U712" si="112">Q710*I710/100</f>
        <v>110.4</v>
      </c>
      <c r="V710" s="118"/>
      <c r="W710" s="424">
        <f t="shared" ref="W710:W715" si="113">S710+T710+U710</f>
        <v>1345.04</v>
      </c>
      <c r="X710" s="424">
        <f t="shared" ref="X710:X715" si="114">W710*1.1</f>
        <v>1479.5440000000001</v>
      </c>
    </row>
    <row r="711" spans="1:24" s="119" customFormat="1" ht="24.9" hidden="1" customHeight="1">
      <c r="A711" s="296">
        <v>2</v>
      </c>
      <c r="B711" s="207" t="s">
        <v>1779</v>
      </c>
      <c r="C711" s="303" t="s">
        <v>1781</v>
      </c>
      <c r="D711" s="207" t="s">
        <v>235</v>
      </c>
      <c r="E711" s="298">
        <v>1</v>
      </c>
      <c r="F711" s="207" t="s">
        <v>236</v>
      </c>
      <c r="G711" s="208">
        <v>650</v>
      </c>
      <c r="H711" s="208">
        <v>100</v>
      </c>
      <c r="I711" s="299">
        <v>80</v>
      </c>
      <c r="J711" s="439"/>
      <c r="K711" s="208">
        <v>763.6</v>
      </c>
      <c r="L711" s="208"/>
      <c r="M711" s="208" t="s">
        <v>1543</v>
      </c>
      <c r="N711" s="295"/>
      <c r="O711" s="209"/>
      <c r="P711" s="25"/>
      <c r="Q711" s="347">
        <v>184</v>
      </c>
      <c r="R711" s="302"/>
      <c r="S711" s="420">
        <f t="shared" si="110"/>
        <v>1196</v>
      </c>
      <c r="T711" s="420">
        <f t="shared" si="111"/>
        <v>184</v>
      </c>
      <c r="U711" s="420">
        <f t="shared" si="112"/>
        <v>147.19999999999999</v>
      </c>
      <c r="V711" s="118"/>
      <c r="W711" s="424">
        <f t="shared" si="113"/>
        <v>1527.2</v>
      </c>
      <c r="X711" s="424">
        <f t="shared" si="114"/>
        <v>1679.92</v>
      </c>
    </row>
    <row r="712" spans="1:24" s="119" customFormat="1" ht="24.9" hidden="1" customHeight="1">
      <c r="A712" s="296">
        <v>3</v>
      </c>
      <c r="B712" s="207" t="s">
        <v>1779</v>
      </c>
      <c r="C712" s="303" t="s">
        <v>1782</v>
      </c>
      <c r="D712" s="207" t="s">
        <v>235</v>
      </c>
      <c r="E712" s="298">
        <v>1</v>
      </c>
      <c r="F712" s="207" t="s">
        <v>236</v>
      </c>
      <c r="G712" s="208">
        <v>650</v>
      </c>
      <c r="H712" s="208">
        <v>100</v>
      </c>
      <c r="I712" s="299">
        <v>80</v>
      </c>
      <c r="J712" s="218"/>
      <c r="K712" s="208">
        <v>763.6</v>
      </c>
      <c r="L712" s="208"/>
      <c r="M712" s="208" t="s">
        <v>1543</v>
      </c>
      <c r="N712" s="295"/>
      <c r="O712" s="209"/>
      <c r="P712" s="25"/>
      <c r="Q712" s="347">
        <v>184</v>
      </c>
      <c r="R712" s="26"/>
      <c r="S712" s="420">
        <f t="shared" si="110"/>
        <v>1196</v>
      </c>
      <c r="T712" s="420">
        <f t="shared" si="111"/>
        <v>184</v>
      </c>
      <c r="U712" s="420">
        <f t="shared" si="112"/>
        <v>147.19999999999999</v>
      </c>
      <c r="V712" s="118"/>
      <c r="W712" s="424">
        <f t="shared" si="113"/>
        <v>1527.2</v>
      </c>
      <c r="X712" s="424">
        <f t="shared" si="114"/>
        <v>1679.92</v>
      </c>
    </row>
    <row r="713" spans="1:24" s="119" customFormat="1" ht="24.9" hidden="1" customHeight="1">
      <c r="A713" s="296">
        <v>4</v>
      </c>
      <c r="B713" s="207" t="s">
        <v>1779</v>
      </c>
      <c r="C713" s="303" t="s">
        <v>1783</v>
      </c>
      <c r="D713" s="207" t="s">
        <v>235</v>
      </c>
      <c r="E713" s="298">
        <v>1</v>
      </c>
      <c r="F713" s="207" t="s">
        <v>236</v>
      </c>
      <c r="G713" s="208">
        <v>188</v>
      </c>
      <c r="H713" s="208">
        <v>75</v>
      </c>
      <c r="I713" s="299">
        <v>72</v>
      </c>
      <c r="J713" s="439"/>
      <c r="K713" s="208">
        <v>308.2</v>
      </c>
      <c r="L713" s="208"/>
      <c r="M713" s="208" t="s">
        <v>1543</v>
      </c>
      <c r="N713" s="295"/>
      <c r="O713" s="209"/>
      <c r="P713" s="25"/>
      <c r="Q713" s="347">
        <v>184</v>
      </c>
      <c r="R713" s="26"/>
      <c r="S713" s="420">
        <f>Q713*G713/100</f>
        <v>345.92</v>
      </c>
      <c r="T713" s="420">
        <f>Q713*H713/100</f>
        <v>138</v>
      </c>
      <c r="U713" s="420">
        <f>Q713*I713/100</f>
        <v>132.47999999999999</v>
      </c>
      <c r="V713" s="118"/>
      <c r="W713" s="424">
        <f t="shared" si="113"/>
        <v>616.4</v>
      </c>
      <c r="X713" s="424">
        <f t="shared" si="114"/>
        <v>678.04000000000008</v>
      </c>
    </row>
    <row r="714" spans="1:24" s="119" customFormat="1" ht="24.9" hidden="1" customHeight="1">
      <c r="A714" s="296">
        <v>5</v>
      </c>
      <c r="B714" s="207" t="s">
        <v>1779</v>
      </c>
      <c r="C714" s="303" t="s">
        <v>1784</v>
      </c>
      <c r="D714" s="207" t="s">
        <v>235</v>
      </c>
      <c r="E714" s="298">
        <v>1</v>
      </c>
      <c r="F714" s="207" t="s">
        <v>236</v>
      </c>
      <c r="G714" s="208">
        <v>238</v>
      </c>
      <c r="H714" s="208">
        <v>128</v>
      </c>
      <c r="I714" s="299">
        <v>60</v>
      </c>
      <c r="J714" s="439"/>
      <c r="K714" s="208">
        <v>391.92</v>
      </c>
      <c r="L714" s="208"/>
      <c r="M714" s="208" t="s">
        <v>1543</v>
      </c>
      <c r="N714" s="295"/>
      <c r="O714" s="209"/>
      <c r="P714" s="25"/>
      <c r="Q714" s="347">
        <v>184</v>
      </c>
      <c r="R714" s="302"/>
      <c r="S714" s="420">
        <f>Q714*G714/100</f>
        <v>437.92</v>
      </c>
      <c r="T714" s="420">
        <f>Q714*H714/100</f>
        <v>235.52</v>
      </c>
      <c r="U714" s="420">
        <f>Q714*I714/100</f>
        <v>110.4</v>
      </c>
      <c r="V714" s="118"/>
      <c r="W714" s="424">
        <f t="shared" si="113"/>
        <v>783.84</v>
      </c>
      <c r="X714" s="424">
        <f t="shared" si="114"/>
        <v>862.22400000000016</v>
      </c>
    </row>
    <row r="715" spans="1:24" s="119" customFormat="1" ht="24.9" hidden="1" customHeight="1">
      <c r="A715" s="296">
        <v>6</v>
      </c>
      <c r="B715" s="207" t="s">
        <v>1779</v>
      </c>
      <c r="C715" s="303" t="s">
        <v>1785</v>
      </c>
      <c r="D715" s="207" t="s">
        <v>235</v>
      </c>
      <c r="E715" s="298">
        <v>1</v>
      </c>
      <c r="F715" s="207" t="s">
        <v>236</v>
      </c>
      <c r="G715" s="208">
        <v>220</v>
      </c>
      <c r="H715" s="208">
        <v>128</v>
      </c>
      <c r="I715" s="299">
        <v>60</v>
      </c>
      <c r="J715" s="439"/>
      <c r="K715" s="208">
        <v>375.36</v>
      </c>
      <c r="L715" s="208"/>
      <c r="M715" s="208" t="s">
        <v>1543</v>
      </c>
      <c r="N715" s="295"/>
      <c r="O715" s="209"/>
      <c r="P715" s="25"/>
      <c r="Q715" s="347">
        <v>184</v>
      </c>
      <c r="R715" s="26"/>
      <c r="S715" s="420">
        <f>Q715*G715/100</f>
        <v>404.8</v>
      </c>
      <c r="T715" s="420">
        <f>Q715*H715/100</f>
        <v>235.52</v>
      </c>
      <c r="U715" s="420">
        <f>Q715*I715/100</f>
        <v>110.4</v>
      </c>
      <c r="V715" s="118"/>
      <c r="W715" s="424">
        <f t="shared" si="113"/>
        <v>750.72</v>
      </c>
      <c r="X715" s="424">
        <f t="shared" si="114"/>
        <v>825.79200000000014</v>
      </c>
    </row>
    <row r="716" spans="1:24" s="307" customFormat="1" ht="24.9" hidden="1" customHeight="1">
      <c r="A716" s="234"/>
      <c r="B716" s="235"/>
      <c r="C716" s="246"/>
      <c r="D716" s="237"/>
      <c r="E716" s="238">
        <f>SUM(E710:E715)</f>
        <v>6</v>
      </c>
      <c r="F716" s="237"/>
      <c r="G716" s="239">
        <v>611</v>
      </c>
      <c r="H716" s="239">
        <v>231</v>
      </c>
      <c r="I716" s="240">
        <v>140</v>
      </c>
      <c r="J716" s="241">
        <f>ROUND(I716*H716*G716/1000000,3)</f>
        <v>19.760000000000002</v>
      </c>
      <c r="K716" s="242">
        <f>SUM(K710:K715)</f>
        <v>3275.2</v>
      </c>
      <c r="L716" s="239">
        <f>K716+140</f>
        <v>3415.2</v>
      </c>
      <c r="M716" s="239"/>
      <c r="N716" s="243"/>
      <c r="O716" s="244"/>
      <c r="P716" s="245"/>
      <c r="Q716" s="348"/>
      <c r="R716" s="26"/>
      <c r="S716" s="304"/>
      <c r="T716" s="305"/>
      <c r="U716" s="304"/>
      <c r="V716" s="306"/>
    </row>
    <row r="717" spans="1:24" s="119" customFormat="1" ht="24.9" hidden="1" customHeight="1">
      <c r="A717" s="296">
        <v>1</v>
      </c>
      <c r="B717" s="207" t="s">
        <v>1786</v>
      </c>
      <c r="C717" s="303" t="s">
        <v>1787</v>
      </c>
      <c r="D717" s="207" t="s">
        <v>235</v>
      </c>
      <c r="E717" s="298">
        <v>3</v>
      </c>
      <c r="F717" s="207" t="s">
        <v>236</v>
      </c>
      <c r="G717" s="208">
        <v>32.65</v>
      </c>
      <c r="H717" s="208">
        <v>20</v>
      </c>
      <c r="I717" s="299">
        <v>37.1</v>
      </c>
      <c r="J717" s="218"/>
      <c r="K717" s="208">
        <v>5.8346475000000009</v>
      </c>
      <c r="L717" s="208"/>
      <c r="M717" s="376" t="s">
        <v>1788</v>
      </c>
      <c r="N717" s="295"/>
      <c r="O717" s="209"/>
      <c r="P717" s="25" t="s">
        <v>1789</v>
      </c>
      <c r="Q717" s="347">
        <v>5.91</v>
      </c>
      <c r="R717" s="26"/>
      <c r="S717" s="420">
        <f>Q717*G717/100</f>
        <v>1.9296150000000001</v>
      </c>
      <c r="T717" s="420">
        <f>Q717*H717/100</f>
        <v>1.1819999999999999</v>
      </c>
      <c r="U717" s="420">
        <f>Q717*I717/100</f>
        <v>2.1926100000000002</v>
      </c>
      <c r="V717" s="118"/>
      <c r="W717" s="424">
        <f>S717+T717+U717</f>
        <v>5.3042250000000006</v>
      </c>
      <c r="X717" s="424">
        <f>W717*1.1</f>
        <v>5.8346475000000009</v>
      </c>
    </row>
    <row r="718" spans="1:24" s="119" customFormat="1" ht="24.9" hidden="1" customHeight="1">
      <c r="A718" s="296">
        <v>2</v>
      </c>
      <c r="B718" s="207" t="s">
        <v>1786</v>
      </c>
      <c r="C718" s="303" t="s">
        <v>1790</v>
      </c>
      <c r="D718" s="207" t="s">
        <v>235</v>
      </c>
      <c r="E718" s="298">
        <v>3</v>
      </c>
      <c r="F718" s="207" t="s">
        <v>236</v>
      </c>
      <c r="G718" s="208">
        <v>20</v>
      </c>
      <c r="H718" s="208">
        <v>20</v>
      </c>
      <c r="I718" s="299">
        <v>38.6</v>
      </c>
      <c r="J718" s="218"/>
      <c r="K718" s="208">
        <v>5.1097860000000006</v>
      </c>
      <c r="L718" s="208"/>
      <c r="M718" s="376" t="s">
        <v>1788</v>
      </c>
      <c r="N718" s="295"/>
      <c r="O718" s="209"/>
      <c r="P718" s="25"/>
      <c r="Q718" s="347">
        <v>5.91</v>
      </c>
      <c r="R718" s="302"/>
      <c r="S718" s="420">
        <f>Q718*G718/100</f>
        <v>1.1819999999999999</v>
      </c>
      <c r="T718" s="420">
        <f>Q718*H718/100</f>
        <v>1.1819999999999999</v>
      </c>
      <c r="U718" s="420">
        <f>Q718*I718/100</f>
        <v>2.2812600000000001</v>
      </c>
      <c r="V718" s="118"/>
      <c r="W718" s="424">
        <f>S718+T718+U718</f>
        <v>4.6452600000000004</v>
      </c>
      <c r="X718" s="424">
        <f>W718*1.1</f>
        <v>5.1097860000000006</v>
      </c>
    </row>
    <row r="719" spans="1:24" s="119" customFormat="1" ht="24.9" hidden="1" customHeight="1">
      <c r="A719" s="296">
        <v>3</v>
      </c>
      <c r="B719" s="207" t="s">
        <v>1786</v>
      </c>
      <c r="C719" s="303" t="s">
        <v>1791</v>
      </c>
      <c r="D719" s="207" t="s">
        <v>235</v>
      </c>
      <c r="E719" s="298">
        <v>6</v>
      </c>
      <c r="F719" s="207" t="s">
        <v>236</v>
      </c>
      <c r="G719" s="303">
        <v>27.05</v>
      </c>
      <c r="H719" s="208">
        <v>20</v>
      </c>
      <c r="I719" s="299">
        <v>26.5</v>
      </c>
      <c r="J719" s="218"/>
      <c r="K719" s="218">
        <v>4.7814855000000005</v>
      </c>
      <c r="L719" s="218"/>
      <c r="M719" s="376" t="s">
        <v>1245</v>
      </c>
      <c r="N719" s="295"/>
      <c r="O719" s="209"/>
      <c r="P719" s="25"/>
      <c r="Q719" s="347">
        <v>5.91</v>
      </c>
      <c r="R719" s="26"/>
      <c r="S719" s="420">
        <f>Q719*G719/100</f>
        <v>1.5986549999999999</v>
      </c>
      <c r="T719" s="420">
        <f>Q719*H719/100</f>
        <v>1.1819999999999999</v>
      </c>
      <c r="U719" s="420">
        <f>Q719*I719/100</f>
        <v>1.5661500000000002</v>
      </c>
      <c r="V719" s="118"/>
      <c r="W719" s="424">
        <f t="shared" ref="W719:W781" si="115">S719+T719+U719</f>
        <v>4.3468049999999998</v>
      </c>
      <c r="X719" s="424">
        <f t="shared" ref="X719:X781" si="116">W719*1.1</f>
        <v>4.7814855000000005</v>
      </c>
    </row>
    <row r="720" spans="1:24" s="119" customFormat="1" ht="24.9" hidden="1" customHeight="1">
      <c r="A720" s="296">
        <v>4</v>
      </c>
      <c r="B720" s="207" t="s">
        <v>1786</v>
      </c>
      <c r="C720" s="303" t="s">
        <v>1792</v>
      </c>
      <c r="D720" s="207" t="s">
        <v>235</v>
      </c>
      <c r="E720" s="298">
        <v>5</v>
      </c>
      <c r="F720" s="207" t="s">
        <v>236</v>
      </c>
      <c r="G720" s="303">
        <v>27.05</v>
      </c>
      <c r="H720" s="208">
        <v>20</v>
      </c>
      <c r="I720" s="299">
        <v>13</v>
      </c>
      <c r="J720" s="218"/>
      <c r="K720" s="218">
        <v>3.9038505000000003</v>
      </c>
      <c r="L720" s="218"/>
      <c r="M720" s="376" t="s">
        <v>1245</v>
      </c>
      <c r="N720" s="295"/>
      <c r="O720" s="209"/>
      <c r="P720" s="25"/>
      <c r="Q720" s="347">
        <v>5.91</v>
      </c>
      <c r="R720" s="302"/>
      <c r="S720" s="420">
        <f>Q720*G720/100</f>
        <v>1.5986549999999999</v>
      </c>
      <c r="T720" s="420">
        <f>Q720*H720/100</f>
        <v>1.1819999999999999</v>
      </c>
      <c r="U720" s="420">
        <f>Q720*I720/100</f>
        <v>0.76829999999999998</v>
      </c>
      <c r="V720" s="118"/>
      <c r="W720" s="424">
        <f t="shared" si="115"/>
        <v>3.5489549999999999</v>
      </c>
      <c r="X720" s="424">
        <f t="shared" si="116"/>
        <v>3.9038505000000003</v>
      </c>
    </row>
    <row r="721" spans="1:24" s="119" customFormat="1" ht="24.9" hidden="1" customHeight="1">
      <c r="A721" s="296">
        <v>5</v>
      </c>
      <c r="B721" s="207" t="s">
        <v>1786</v>
      </c>
      <c r="C721" s="303" t="s">
        <v>1793</v>
      </c>
      <c r="D721" s="207" t="s">
        <v>235</v>
      </c>
      <c r="E721" s="298">
        <v>2</v>
      </c>
      <c r="F721" s="207" t="s">
        <v>236</v>
      </c>
      <c r="G721" s="303">
        <v>27.05</v>
      </c>
      <c r="H721" s="208">
        <v>20</v>
      </c>
      <c r="I721" s="299">
        <v>26.5</v>
      </c>
      <c r="J721" s="218"/>
      <c r="K721" s="218">
        <v>4.7814855000000005</v>
      </c>
      <c r="L721" s="218"/>
      <c r="M721" s="376" t="s">
        <v>1245</v>
      </c>
      <c r="N721" s="295"/>
      <c r="O721" s="209"/>
      <c r="P721" s="25"/>
      <c r="Q721" s="347">
        <v>5.91</v>
      </c>
      <c r="R721" s="26"/>
      <c r="S721" s="420">
        <f t="shared" ref="S721:S757" si="117">Q721*G721/100</f>
        <v>1.5986549999999999</v>
      </c>
      <c r="T721" s="420">
        <f t="shared" ref="T721:T757" si="118">Q721*H721/100</f>
        <v>1.1819999999999999</v>
      </c>
      <c r="U721" s="420">
        <f t="shared" ref="U721:U757" si="119">Q721*I721/100</f>
        <v>1.5661500000000002</v>
      </c>
      <c r="V721" s="118"/>
      <c r="W721" s="424">
        <f t="shared" si="115"/>
        <v>4.3468049999999998</v>
      </c>
      <c r="X721" s="424">
        <f t="shared" si="116"/>
        <v>4.7814855000000005</v>
      </c>
    </row>
    <row r="722" spans="1:24" s="119" customFormat="1" ht="24.9" hidden="1" customHeight="1">
      <c r="A722" s="296">
        <v>6</v>
      </c>
      <c r="B722" s="207" t="s">
        <v>1786</v>
      </c>
      <c r="C722" s="303" t="s">
        <v>1794</v>
      </c>
      <c r="D722" s="207" t="s">
        <v>235</v>
      </c>
      <c r="E722" s="298">
        <v>3</v>
      </c>
      <c r="F722" s="207" t="s">
        <v>236</v>
      </c>
      <c r="G722" s="303">
        <v>88.3</v>
      </c>
      <c r="H722" s="208">
        <v>20</v>
      </c>
      <c r="I722" s="299">
        <v>26.5</v>
      </c>
      <c r="J722" s="218"/>
      <c r="K722" s="218">
        <v>8.7633480000000006</v>
      </c>
      <c r="L722" s="218"/>
      <c r="M722" s="376" t="s">
        <v>1245</v>
      </c>
      <c r="N722" s="295"/>
      <c r="O722" s="209"/>
      <c r="P722" s="25"/>
      <c r="Q722" s="347">
        <v>5.91</v>
      </c>
      <c r="R722" s="302"/>
      <c r="S722" s="420">
        <f t="shared" si="117"/>
        <v>5.2185299999999994</v>
      </c>
      <c r="T722" s="420">
        <f t="shared" si="118"/>
        <v>1.1819999999999999</v>
      </c>
      <c r="U722" s="420">
        <f t="shared" si="119"/>
        <v>1.5661500000000002</v>
      </c>
      <c r="V722" s="118"/>
      <c r="W722" s="424">
        <f t="shared" si="115"/>
        <v>7.9666800000000002</v>
      </c>
      <c r="X722" s="424">
        <f t="shared" si="116"/>
        <v>8.7633480000000006</v>
      </c>
    </row>
    <row r="723" spans="1:24" s="119" customFormat="1" ht="24.9" hidden="1" customHeight="1">
      <c r="A723" s="296">
        <v>7</v>
      </c>
      <c r="B723" s="207" t="s">
        <v>1786</v>
      </c>
      <c r="C723" s="303" t="s">
        <v>1795</v>
      </c>
      <c r="D723" s="207" t="s">
        <v>235</v>
      </c>
      <c r="E723" s="298">
        <v>1</v>
      </c>
      <c r="F723" s="207" t="s">
        <v>236</v>
      </c>
      <c r="G723" s="303">
        <v>33</v>
      </c>
      <c r="H723" s="208">
        <v>7</v>
      </c>
      <c r="I723" s="299">
        <v>4.4000000000000004</v>
      </c>
      <c r="J723" s="218"/>
      <c r="K723" s="218">
        <v>2.886444</v>
      </c>
      <c r="L723" s="218"/>
      <c r="M723" s="376" t="s">
        <v>1245</v>
      </c>
      <c r="N723" s="295"/>
      <c r="O723" s="209"/>
      <c r="P723" s="25"/>
      <c r="Q723" s="347">
        <v>5.91</v>
      </c>
      <c r="R723" s="26"/>
      <c r="S723" s="420">
        <f t="shared" si="117"/>
        <v>1.9502999999999999</v>
      </c>
      <c r="T723" s="420">
        <f t="shared" si="118"/>
        <v>0.41370000000000007</v>
      </c>
      <c r="U723" s="420">
        <f t="shared" si="119"/>
        <v>0.26003999999999999</v>
      </c>
      <c r="V723" s="118"/>
      <c r="W723" s="424">
        <f t="shared" si="115"/>
        <v>2.6240399999999999</v>
      </c>
      <c r="X723" s="424">
        <f t="shared" si="116"/>
        <v>2.886444</v>
      </c>
    </row>
    <row r="724" spans="1:24" s="119" customFormat="1" ht="24.9" hidden="1" customHeight="1">
      <c r="A724" s="296">
        <v>8</v>
      </c>
      <c r="B724" s="207" t="s">
        <v>1786</v>
      </c>
      <c r="C724" s="303" t="s">
        <v>1796</v>
      </c>
      <c r="D724" s="207" t="s">
        <v>235</v>
      </c>
      <c r="E724" s="298">
        <v>1</v>
      </c>
      <c r="F724" s="207" t="s">
        <v>236</v>
      </c>
      <c r="G724" s="303">
        <v>33</v>
      </c>
      <c r="H724" s="208">
        <v>7</v>
      </c>
      <c r="I724" s="299">
        <v>5</v>
      </c>
      <c r="J724" s="218"/>
      <c r="K724" s="218">
        <v>2.9254500000000001</v>
      </c>
      <c r="L724" s="218"/>
      <c r="M724" s="376" t="s">
        <v>1245</v>
      </c>
      <c r="N724" s="295"/>
      <c r="O724" s="209"/>
      <c r="P724" s="25"/>
      <c r="Q724" s="347">
        <v>5.91</v>
      </c>
      <c r="R724" s="302"/>
      <c r="S724" s="420">
        <f t="shared" si="117"/>
        <v>1.9502999999999999</v>
      </c>
      <c r="T724" s="420">
        <f t="shared" si="118"/>
        <v>0.41370000000000007</v>
      </c>
      <c r="U724" s="420">
        <f t="shared" si="119"/>
        <v>0.29549999999999998</v>
      </c>
      <c r="V724" s="118"/>
      <c r="W724" s="424">
        <f t="shared" si="115"/>
        <v>2.6595</v>
      </c>
      <c r="X724" s="424">
        <f t="shared" si="116"/>
        <v>2.9254500000000001</v>
      </c>
    </row>
    <row r="725" spans="1:24" s="119" customFormat="1" ht="24.9" hidden="1" customHeight="1">
      <c r="A725" s="296">
        <v>9</v>
      </c>
      <c r="B725" s="207" t="s">
        <v>1786</v>
      </c>
      <c r="C725" s="303" t="s">
        <v>1797</v>
      </c>
      <c r="D725" s="207" t="s">
        <v>235</v>
      </c>
      <c r="E725" s="298">
        <v>1</v>
      </c>
      <c r="F725" s="207" t="s">
        <v>236</v>
      </c>
      <c r="G725" s="303">
        <v>33</v>
      </c>
      <c r="H725" s="208">
        <v>7</v>
      </c>
      <c r="I725" s="299">
        <v>5.6</v>
      </c>
      <c r="J725" s="218"/>
      <c r="K725" s="218">
        <v>2.9644560000000002</v>
      </c>
      <c r="L725" s="218"/>
      <c r="M725" s="376" t="s">
        <v>1245</v>
      </c>
      <c r="N725" s="295"/>
      <c r="O725" s="209"/>
      <c r="P725" s="25"/>
      <c r="Q725" s="347">
        <v>5.91</v>
      </c>
      <c r="R725" s="26"/>
      <c r="S725" s="420">
        <f t="shared" si="117"/>
        <v>1.9502999999999999</v>
      </c>
      <c r="T725" s="420">
        <f t="shared" si="118"/>
        <v>0.41370000000000007</v>
      </c>
      <c r="U725" s="420">
        <f t="shared" si="119"/>
        <v>0.33095999999999998</v>
      </c>
      <c r="V725" s="118"/>
      <c r="W725" s="424">
        <f t="shared" si="115"/>
        <v>2.69496</v>
      </c>
      <c r="X725" s="424">
        <f t="shared" si="116"/>
        <v>2.9644560000000002</v>
      </c>
    </row>
    <row r="726" spans="1:24" s="119" customFormat="1" ht="24.9" hidden="1" customHeight="1">
      <c r="A726" s="296">
        <v>10</v>
      </c>
      <c r="B726" s="207" t="s">
        <v>1786</v>
      </c>
      <c r="C726" s="303" t="s">
        <v>1798</v>
      </c>
      <c r="D726" s="207" t="s">
        <v>235</v>
      </c>
      <c r="E726" s="298">
        <v>1</v>
      </c>
      <c r="F726" s="207" t="s">
        <v>236</v>
      </c>
      <c r="G726" s="303">
        <v>33</v>
      </c>
      <c r="H726" s="208">
        <v>7</v>
      </c>
      <c r="I726" s="299">
        <v>6.3</v>
      </c>
      <c r="J726" s="218"/>
      <c r="K726" s="218">
        <v>3.0099629999999999</v>
      </c>
      <c r="L726" s="218"/>
      <c r="M726" s="376" t="s">
        <v>1245</v>
      </c>
      <c r="N726" s="295"/>
      <c r="O726" s="209"/>
      <c r="P726" s="25"/>
      <c r="Q726" s="347">
        <v>5.91</v>
      </c>
      <c r="R726" s="302"/>
      <c r="S726" s="420">
        <f t="shared" si="117"/>
        <v>1.9502999999999999</v>
      </c>
      <c r="T726" s="420">
        <f t="shared" si="118"/>
        <v>0.41370000000000007</v>
      </c>
      <c r="U726" s="420">
        <f t="shared" si="119"/>
        <v>0.37232999999999999</v>
      </c>
      <c r="V726" s="118"/>
      <c r="W726" s="424">
        <f t="shared" si="115"/>
        <v>2.7363299999999997</v>
      </c>
      <c r="X726" s="424">
        <f t="shared" si="116"/>
        <v>3.0099629999999999</v>
      </c>
    </row>
    <row r="727" spans="1:24" s="119" customFormat="1" ht="24.9" hidden="1" customHeight="1">
      <c r="A727" s="296">
        <v>11</v>
      </c>
      <c r="B727" s="207" t="s">
        <v>1786</v>
      </c>
      <c r="C727" s="303" t="s">
        <v>1799</v>
      </c>
      <c r="D727" s="207" t="s">
        <v>235</v>
      </c>
      <c r="E727" s="298">
        <v>1</v>
      </c>
      <c r="F727" s="207" t="s">
        <v>236</v>
      </c>
      <c r="G727" s="303">
        <v>33</v>
      </c>
      <c r="H727" s="208">
        <v>7</v>
      </c>
      <c r="I727" s="299">
        <v>6.9</v>
      </c>
      <c r="J727" s="218"/>
      <c r="K727" s="218">
        <v>3.048969</v>
      </c>
      <c r="L727" s="218"/>
      <c r="M727" s="376" t="s">
        <v>1245</v>
      </c>
      <c r="N727" s="295"/>
      <c r="O727" s="209"/>
      <c r="P727" s="25"/>
      <c r="Q727" s="347">
        <v>5.91</v>
      </c>
      <c r="R727" s="26"/>
      <c r="S727" s="420">
        <f t="shared" si="117"/>
        <v>1.9502999999999999</v>
      </c>
      <c r="T727" s="420">
        <f t="shared" si="118"/>
        <v>0.41370000000000007</v>
      </c>
      <c r="U727" s="420">
        <f t="shared" si="119"/>
        <v>0.40779000000000004</v>
      </c>
      <c r="V727" s="118"/>
      <c r="W727" s="424">
        <f t="shared" si="115"/>
        <v>2.7717899999999998</v>
      </c>
      <c r="X727" s="424">
        <f t="shared" si="116"/>
        <v>3.048969</v>
      </c>
    </row>
    <row r="728" spans="1:24" s="119" customFormat="1" ht="24.9" hidden="1" customHeight="1">
      <c r="A728" s="296">
        <v>12</v>
      </c>
      <c r="B728" s="207" t="s">
        <v>1786</v>
      </c>
      <c r="C728" s="303" t="s">
        <v>1800</v>
      </c>
      <c r="D728" s="207" t="s">
        <v>235</v>
      </c>
      <c r="E728" s="298">
        <v>1</v>
      </c>
      <c r="F728" s="207" t="s">
        <v>236</v>
      </c>
      <c r="G728" s="303">
        <v>33</v>
      </c>
      <c r="H728" s="208">
        <v>7</v>
      </c>
      <c r="I728" s="299">
        <v>7.5</v>
      </c>
      <c r="J728" s="218"/>
      <c r="K728" s="218">
        <v>3.0879750000000001</v>
      </c>
      <c r="L728" s="218"/>
      <c r="M728" s="376" t="s">
        <v>1245</v>
      </c>
      <c r="N728" s="295"/>
      <c r="O728" s="209"/>
      <c r="P728" s="25"/>
      <c r="Q728" s="347">
        <v>5.91</v>
      </c>
      <c r="R728" s="302"/>
      <c r="S728" s="420">
        <f t="shared" si="117"/>
        <v>1.9502999999999999</v>
      </c>
      <c r="T728" s="420">
        <f t="shared" si="118"/>
        <v>0.41370000000000007</v>
      </c>
      <c r="U728" s="420">
        <f t="shared" si="119"/>
        <v>0.44325000000000003</v>
      </c>
      <c r="V728" s="118"/>
      <c r="W728" s="424">
        <f t="shared" si="115"/>
        <v>2.8072499999999998</v>
      </c>
      <c r="X728" s="424">
        <f t="shared" si="116"/>
        <v>3.0879750000000001</v>
      </c>
    </row>
    <row r="729" spans="1:24" s="119" customFormat="1" ht="24.9" hidden="1" customHeight="1">
      <c r="A729" s="296">
        <v>13</v>
      </c>
      <c r="B729" s="207" t="s">
        <v>1786</v>
      </c>
      <c r="C729" s="303" t="s">
        <v>1801</v>
      </c>
      <c r="D729" s="207" t="s">
        <v>235</v>
      </c>
      <c r="E729" s="298">
        <v>1</v>
      </c>
      <c r="F729" s="207" t="s">
        <v>236</v>
      </c>
      <c r="G729" s="303">
        <v>34</v>
      </c>
      <c r="H729" s="208">
        <v>6.5</v>
      </c>
      <c r="I729" s="299">
        <v>9.1999999999999993</v>
      </c>
      <c r="J729" s="218"/>
      <c r="K729" s="218">
        <v>3.2309969999999999</v>
      </c>
      <c r="L729" s="218"/>
      <c r="M729" s="376" t="s">
        <v>1245</v>
      </c>
      <c r="N729" s="295"/>
      <c r="O729" s="209"/>
      <c r="P729" s="25"/>
      <c r="Q729" s="347">
        <v>5.91</v>
      </c>
      <c r="R729" s="26"/>
      <c r="S729" s="420">
        <f t="shared" si="117"/>
        <v>2.0093999999999999</v>
      </c>
      <c r="T729" s="420">
        <f t="shared" si="118"/>
        <v>0.38414999999999999</v>
      </c>
      <c r="U729" s="420">
        <f t="shared" si="119"/>
        <v>0.54371999999999998</v>
      </c>
      <c r="V729" s="118"/>
      <c r="W729" s="424">
        <f t="shared" si="115"/>
        <v>2.9372699999999998</v>
      </c>
      <c r="X729" s="424">
        <f t="shared" si="116"/>
        <v>3.2309969999999999</v>
      </c>
    </row>
    <row r="730" spans="1:24" s="119" customFormat="1" ht="24.9" hidden="1" customHeight="1">
      <c r="A730" s="296">
        <v>14</v>
      </c>
      <c r="B730" s="207" t="s">
        <v>1786</v>
      </c>
      <c r="C730" s="303" t="s">
        <v>1802</v>
      </c>
      <c r="D730" s="207" t="s">
        <v>235</v>
      </c>
      <c r="E730" s="298">
        <v>1</v>
      </c>
      <c r="F730" s="207" t="s">
        <v>236</v>
      </c>
      <c r="G730" s="303">
        <v>34</v>
      </c>
      <c r="H730" s="208">
        <v>6.5</v>
      </c>
      <c r="I730" s="299">
        <v>9.6999999999999993</v>
      </c>
      <c r="J730" s="218"/>
      <c r="K730" s="218">
        <v>3.2635019999999999</v>
      </c>
      <c r="L730" s="218"/>
      <c r="M730" s="376" t="s">
        <v>1245</v>
      </c>
      <c r="N730" s="295"/>
      <c r="O730" s="209"/>
      <c r="P730" s="25"/>
      <c r="Q730" s="347">
        <v>5.91</v>
      </c>
      <c r="R730" s="302"/>
      <c r="S730" s="420">
        <f t="shared" si="117"/>
        <v>2.0093999999999999</v>
      </c>
      <c r="T730" s="420">
        <f t="shared" si="118"/>
        <v>0.38414999999999999</v>
      </c>
      <c r="U730" s="420">
        <f t="shared" si="119"/>
        <v>0.57326999999999995</v>
      </c>
      <c r="V730" s="118"/>
      <c r="W730" s="424">
        <f t="shared" si="115"/>
        <v>2.9668199999999998</v>
      </c>
      <c r="X730" s="424">
        <f t="shared" si="116"/>
        <v>3.2635019999999999</v>
      </c>
    </row>
    <row r="731" spans="1:24" s="119" customFormat="1" ht="24.9" hidden="1" customHeight="1">
      <c r="A731" s="296">
        <v>15</v>
      </c>
      <c r="B731" s="207" t="s">
        <v>1786</v>
      </c>
      <c r="C731" s="303" t="s">
        <v>1803</v>
      </c>
      <c r="D731" s="207" t="s">
        <v>235</v>
      </c>
      <c r="E731" s="298">
        <v>1</v>
      </c>
      <c r="F731" s="207" t="s">
        <v>236</v>
      </c>
      <c r="G731" s="303">
        <v>34</v>
      </c>
      <c r="H731" s="208">
        <v>6.5</v>
      </c>
      <c r="I731" s="299">
        <v>10.4</v>
      </c>
      <c r="J731" s="218"/>
      <c r="K731" s="218">
        <v>3.3090090000000001</v>
      </c>
      <c r="L731" s="218"/>
      <c r="M731" s="376" t="s">
        <v>1245</v>
      </c>
      <c r="N731" s="295"/>
      <c r="O731" s="209"/>
      <c r="P731" s="25"/>
      <c r="Q731" s="347">
        <v>5.91</v>
      </c>
      <c r="R731" s="26"/>
      <c r="S731" s="420">
        <f t="shared" si="117"/>
        <v>2.0093999999999999</v>
      </c>
      <c r="T731" s="420">
        <f t="shared" si="118"/>
        <v>0.38414999999999999</v>
      </c>
      <c r="U731" s="420">
        <f t="shared" si="119"/>
        <v>0.61464000000000008</v>
      </c>
      <c r="V731" s="118"/>
      <c r="W731" s="424">
        <f t="shared" si="115"/>
        <v>3.0081899999999999</v>
      </c>
      <c r="X731" s="424">
        <f t="shared" si="116"/>
        <v>3.3090090000000001</v>
      </c>
    </row>
    <row r="732" spans="1:24" s="119" customFormat="1" ht="24.9" hidden="1" customHeight="1">
      <c r="A732" s="296">
        <v>16</v>
      </c>
      <c r="B732" s="207" t="s">
        <v>1786</v>
      </c>
      <c r="C732" s="303" t="s">
        <v>1804</v>
      </c>
      <c r="D732" s="207" t="s">
        <v>235</v>
      </c>
      <c r="E732" s="298">
        <v>1</v>
      </c>
      <c r="F732" s="207" t="s">
        <v>236</v>
      </c>
      <c r="G732" s="303">
        <v>34</v>
      </c>
      <c r="H732" s="208">
        <v>6.5</v>
      </c>
      <c r="I732" s="299">
        <v>11.1</v>
      </c>
      <c r="J732" s="218"/>
      <c r="K732" s="218">
        <v>3.3545159999999998</v>
      </c>
      <c r="L732" s="218"/>
      <c r="M732" s="376" t="s">
        <v>1245</v>
      </c>
      <c r="N732" s="295"/>
      <c r="O732" s="209"/>
      <c r="P732" s="25"/>
      <c r="Q732" s="347">
        <v>5.91</v>
      </c>
      <c r="R732" s="302"/>
      <c r="S732" s="420">
        <f t="shared" si="117"/>
        <v>2.0093999999999999</v>
      </c>
      <c r="T732" s="420">
        <f t="shared" si="118"/>
        <v>0.38414999999999999</v>
      </c>
      <c r="U732" s="420">
        <f t="shared" si="119"/>
        <v>0.65600999999999998</v>
      </c>
      <c r="V732" s="118"/>
      <c r="W732" s="424">
        <f t="shared" si="115"/>
        <v>3.0495599999999996</v>
      </c>
      <c r="X732" s="424">
        <f t="shared" si="116"/>
        <v>3.3545159999999998</v>
      </c>
    </row>
    <row r="733" spans="1:24" s="119" customFormat="1" ht="24.9" hidden="1" customHeight="1">
      <c r="A733" s="296">
        <v>17</v>
      </c>
      <c r="B733" s="207" t="s">
        <v>1786</v>
      </c>
      <c r="C733" s="303" t="s">
        <v>1805</v>
      </c>
      <c r="D733" s="207" t="s">
        <v>235</v>
      </c>
      <c r="E733" s="298">
        <v>1</v>
      </c>
      <c r="F733" s="207" t="s">
        <v>236</v>
      </c>
      <c r="G733" s="303">
        <v>34</v>
      </c>
      <c r="H733" s="208">
        <v>6.5</v>
      </c>
      <c r="I733" s="299">
        <v>11.7</v>
      </c>
      <c r="J733" s="218"/>
      <c r="K733" s="218">
        <v>3.3935219999999999</v>
      </c>
      <c r="L733" s="218"/>
      <c r="M733" s="376" t="s">
        <v>1245</v>
      </c>
      <c r="N733" s="295"/>
      <c r="O733" s="209"/>
      <c r="P733" s="25"/>
      <c r="Q733" s="347">
        <v>5.91</v>
      </c>
      <c r="R733" s="26"/>
      <c r="S733" s="420">
        <f t="shared" si="117"/>
        <v>2.0093999999999999</v>
      </c>
      <c r="T733" s="420">
        <f t="shared" si="118"/>
        <v>0.38414999999999999</v>
      </c>
      <c r="U733" s="420">
        <f t="shared" si="119"/>
        <v>0.69146999999999992</v>
      </c>
      <c r="V733" s="118"/>
      <c r="W733" s="424">
        <f t="shared" si="115"/>
        <v>3.0850199999999997</v>
      </c>
      <c r="X733" s="424">
        <f t="shared" si="116"/>
        <v>3.3935219999999999</v>
      </c>
    </row>
    <row r="734" spans="1:24" s="119" customFormat="1" ht="24.9" hidden="1" customHeight="1">
      <c r="A734" s="296">
        <v>18</v>
      </c>
      <c r="B734" s="207" t="s">
        <v>1786</v>
      </c>
      <c r="C734" s="303" t="s">
        <v>1806</v>
      </c>
      <c r="D734" s="207" t="s">
        <v>235</v>
      </c>
      <c r="E734" s="298">
        <v>1</v>
      </c>
      <c r="F734" s="207" t="s">
        <v>236</v>
      </c>
      <c r="G734" s="303">
        <v>34</v>
      </c>
      <c r="H734" s="208">
        <v>6.5</v>
      </c>
      <c r="I734" s="299">
        <v>12.3</v>
      </c>
      <c r="J734" s="218"/>
      <c r="K734" s="218">
        <v>3.432528</v>
      </c>
      <c r="L734" s="218"/>
      <c r="M734" s="376" t="s">
        <v>1245</v>
      </c>
      <c r="N734" s="295"/>
      <c r="O734" s="209"/>
      <c r="P734" s="25"/>
      <c r="Q734" s="347">
        <v>5.91</v>
      </c>
      <c r="R734" s="302"/>
      <c r="S734" s="420">
        <f t="shared" si="117"/>
        <v>2.0093999999999999</v>
      </c>
      <c r="T734" s="420">
        <f t="shared" si="118"/>
        <v>0.38414999999999999</v>
      </c>
      <c r="U734" s="420">
        <f t="shared" si="119"/>
        <v>0.72693000000000008</v>
      </c>
      <c r="V734" s="118"/>
      <c r="W734" s="424">
        <f t="shared" si="115"/>
        <v>3.1204799999999997</v>
      </c>
      <c r="X734" s="424">
        <f t="shared" si="116"/>
        <v>3.432528</v>
      </c>
    </row>
    <row r="735" spans="1:24" s="119" customFormat="1" ht="24.9" hidden="1" customHeight="1">
      <c r="A735" s="296">
        <v>19</v>
      </c>
      <c r="B735" s="207" t="s">
        <v>1786</v>
      </c>
      <c r="C735" s="303" t="s">
        <v>1807</v>
      </c>
      <c r="D735" s="207" t="s">
        <v>235</v>
      </c>
      <c r="E735" s="298">
        <v>1</v>
      </c>
      <c r="F735" s="207" t="s">
        <v>236</v>
      </c>
      <c r="G735" s="303">
        <v>34</v>
      </c>
      <c r="H735" s="208">
        <v>6.5</v>
      </c>
      <c r="I735" s="299">
        <v>13</v>
      </c>
      <c r="J735" s="218"/>
      <c r="K735" s="218">
        <v>3.4780350000000002</v>
      </c>
      <c r="L735" s="218"/>
      <c r="M735" s="376" t="s">
        <v>1245</v>
      </c>
      <c r="N735" s="295"/>
      <c r="O735" s="209"/>
      <c r="P735" s="25"/>
      <c r="Q735" s="347">
        <v>5.91</v>
      </c>
      <c r="R735" s="26"/>
      <c r="S735" s="420">
        <f t="shared" si="117"/>
        <v>2.0093999999999999</v>
      </c>
      <c r="T735" s="420">
        <f t="shared" si="118"/>
        <v>0.38414999999999999</v>
      </c>
      <c r="U735" s="420">
        <f t="shared" si="119"/>
        <v>0.76829999999999998</v>
      </c>
      <c r="V735" s="118"/>
      <c r="W735" s="424">
        <f t="shared" si="115"/>
        <v>3.1618499999999998</v>
      </c>
      <c r="X735" s="424">
        <f t="shared" si="116"/>
        <v>3.4780350000000002</v>
      </c>
    </row>
    <row r="736" spans="1:24" s="119" customFormat="1" ht="24.9" hidden="1" customHeight="1">
      <c r="A736" s="296">
        <v>20</v>
      </c>
      <c r="B736" s="207" t="s">
        <v>1786</v>
      </c>
      <c r="C736" s="303" t="s">
        <v>1808</v>
      </c>
      <c r="D736" s="207" t="s">
        <v>235</v>
      </c>
      <c r="E736" s="298">
        <v>1</v>
      </c>
      <c r="F736" s="207" t="s">
        <v>236</v>
      </c>
      <c r="G736" s="303">
        <v>34</v>
      </c>
      <c r="H736" s="208">
        <v>6.5</v>
      </c>
      <c r="I736" s="299">
        <v>13.6</v>
      </c>
      <c r="J736" s="218"/>
      <c r="K736" s="218">
        <v>3.5170410000000003</v>
      </c>
      <c r="L736" s="218"/>
      <c r="M736" s="376" t="s">
        <v>1245</v>
      </c>
      <c r="N736" s="295"/>
      <c r="O736" s="209"/>
      <c r="P736" s="25"/>
      <c r="Q736" s="347">
        <v>5.91</v>
      </c>
      <c r="R736" s="302"/>
      <c r="S736" s="420">
        <f t="shared" si="117"/>
        <v>2.0093999999999999</v>
      </c>
      <c r="T736" s="420">
        <f t="shared" si="118"/>
        <v>0.38414999999999999</v>
      </c>
      <c r="U736" s="420">
        <f t="shared" si="119"/>
        <v>0.80376000000000003</v>
      </c>
      <c r="V736" s="118"/>
      <c r="W736" s="424">
        <f t="shared" si="115"/>
        <v>3.1973099999999999</v>
      </c>
      <c r="X736" s="424">
        <f t="shared" si="116"/>
        <v>3.5170410000000003</v>
      </c>
    </row>
    <row r="737" spans="1:24" s="119" customFormat="1" ht="24.9" hidden="1" customHeight="1">
      <c r="A737" s="296">
        <v>21</v>
      </c>
      <c r="B737" s="207" t="s">
        <v>1786</v>
      </c>
      <c r="C737" s="303" t="s">
        <v>1809</v>
      </c>
      <c r="D737" s="207" t="s">
        <v>235</v>
      </c>
      <c r="E737" s="298">
        <v>1</v>
      </c>
      <c r="F737" s="207" t="s">
        <v>236</v>
      </c>
      <c r="G737" s="303">
        <v>34</v>
      </c>
      <c r="H737" s="208">
        <v>6.5</v>
      </c>
      <c r="I737" s="299">
        <v>14.3</v>
      </c>
      <c r="J737" s="218"/>
      <c r="K737" s="218">
        <v>3.5625480000000005</v>
      </c>
      <c r="L737" s="218"/>
      <c r="M737" s="376" t="s">
        <v>1245</v>
      </c>
      <c r="N737" s="295"/>
      <c r="O737" s="209"/>
      <c r="P737" s="25"/>
      <c r="Q737" s="347">
        <v>5.91</v>
      </c>
      <c r="R737" s="26"/>
      <c r="S737" s="420">
        <f t="shared" si="117"/>
        <v>2.0093999999999999</v>
      </c>
      <c r="T737" s="420">
        <f t="shared" si="118"/>
        <v>0.38414999999999999</v>
      </c>
      <c r="U737" s="420">
        <f t="shared" si="119"/>
        <v>0.84513000000000005</v>
      </c>
      <c r="V737" s="118"/>
      <c r="W737" s="424">
        <f t="shared" si="115"/>
        <v>3.23868</v>
      </c>
      <c r="X737" s="424">
        <f t="shared" si="116"/>
        <v>3.5625480000000005</v>
      </c>
    </row>
    <row r="738" spans="1:24" s="119" customFormat="1" ht="24.9" hidden="1" customHeight="1">
      <c r="A738" s="296">
        <v>22</v>
      </c>
      <c r="B738" s="207" t="s">
        <v>1786</v>
      </c>
      <c r="C738" s="303" t="s">
        <v>1810</v>
      </c>
      <c r="D738" s="207" t="s">
        <v>235</v>
      </c>
      <c r="E738" s="298">
        <v>1</v>
      </c>
      <c r="F738" s="207" t="s">
        <v>236</v>
      </c>
      <c r="G738" s="303">
        <v>34</v>
      </c>
      <c r="H738" s="208">
        <v>6.5</v>
      </c>
      <c r="I738" s="299">
        <v>14.9</v>
      </c>
      <c r="J738" s="218"/>
      <c r="K738" s="218">
        <v>3.6015540000000001</v>
      </c>
      <c r="L738" s="218"/>
      <c r="M738" s="376" t="s">
        <v>1245</v>
      </c>
      <c r="N738" s="295"/>
      <c r="O738" s="209"/>
      <c r="P738" s="25"/>
      <c r="Q738" s="347">
        <v>5.91</v>
      </c>
      <c r="R738" s="302"/>
      <c r="S738" s="420">
        <f t="shared" si="117"/>
        <v>2.0093999999999999</v>
      </c>
      <c r="T738" s="420">
        <f t="shared" si="118"/>
        <v>0.38414999999999999</v>
      </c>
      <c r="U738" s="420">
        <f t="shared" si="119"/>
        <v>0.88058999999999998</v>
      </c>
      <c r="V738" s="118"/>
      <c r="W738" s="424">
        <f t="shared" si="115"/>
        <v>3.2741400000000001</v>
      </c>
      <c r="X738" s="424">
        <f t="shared" si="116"/>
        <v>3.6015540000000001</v>
      </c>
    </row>
    <row r="739" spans="1:24" s="119" customFormat="1" ht="24.9" hidden="1" customHeight="1">
      <c r="A739" s="296">
        <v>23</v>
      </c>
      <c r="B739" s="207" t="s">
        <v>1786</v>
      </c>
      <c r="C739" s="303" t="s">
        <v>1811</v>
      </c>
      <c r="D739" s="207" t="s">
        <v>235</v>
      </c>
      <c r="E739" s="298">
        <v>1</v>
      </c>
      <c r="F739" s="207" t="s">
        <v>236</v>
      </c>
      <c r="G739" s="303">
        <v>34</v>
      </c>
      <c r="H739" s="208">
        <v>6.5</v>
      </c>
      <c r="I739" s="299">
        <v>15.5</v>
      </c>
      <c r="J739" s="218"/>
      <c r="K739" s="218">
        <v>3.6405599999999998</v>
      </c>
      <c r="L739" s="218"/>
      <c r="M739" s="376" t="s">
        <v>1245</v>
      </c>
      <c r="N739" s="295"/>
      <c r="O739" s="209"/>
      <c r="P739" s="25"/>
      <c r="Q739" s="347">
        <v>5.91</v>
      </c>
      <c r="R739" s="26"/>
      <c r="S739" s="420">
        <f t="shared" si="117"/>
        <v>2.0093999999999999</v>
      </c>
      <c r="T739" s="420">
        <f t="shared" si="118"/>
        <v>0.38414999999999999</v>
      </c>
      <c r="U739" s="420">
        <f t="shared" si="119"/>
        <v>0.91605000000000003</v>
      </c>
      <c r="V739" s="118"/>
      <c r="W739" s="424">
        <f t="shared" si="115"/>
        <v>3.3095999999999997</v>
      </c>
      <c r="X739" s="424">
        <f t="shared" si="116"/>
        <v>3.6405599999999998</v>
      </c>
    </row>
    <row r="740" spans="1:24" s="119" customFormat="1" ht="24.9" hidden="1" customHeight="1">
      <c r="A740" s="296">
        <v>24</v>
      </c>
      <c r="B740" s="207" t="s">
        <v>1786</v>
      </c>
      <c r="C740" s="303" t="s">
        <v>1812</v>
      </c>
      <c r="D740" s="207" t="s">
        <v>235</v>
      </c>
      <c r="E740" s="298">
        <v>1</v>
      </c>
      <c r="F740" s="207" t="s">
        <v>236</v>
      </c>
      <c r="G740" s="303">
        <v>34</v>
      </c>
      <c r="H740" s="208">
        <v>6.5</v>
      </c>
      <c r="I740" s="299">
        <v>16.2</v>
      </c>
      <c r="J740" s="218"/>
      <c r="K740" s="218">
        <v>3.686067</v>
      </c>
      <c r="L740" s="218"/>
      <c r="M740" s="376" t="s">
        <v>1245</v>
      </c>
      <c r="N740" s="295"/>
      <c r="O740" s="209"/>
      <c r="P740" s="25"/>
      <c r="Q740" s="347">
        <v>5.91</v>
      </c>
      <c r="R740" s="302"/>
      <c r="S740" s="420">
        <f t="shared" si="117"/>
        <v>2.0093999999999999</v>
      </c>
      <c r="T740" s="420">
        <f t="shared" si="118"/>
        <v>0.38414999999999999</v>
      </c>
      <c r="U740" s="420">
        <f t="shared" si="119"/>
        <v>0.95742000000000005</v>
      </c>
      <c r="V740" s="118"/>
      <c r="W740" s="424">
        <f t="shared" si="115"/>
        <v>3.3509699999999998</v>
      </c>
      <c r="X740" s="424">
        <f t="shared" si="116"/>
        <v>3.686067</v>
      </c>
    </row>
    <row r="741" spans="1:24" s="119" customFormat="1" ht="24.9" hidden="1" customHeight="1">
      <c r="A741" s="296">
        <v>25</v>
      </c>
      <c r="B741" s="207" t="s">
        <v>1786</v>
      </c>
      <c r="C741" s="303" t="s">
        <v>1813</v>
      </c>
      <c r="D741" s="207" t="s">
        <v>235</v>
      </c>
      <c r="E741" s="298">
        <v>1</v>
      </c>
      <c r="F741" s="207" t="s">
        <v>236</v>
      </c>
      <c r="G741" s="303">
        <v>34</v>
      </c>
      <c r="H741" s="208">
        <v>6.5</v>
      </c>
      <c r="I741" s="299">
        <v>16.8</v>
      </c>
      <c r="J741" s="218"/>
      <c r="K741" s="218">
        <v>3.7250730000000001</v>
      </c>
      <c r="L741" s="218"/>
      <c r="M741" s="376" t="s">
        <v>1245</v>
      </c>
      <c r="N741" s="295"/>
      <c r="O741" s="209"/>
      <c r="P741" s="25"/>
      <c r="Q741" s="347">
        <v>5.91</v>
      </c>
      <c r="R741" s="26"/>
      <c r="S741" s="420">
        <f t="shared" si="117"/>
        <v>2.0093999999999999</v>
      </c>
      <c r="T741" s="420">
        <f t="shared" si="118"/>
        <v>0.38414999999999999</v>
      </c>
      <c r="U741" s="420">
        <f t="shared" si="119"/>
        <v>0.9928800000000001</v>
      </c>
      <c r="V741" s="118"/>
      <c r="W741" s="424">
        <f t="shared" si="115"/>
        <v>3.3864299999999998</v>
      </c>
      <c r="X741" s="424">
        <f t="shared" si="116"/>
        <v>3.7250730000000001</v>
      </c>
    </row>
    <row r="742" spans="1:24" s="119" customFormat="1" ht="24.9" hidden="1" customHeight="1">
      <c r="A742" s="296">
        <v>26</v>
      </c>
      <c r="B742" s="207" t="s">
        <v>1786</v>
      </c>
      <c r="C742" s="303" t="s">
        <v>1814</v>
      </c>
      <c r="D742" s="207" t="s">
        <v>235</v>
      </c>
      <c r="E742" s="298">
        <v>1</v>
      </c>
      <c r="F742" s="207" t="s">
        <v>236</v>
      </c>
      <c r="G742" s="303">
        <v>34</v>
      </c>
      <c r="H742" s="208">
        <v>6.5</v>
      </c>
      <c r="I742" s="299">
        <v>17.399999999999999</v>
      </c>
      <c r="J742" s="218"/>
      <c r="K742" s="218">
        <v>3.7640789999999997</v>
      </c>
      <c r="L742" s="218"/>
      <c r="M742" s="376" t="s">
        <v>1245</v>
      </c>
      <c r="N742" s="295"/>
      <c r="O742" s="209"/>
      <c r="P742" s="25"/>
      <c r="Q742" s="347">
        <v>5.91</v>
      </c>
      <c r="R742" s="302"/>
      <c r="S742" s="420">
        <f t="shared" si="117"/>
        <v>2.0093999999999999</v>
      </c>
      <c r="T742" s="420">
        <f t="shared" si="118"/>
        <v>0.38414999999999999</v>
      </c>
      <c r="U742" s="420">
        <f t="shared" si="119"/>
        <v>1.0283399999999998</v>
      </c>
      <c r="V742" s="118"/>
      <c r="W742" s="424">
        <f t="shared" si="115"/>
        <v>3.4218899999999994</v>
      </c>
      <c r="X742" s="424">
        <f t="shared" si="116"/>
        <v>3.7640789999999997</v>
      </c>
    </row>
    <row r="743" spans="1:24" s="119" customFormat="1" ht="24.9" hidden="1" customHeight="1">
      <c r="A743" s="296">
        <v>27</v>
      </c>
      <c r="B743" s="207" t="s">
        <v>1786</v>
      </c>
      <c r="C743" s="303" t="s">
        <v>1815</v>
      </c>
      <c r="D743" s="207" t="s">
        <v>235</v>
      </c>
      <c r="E743" s="298">
        <v>1</v>
      </c>
      <c r="F743" s="207" t="s">
        <v>236</v>
      </c>
      <c r="G743" s="303">
        <v>34</v>
      </c>
      <c r="H743" s="208">
        <v>6.5</v>
      </c>
      <c r="I743" s="299">
        <v>18.100000000000001</v>
      </c>
      <c r="J743" s="218"/>
      <c r="K743" s="218">
        <v>3.8095860000000004</v>
      </c>
      <c r="L743" s="218"/>
      <c r="M743" s="376" t="s">
        <v>1245</v>
      </c>
      <c r="N743" s="295"/>
      <c r="O743" s="209"/>
      <c r="P743" s="25"/>
      <c r="Q743" s="347">
        <v>5.91</v>
      </c>
      <c r="R743" s="26"/>
      <c r="S743" s="420">
        <f t="shared" si="117"/>
        <v>2.0093999999999999</v>
      </c>
      <c r="T743" s="420">
        <f t="shared" si="118"/>
        <v>0.38414999999999999</v>
      </c>
      <c r="U743" s="420">
        <f t="shared" si="119"/>
        <v>1.0697100000000002</v>
      </c>
      <c r="V743" s="118"/>
      <c r="W743" s="424">
        <f t="shared" si="115"/>
        <v>3.46326</v>
      </c>
      <c r="X743" s="424">
        <f t="shared" si="116"/>
        <v>3.8095860000000004</v>
      </c>
    </row>
    <row r="744" spans="1:24" s="119" customFormat="1" ht="24.9" hidden="1" customHeight="1">
      <c r="A744" s="296">
        <v>28</v>
      </c>
      <c r="B744" s="207" t="s">
        <v>1786</v>
      </c>
      <c r="C744" s="303" t="s">
        <v>1816</v>
      </c>
      <c r="D744" s="207" t="s">
        <v>235</v>
      </c>
      <c r="E744" s="298">
        <v>1</v>
      </c>
      <c r="F744" s="207" t="s">
        <v>236</v>
      </c>
      <c r="G744" s="303">
        <v>34</v>
      </c>
      <c r="H744" s="208">
        <v>6.5</v>
      </c>
      <c r="I744" s="299">
        <v>18.7</v>
      </c>
      <c r="J744" s="218"/>
      <c r="K744" s="218">
        <v>3.848592</v>
      </c>
      <c r="L744" s="218"/>
      <c r="M744" s="376" t="s">
        <v>1245</v>
      </c>
      <c r="N744" s="295"/>
      <c r="O744" s="209"/>
      <c r="P744" s="25"/>
      <c r="Q744" s="347">
        <v>5.91</v>
      </c>
      <c r="R744" s="302"/>
      <c r="S744" s="420">
        <f t="shared" si="117"/>
        <v>2.0093999999999999</v>
      </c>
      <c r="T744" s="420">
        <f t="shared" si="118"/>
        <v>0.38414999999999999</v>
      </c>
      <c r="U744" s="420">
        <f t="shared" si="119"/>
        <v>1.10517</v>
      </c>
      <c r="V744" s="118"/>
      <c r="W744" s="424">
        <f t="shared" si="115"/>
        <v>3.4987199999999996</v>
      </c>
      <c r="X744" s="424">
        <f t="shared" si="116"/>
        <v>3.848592</v>
      </c>
    </row>
    <row r="745" spans="1:24" s="119" customFormat="1" ht="24.9" hidden="1" customHeight="1">
      <c r="A745" s="296">
        <v>29</v>
      </c>
      <c r="B745" s="207" t="s">
        <v>1786</v>
      </c>
      <c r="C745" s="303" t="s">
        <v>1817</v>
      </c>
      <c r="D745" s="207" t="s">
        <v>235</v>
      </c>
      <c r="E745" s="298">
        <v>1</v>
      </c>
      <c r="F745" s="207" t="s">
        <v>236</v>
      </c>
      <c r="G745" s="303">
        <v>34</v>
      </c>
      <c r="H745" s="208">
        <v>6.5</v>
      </c>
      <c r="I745" s="299">
        <v>19.3</v>
      </c>
      <c r="J745" s="218"/>
      <c r="K745" s="218">
        <v>3.8875980000000006</v>
      </c>
      <c r="L745" s="218"/>
      <c r="M745" s="376" t="s">
        <v>1245</v>
      </c>
      <c r="N745" s="295"/>
      <c r="O745" s="209"/>
      <c r="P745" s="25"/>
      <c r="Q745" s="347">
        <v>5.91</v>
      </c>
      <c r="R745" s="26"/>
      <c r="S745" s="420">
        <f t="shared" si="117"/>
        <v>2.0093999999999999</v>
      </c>
      <c r="T745" s="420">
        <f t="shared" si="118"/>
        <v>0.38414999999999999</v>
      </c>
      <c r="U745" s="420">
        <f t="shared" si="119"/>
        <v>1.14063</v>
      </c>
      <c r="V745" s="118"/>
      <c r="W745" s="424">
        <f t="shared" si="115"/>
        <v>3.5341800000000001</v>
      </c>
      <c r="X745" s="424">
        <f t="shared" si="116"/>
        <v>3.8875980000000006</v>
      </c>
    </row>
    <row r="746" spans="1:24" s="119" customFormat="1" ht="24.9" hidden="1" customHeight="1">
      <c r="A746" s="296">
        <v>30</v>
      </c>
      <c r="B746" s="207" t="s">
        <v>1786</v>
      </c>
      <c r="C746" s="303" t="s">
        <v>1818</v>
      </c>
      <c r="D746" s="207" t="s">
        <v>235</v>
      </c>
      <c r="E746" s="298">
        <v>1</v>
      </c>
      <c r="F746" s="207" t="s">
        <v>236</v>
      </c>
      <c r="G746" s="303">
        <v>34</v>
      </c>
      <c r="H746" s="208">
        <v>6.5</v>
      </c>
      <c r="I746" s="299">
        <v>20</v>
      </c>
      <c r="J746" s="218"/>
      <c r="K746" s="218">
        <v>3.9331050000000003</v>
      </c>
      <c r="L746" s="218"/>
      <c r="M746" s="376" t="s">
        <v>1245</v>
      </c>
      <c r="N746" s="295"/>
      <c r="O746" s="209"/>
      <c r="P746" s="25"/>
      <c r="Q746" s="347">
        <v>5.91</v>
      </c>
      <c r="R746" s="302"/>
      <c r="S746" s="420">
        <f t="shared" si="117"/>
        <v>2.0093999999999999</v>
      </c>
      <c r="T746" s="420">
        <f t="shared" si="118"/>
        <v>0.38414999999999999</v>
      </c>
      <c r="U746" s="420">
        <f t="shared" si="119"/>
        <v>1.1819999999999999</v>
      </c>
      <c r="V746" s="118"/>
      <c r="W746" s="424">
        <f t="shared" si="115"/>
        <v>3.5755499999999998</v>
      </c>
      <c r="X746" s="424">
        <f t="shared" si="116"/>
        <v>3.9331050000000003</v>
      </c>
    </row>
    <row r="747" spans="1:24" s="119" customFormat="1" ht="24.9" hidden="1" customHeight="1">
      <c r="A747" s="296">
        <v>31</v>
      </c>
      <c r="B747" s="207" t="s">
        <v>1786</v>
      </c>
      <c r="C747" s="303" t="s">
        <v>1819</v>
      </c>
      <c r="D747" s="207" t="s">
        <v>235</v>
      </c>
      <c r="E747" s="298">
        <v>1</v>
      </c>
      <c r="F747" s="207" t="s">
        <v>236</v>
      </c>
      <c r="G747" s="303">
        <v>34</v>
      </c>
      <c r="H747" s="208">
        <v>6.5</v>
      </c>
      <c r="I747" s="299">
        <v>20.6</v>
      </c>
      <c r="J747" s="218"/>
      <c r="K747" s="218">
        <v>3.9721109999999999</v>
      </c>
      <c r="L747" s="218"/>
      <c r="M747" s="376" t="s">
        <v>1245</v>
      </c>
      <c r="N747" s="295"/>
      <c r="O747" s="209"/>
      <c r="P747" s="25"/>
      <c r="Q747" s="347">
        <v>5.91</v>
      </c>
      <c r="R747" s="26"/>
      <c r="S747" s="420">
        <f t="shared" si="117"/>
        <v>2.0093999999999999</v>
      </c>
      <c r="T747" s="420">
        <f t="shared" si="118"/>
        <v>0.38414999999999999</v>
      </c>
      <c r="U747" s="420">
        <f t="shared" si="119"/>
        <v>1.21746</v>
      </c>
      <c r="V747" s="118"/>
      <c r="W747" s="424">
        <f t="shared" si="115"/>
        <v>3.6110099999999998</v>
      </c>
      <c r="X747" s="424">
        <f t="shared" si="116"/>
        <v>3.9721109999999999</v>
      </c>
    </row>
    <row r="748" spans="1:24" s="119" customFormat="1" ht="24.9" hidden="1" customHeight="1">
      <c r="A748" s="296">
        <v>32</v>
      </c>
      <c r="B748" s="207" t="s">
        <v>1786</v>
      </c>
      <c r="C748" s="303" t="s">
        <v>1820</v>
      </c>
      <c r="D748" s="207" t="s">
        <v>235</v>
      </c>
      <c r="E748" s="298">
        <v>1</v>
      </c>
      <c r="F748" s="207" t="s">
        <v>236</v>
      </c>
      <c r="G748" s="303">
        <v>34</v>
      </c>
      <c r="H748" s="208">
        <v>6.5</v>
      </c>
      <c r="I748" s="299">
        <v>21.2</v>
      </c>
      <c r="J748" s="218"/>
      <c r="K748" s="218">
        <v>4.0111170000000005</v>
      </c>
      <c r="L748" s="218"/>
      <c r="M748" s="376" t="s">
        <v>1245</v>
      </c>
      <c r="N748" s="295"/>
      <c r="O748" s="209"/>
      <c r="P748" s="25"/>
      <c r="Q748" s="347">
        <v>5.91</v>
      </c>
      <c r="R748" s="302"/>
      <c r="S748" s="420">
        <f t="shared" si="117"/>
        <v>2.0093999999999999</v>
      </c>
      <c r="T748" s="420">
        <f t="shared" si="118"/>
        <v>0.38414999999999999</v>
      </c>
      <c r="U748" s="420">
        <f t="shared" si="119"/>
        <v>1.25292</v>
      </c>
      <c r="V748" s="118"/>
      <c r="W748" s="424">
        <f t="shared" si="115"/>
        <v>3.6464699999999999</v>
      </c>
      <c r="X748" s="424">
        <f t="shared" si="116"/>
        <v>4.0111170000000005</v>
      </c>
    </row>
    <row r="749" spans="1:24" s="119" customFormat="1" ht="24.9" hidden="1" customHeight="1">
      <c r="A749" s="296">
        <v>33</v>
      </c>
      <c r="B749" s="207" t="s">
        <v>1786</v>
      </c>
      <c r="C749" s="303" t="s">
        <v>1821</v>
      </c>
      <c r="D749" s="207" t="s">
        <v>235</v>
      </c>
      <c r="E749" s="298">
        <v>1</v>
      </c>
      <c r="F749" s="207" t="s">
        <v>236</v>
      </c>
      <c r="G749" s="303">
        <v>34</v>
      </c>
      <c r="H749" s="208">
        <v>6.5</v>
      </c>
      <c r="I749" s="299">
        <v>21.9</v>
      </c>
      <c r="J749" s="218"/>
      <c r="K749" s="218">
        <v>4.0566240000000002</v>
      </c>
      <c r="L749" s="218"/>
      <c r="M749" s="376" t="s">
        <v>1245</v>
      </c>
      <c r="N749" s="295"/>
      <c r="O749" s="209"/>
      <c r="P749" s="25"/>
      <c r="Q749" s="347">
        <v>5.91</v>
      </c>
      <c r="R749" s="26"/>
      <c r="S749" s="420">
        <f t="shared" si="117"/>
        <v>2.0093999999999999</v>
      </c>
      <c r="T749" s="420">
        <f t="shared" si="118"/>
        <v>0.38414999999999999</v>
      </c>
      <c r="U749" s="420">
        <f t="shared" si="119"/>
        <v>1.2942899999999999</v>
      </c>
      <c r="V749" s="118"/>
      <c r="W749" s="424">
        <f t="shared" si="115"/>
        <v>3.6878399999999996</v>
      </c>
      <c r="X749" s="424">
        <f t="shared" si="116"/>
        <v>4.0566240000000002</v>
      </c>
    </row>
    <row r="750" spans="1:24" s="119" customFormat="1" ht="24.9" hidden="1" customHeight="1">
      <c r="A750" s="296">
        <v>34</v>
      </c>
      <c r="B750" s="207" t="s">
        <v>1786</v>
      </c>
      <c r="C750" s="303" t="s">
        <v>1822</v>
      </c>
      <c r="D750" s="207" t="s">
        <v>235</v>
      </c>
      <c r="E750" s="298">
        <v>1</v>
      </c>
      <c r="F750" s="207" t="s">
        <v>236</v>
      </c>
      <c r="G750" s="303">
        <v>34</v>
      </c>
      <c r="H750" s="208">
        <v>6.5</v>
      </c>
      <c r="I750" s="299">
        <v>22.5</v>
      </c>
      <c r="J750" s="218"/>
      <c r="K750" s="218">
        <v>4.0956300000000008</v>
      </c>
      <c r="L750" s="218"/>
      <c r="M750" s="376" t="s">
        <v>1245</v>
      </c>
      <c r="N750" s="295"/>
      <c r="O750" s="209"/>
      <c r="P750" s="25"/>
      <c r="Q750" s="347">
        <v>5.91</v>
      </c>
      <c r="R750" s="302"/>
      <c r="S750" s="420">
        <f t="shared" si="117"/>
        <v>2.0093999999999999</v>
      </c>
      <c r="T750" s="420">
        <f t="shared" si="118"/>
        <v>0.38414999999999999</v>
      </c>
      <c r="U750" s="420">
        <f t="shared" si="119"/>
        <v>1.32975</v>
      </c>
      <c r="V750" s="118"/>
      <c r="W750" s="424">
        <f t="shared" si="115"/>
        <v>3.7233000000000001</v>
      </c>
      <c r="X750" s="424">
        <f t="shared" si="116"/>
        <v>4.0956300000000008</v>
      </c>
    </row>
    <row r="751" spans="1:24" s="119" customFormat="1" ht="24.9" hidden="1" customHeight="1">
      <c r="A751" s="296">
        <v>35</v>
      </c>
      <c r="B751" s="207" t="s">
        <v>1786</v>
      </c>
      <c r="C751" s="303" t="s">
        <v>1823</v>
      </c>
      <c r="D751" s="207" t="s">
        <v>235</v>
      </c>
      <c r="E751" s="298">
        <v>1</v>
      </c>
      <c r="F751" s="207" t="s">
        <v>236</v>
      </c>
      <c r="G751" s="303">
        <v>34</v>
      </c>
      <c r="H751" s="208">
        <v>6.5</v>
      </c>
      <c r="I751" s="299">
        <v>23.1</v>
      </c>
      <c r="J751" s="218"/>
      <c r="K751" s="218">
        <v>4.1346360000000004</v>
      </c>
      <c r="L751" s="218"/>
      <c r="M751" s="376" t="s">
        <v>1245</v>
      </c>
      <c r="N751" s="295"/>
      <c r="O751" s="209"/>
      <c r="P751" s="25"/>
      <c r="Q751" s="347">
        <v>5.91</v>
      </c>
      <c r="R751" s="26"/>
      <c r="S751" s="420">
        <f t="shared" si="117"/>
        <v>2.0093999999999999</v>
      </c>
      <c r="T751" s="420">
        <f t="shared" si="118"/>
        <v>0.38414999999999999</v>
      </c>
      <c r="U751" s="420">
        <f t="shared" si="119"/>
        <v>1.3652100000000003</v>
      </c>
      <c r="V751" s="118"/>
      <c r="W751" s="424">
        <f t="shared" si="115"/>
        <v>3.7587600000000001</v>
      </c>
      <c r="X751" s="424">
        <f t="shared" si="116"/>
        <v>4.1346360000000004</v>
      </c>
    </row>
    <row r="752" spans="1:24" s="119" customFormat="1" ht="24.9" hidden="1" customHeight="1">
      <c r="A752" s="296">
        <v>36</v>
      </c>
      <c r="B752" s="207" t="s">
        <v>1786</v>
      </c>
      <c r="C752" s="303" t="s">
        <v>1824</v>
      </c>
      <c r="D752" s="207" t="s">
        <v>235</v>
      </c>
      <c r="E752" s="298">
        <v>1</v>
      </c>
      <c r="F752" s="207" t="s">
        <v>236</v>
      </c>
      <c r="G752" s="303">
        <v>34</v>
      </c>
      <c r="H752" s="208">
        <v>6.5</v>
      </c>
      <c r="I752" s="299">
        <v>23.8</v>
      </c>
      <c r="J752" s="218"/>
      <c r="K752" s="218">
        <v>4.1801430000000002</v>
      </c>
      <c r="L752" s="218"/>
      <c r="M752" s="376" t="s">
        <v>1245</v>
      </c>
      <c r="N752" s="295"/>
      <c r="O752" s="209"/>
      <c r="P752" s="25"/>
      <c r="Q752" s="347">
        <v>5.91</v>
      </c>
      <c r="R752" s="302"/>
      <c r="S752" s="420">
        <f t="shared" si="117"/>
        <v>2.0093999999999999</v>
      </c>
      <c r="T752" s="420">
        <f t="shared" si="118"/>
        <v>0.38414999999999999</v>
      </c>
      <c r="U752" s="420">
        <f t="shared" si="119"/>
        <v>1.4065800000000002</v>
      </c>
      <c r="V752" s="118"/>
      <c r="W752" s="424">
        <f t="shared" si="115"/>
        <v>3.8001300000000002</v>
      </c>
      <c r="X752" s="424">
        <f t="shared" si="116"/>
        <v>4.1801430000000002</v>
      </c>
    </row>
    <row r="753" spans="1:24" s="119" customFormat="1" ht="24.9" hidden="1" customHeight="1">
      <c r="A753" s="296">
        <v>37</v>
      </c>
      <c r="B753" s="207" t="s">
        <v>1786</v>
      </c>
      <c r="C753" s="303" t="s">
        <v>1825</v>
      </c>
      <c r="D753" s="207" t="s">
        <v>235</v>
      </c>
      <c r="E753" s="298">
        <v>1</v>
      </c>
      <c r="F753" s="207" t="s">
        <v>236</v>
      </c>
      <c r="G753" s="303">
        <v>34</v>
      </c>
      <c r="H753" s="208">
        <v>6.5</v>
      </c>
      <c r="I753" s="299">
        <v>24.4</v>
      </c>
      <c r="J753" s="218"/>
      <c r="K753" s="218">
        <v>4.2191489999999998</v>
      </c>
      <c r="L753" s="218"/>
      <c r="M753" s="376" t="s">
        <v>1245</v>
      </c>
      <c r="N753" s="295"/>
      <c r="O753" s="209"/>
      <c r="P753" s="25"/>
      <c r="Q753" s="347">
        <v>5.91</v>
      </c>
      <c r="R753" s="26"/>
      <c r="S753" s="420">
        <f t="shared" si="117"/>
        <v>2.0093999999999999</v>
      </c>
      <c r="T753" s="420">
        <f t="shared" si="118"/>
        <v>0.38414999999999999</v>
      </c>
      <c r="U753" s="420">
        <f t="shared" si="119"/>
        <v>1.44204</v>
      </c>
      <c r="V753" s="118"/>
      <c r="W753" s="424">
        <f t="shared" si="115"/>
        <v>3.8355899999999998</v>
      </c>
      <c r="X753" s="424">
        <f t="shared" si="116"/>
        <v>4.2191489999999998</v>
      </c>
    </row>
    <row r="754" spans="1:24" s="119" customFormat="1" ht="24.9" hidden="1" customHeight="1">
      <c r="A754" s="296">
        <v>38</v>
      </c>
      <c r="B754" s="207" t="s">
        <v>1786</v>
      </c>
      <c r="C754" s="303" t="s">
        <v>1826</v>
      </c>
      <c r="D754" s="207" t="s">
        <v>235</v>
      </c>
      <c r="E754" s="298">
        <v>1</v>
      </c>
      <c r="F754" s="207" t="s">
        <v>236</v>
      </c>
      <c r="G754" s="303">
        <v>34</v>
      </c>
      <c r="H754" s="208">
        <v>6.5</v>
      </c>
      <c r="I754" s="299">
        <v>25</v>
      </c>
      <c r="J754" s="218"/>
      <c r="K754" s="218">
        <v>4.2581550000000004</v>
      </c>
      <c r="L754" s="218"/>
      <c r="M754" s="376" t="s">
        <v>1245</v>
      </c>
      <c r="N754" s="295"/>
      <c r="O754" s="209"/>
      <c r="P754" s="25"/>
      <c r="Q754" s="347">
        <v>5.91</v>
      </c>
      <c r="R754" s="302"/>
      <c r="S754" s="420">
        <f t="shared" si="117"/>
        <v>2.0093999999999999</v>
      </c>
      <c r="T754" s="420">
        <f t="shared" si="118"/>
        <v>0.38414999999999999</v>
      </c>
      <c r="U754" s="420">
        <f t="shared" si="119"/>
        <v>1.4775</v>
      </c>
      <c r="V754" s="118"/>
      <c r="W754" s="424">
        <f t="shared" si="115"/>
        <v>3.8710499999999999</v>
      </c>
      <c r="X754" s="424">
        <f t="shared" si="116"/>
        <v>4.2581550000000004</v>
      </c>
    </row>
    <row r="755" spans="1:24" s="119" customFormat="1" ht="24.9" hidden="1" customHeight="1">
      <c r="A755" s="296">
        <v>39</v>
      </c>
      <c r="B755" s="207" t="s">
        <v>1786</v>
      </c>
      <c r="C755" s="303" t="s">
        <v>1827</v>
      </c>
      <c r="D755" s="207" t="s">
        <v>235</v>
      </c>
      <c r="E755" s="298">
        <v>1</v>
      </c>
      <c r="F755" s="207" t="s">
        <v>236</v>
      </c>
      <c r="G755" s="303">
        <v>34</v>
      </c>
      <c r="H755" s="208">
        <v>6.5</v>
      </c>
      <c r="I755" s="299">
        <v>25.7</v>
      </c>
      <c r="J755" s="218"/>
      <c r="K755" s="218">
        <v>4.3036620000000001</v>
      </c>
      <c r="L755" s="218"/>
      <c r="M755" s="376" t="s">
        <v>1245</v>
      </c>
      <c r="N755" s="295"/>
      <c r="O755" s="209"/>
      <c r="P755" s="25"/>
      <c r="Q755" s="347">
        <v>5.91</v>
      </c>
      <c r="R755" s="26"/>
      <c r="S755" s="420">
        <f t="shared" si="117"/>
        <v>2.0093999999999999</v>
      </c>
      <c r="T755" s="420">
        <f t="shared" si="118"/>
        <v>0.38414999999999999</v>
      </c>
      <c r="U755" s="420">
        <f t="shared" si="119"/>
        <v>1.5188699999999999</v>
      </c>
      <c r="V755" s="118"/>
      <c r="W755" s="424">
        <f t="shared" si="115"/>
        <v>3.91242</v>
      </c>
      <c r="X755" s="424">
        <f t="shared" si="116"/>
        <v>4.3036620000000001</v>
      </c>
    </row>
    <row r="756" spans="1:24" s="119" customFormat="1" ht="24.9" hidden="1" customHeight="1">
      <c r="A756" s="296">
        <v>40</v>
      </c>
      <c r="B756" s="207" t="s">
        <v>1786</v>
      </c>
      <c r="C756" s="303" t="s">
        <v>1828</v>
      </c>
      <c r="D756" s="207" t="s">
        <v>235</v>
      </c>
      <c r="E756" s="298">
        <v>1</v>
      </c>
      <c r="F756" s="207" t="s">
        <v>236</v>
      </c>
      <c r="G756" s="303">
        <v>34</v>
      </c>
      <c r="H756" s="208">
        <v>6.5</v>
      </c>
      <c r="I756" s="299">
        <v>25.9</v>
      </c>
      <c r="J756" s="218"/>
      <c r="K756" s="218">
        <v>4.3166640000000003</v>
      </c>
      <c r="L756" s="218"/>
      <c r="M756" s="376" t="s">
        <v>1245</v>
      </c>
      <c r="N756" s="295"/>
      <c r="O756" s="209"/>
      <c r="P756" s="25"/>
      <c r="Q756" s="347">
        <v>5.91</v>
      </c>
      <c r="R756" s="302"/>
      <c r="S756" s="420">
        <f t="shared" si="117"/>
        <v>2.0093999999999999</v>
      </c>
      <c r="T756" s="420">
        <f t="shared" si="118"/>
        <v>0.38414999999999999</v>
      </c>
      <c r="U756" s="420">
        <f t="shared" si="119"/>
        <v>1.5306899999999999</v>
      </c>
      <c r="V756" s="118"/>
      <c r="W756" s="424">
        <f t="shared" si="115"/>
        <v>3.9242399999999997</v>
      </c>
      <c r="X756" s="424">
        <f t="shared" si="116"/>
        <v>4.3166640000000003</v>
      </c>
    </row>
    <row r="757" spans="1:24" s="119" customFormat="1" ht="24.9" hidden="1" customHeight="1">
      <c r="A757" s="296">
        <v>41</v>
      </c>
      <c r="B757" s="207" t="s">
        <v>1786</v>
      </c>
      <c r="C757" s="303" t="s">
        <v>1829</v>
      </c>
      <c r="D757" s="207" t="s">
        <v>235</v>
      </c>
      <c r="E757" s="298">
        <v>3</v>
      </c>
      <c r="F757" s="207" t="s">
        <v>236</v>
      </c>
      <c r="G757" s="303">
        <v>5</v>
      </c>
      <c r="H757" s="208">
        <v>5</v>
      </c>
      <c r="I757" s="299">
        <v>28.7</v>
      </c>
      <c r="J757" s="218"/>
      <c r="K757" s="218">
        <v>2.5158869999999998</v>
      </c>
      <c r="L757" s="218"/>
      <c r="M757" s="376" t="s">
        <v>1245</v>
      </c>
      <c r="N757" s="295"/>
      <c r="O757" s="209"/>
      <c r="P757" s="25"/>
      <c r="Q757" s="347">
        <v>5.91</v>
      </c>
      <c r="R757" s="26"/>
      <c r="S757" s="420">
        <f t="shared" si="117"/>
        <v>0.29549999999999998</v>
      </c>
      <c r="T757" s="420">
        <f t="shared" si="118"/>
        <v>0.29549999999999998</v>
      </c>
      <c r="U757" s="420">
        <f t="shared" si="119"/>
        <v>1.69617</v>
      </c>
      <c r="V757" s="118"/>
      <c r="W757" s="424">
        <f t="shared" si="115"/>
        <v>2.2871699999999997</v>
      </c>
      <c r="X757" s="424">
        <f t="shared" si="116"/>
        <v>2.5158869999999998</v>
      </c>
    </row>
    <row r="758" spans="1:24" s="119" customFormat="1" ht="24.9" hidden="1" customHeight="1">
      <c r="A758" s="296">
        <v>42</v>
      </c>
      <c r="B758" s="207" t="s">
        <v>1786</v>
      </c>
      <c r="C758" s="303" t="s">
        <v>1787</v>
      </c>
      <c r="D758" s="207" t="s">
        <v>235</v>
      </c>
      <c r="E758" s="298">
        <v>3</v>
      </c>
      <c r="F758" s="207" t="s">
        <v>236</v>
      </c>
      <c r="G758" s="208">
        <v>32.65</v>
      </c>
      <c r="H758" s="208">
        <v>20</v>
      </c>
      <c r="I758" s="299">
        <v>37.1</v>
      </c>
      <c r="J758" s="218"/>
      <c r="K758" s="208">
        <v>5.8346475000000009</v>
      </c>
      <c r="L758" s="208"/>
      <c r="M758" s="376" t="s">
        <v>1788</v>
      </c>
      <c r="N758" s="295"/>
      <c r="O758" s="209"/>
      <c r="P758" s="25"/>
      <c r="Q758" s="347">
        <v>5.91</v>
      </c>
      <c r="R758" s="26"/>
      <c r="S758" s="420">
        <f>Q758*G758/100</f>
        <v>1.9296150000000001</v>
      </c>
      <c r="T758" s="420">
        <f>Q758*H758/100</f>
        <v>1.1819999999999999</v>
      </c>
      <c r="U758" s="420">
        <f>Q758*I758/100</f>
        <v>2.1926100000000002</v>
      </c>
      <c r="V758" s="118"/>
      <c r="W758" s="424">
        <f t="shared" si="115"/>
        <v>5.3042250000000006</v>
      </c>
      <c r="X758" s="424">
        <f t="shared" si="116"/>
        <v>5.8346475000000009</v>
      </c>
    </row>
    <row r="759" spans="1:24" s="119" customFormat="1" ht="24.9" hidden="1" customHeight="1">
      <c r="A759" s="296">
        <v>43</v>
      </c>
      <c r="B759" s="207" t="s">
        <v>1786</v>
      </c>
      <c r="C759" s="303" t="s">
        <v>1790</v>
      </c>
      <c r="D759" s="207" t="s">
        <v>235</v>
      </c>
      <c r="E759" s="298">
        <v>3</v>
      </c>
      <c r="F759" s="207" t="s">
        <v>236</v>
      </c>
      <c r="G759" s="208">
        <v>20</v>
      </c>
      <c r="H759" s="208">
        <v>20</v>
      </c>
      <c r="I759" s="299">
        <v>38.6</v>
      </c>
      <c r="J759" s="218"/>
      <c r="K759" s="208">
        <v>5.1097860000000006</v>
      </c>
      <c r="L759" s="208"/>
      <c r="M759" s="376" t="s">
        <v>1788</v>
      </c>
      <c r="N759" s="295"/>
      <c r="O759" s="209"/>
      <c r="P759" s="25"/>
      <c r="Q759" s="347">
        <v>5.91</v>
      </c>
      <c r="R759" s="302"/>
      <c r="S759" s="420">
        <f>Q759*G759/100</f>
        <v>1.1819999999999999</v>
      </c>
      <c r="T759" s="420">
        <f>Q759*H759/100</f>
        <v>1.1819999999999999</v>
      </c>
      <c r="U759" s="420">
        <f>Q759*I759/100</f>
        <v>2.2812600000000001</v>
      </c>
      <c r="V759" s="118"/>
      <c r="W759" s="424">
        <f t="shared" si="115"/>
        <v>4.6452600000000004</v>
      </c>
      <c r="X759" s="424">
        <f t="shared" si="116"/>
        <v>5.1097860000000006</v>
      </c>
    </row>
    <row r="760" spans="1:24" s="119" customFormat="1" ht="24.9" hidden="1" customHeight="1">
      <c r="A760" s="296">
        <v>44</v>
      </c>
      <c r="B760" s="207" t="s">
        <v>1786</v>
      </c>
      <c r="C760" s="303" t="s">
        <v>1791</v>
      </c>
      <c r="D760" s="207" t="s">
        <v>235</v>
      </c>
      <c r="E760" s="298">
        <v>6</v>
      </c>
      <c r="F760" s="207" t="s">
        <v>236</v>
      </c>
      <c r="G760" s="303">
        <v>27.05</v>
      </c>
      <c r="H760" s="208">
        <v>20</v>
      </c>
      <c r="I760" s="299">
        <v>26.5</v>
      </c>
      <c r="J760" s="218"/>
      <c r="K760" s="218">
        <v>4.7814855000000005</v>
      </c>
      <c r="L760" s="218"/>
      <c r="M760" s="376" t="s">
        <v>1245</v>
      </c>
      <c r="N760" s="295"/>
      <c r="O760" s="209"/>
      <c r="P760" s="25"/>
      <c r="Q760" s="347">
        <v>5.91</v>
      </c>
      <c r="R760" s="26"/>
      <c r="S760" s="420">
        <f>Q760*G760/100</f>
        <v>1.5986549999999999</v>
      </c>
      <c r="T760" s="420">
        <f>Q760*H760/100</f>
        <v>1.1819999999999999</v>
      </c>
      <c r="U760" s="420">
        <f>Q760*I760/100</f>
        <v>1.5661500000000002</v>
      </c>
      <c r="V760" s="118"/>
      <c r="W760" s="424">
        <f t="shared" si="115"/>
        <v>4.3468049999999998</v>
      </c>
      <c r="X760" s="424">
        <f t="shared" si="116"/>
        <v>4.7814855000000005</v>
      </c>
    </row>
    <row r="761" spans="1:24" s="119" customFormat="1" ht="24.9" hidden="1" customHeight="1">
      <c r="A761" s="296">
        <v>45</v>
      </c>
      <c r="B761" s="207" t="s">
        <v>1786</v>
      </c>
      <c r="C761" s="303" t="s">
        <v>1792</v>
      </c>
      <c r="D761" s="207" t="s">
        <v>235</v>
      </c>
      <c r="E761" s="298">
        <v>5</v>
      </c>
      <c r="F761" s="207" t="s">
        <v>236</v>
      </c>
      <c r="G761" s="303">
        <v>27.05</v>
      </c>
      <c r="H761" s="208">
        <v>20</v>
      </c>
      <c r="I761" s="299">
        <v>13</v>
      </c>
      <c r="J761" s="218"/>
      <c r="K761" s="218">
        <v>3.9038505000000003</v>
      </c>
      <c r="L761" s="218"/>
      <c r="M761" s="376" t="s">
        <v>1245</v>
      </c>
      <c r="N761" s="295"/>
      <c r="O761" s="209"/>
      <c r="P761" s="25"/>
      <c r="Q761" s="347">
        <v>5.91</v>
      </c>
      <c r="R761" s="302"/>
      <c r="S761" s="420">
        <f>Q761*G761/100</f>
        <v>1.5986549999999999</v>
      </c>
      <c r="T761" s="420">
        <f>Q761*H761/100</f>
        <v>1.1819999999999999</v>
      </c>
      <c r="U761" s="420">
        <f>Q761*I761/100</f>
        <v>0.76829999999999998</v>
      </c>
      <c r="V761" s="118"/>
      <c r="W761" s="424">
        <f t="shared" si="115"/>
        <v>3.5489549999999999</v>
      </c>
      <c r="X761" s="424">
        <f t="shared" si="116"/>
        <v>3.9038505000000003</v>
      </c>
    </row>
    <row r="762" spans="1:24" s="119" customFormat="1" ht="24.9" hidden="1" customHeight="1">
      <c r="A762" s="296">
        <v>46</v>
      </c>
      <c r="B762" s="207" t="s">
        <v>1786</v>
      </c>
      <c r="C762" s="303" t="s">
        <v>1793</v>
      </c>
      <c r="D762" s="207" t="s">
        <v>235</v>
      </c>
      <c r="E762" s="298">
        <v>2</v>
      </c>
      <c r="F762" s="207" t="s">
        <v>236</v>
      </c>
      <c r="G762" s="303">
        <v>27.05</v>
      </c>
      <c r="H762" s="208">
        <v>20</v>
      </c>
      <c r="I762" s="299">
        <v>26.5</v>
      </c>
      <c r="J762" s="218"/>
      <c r="K762" s="218">
        <v>4.7814855000000005</v>
      </c>
      <c r="L762" s="218"/>
      <c r="M762" s="376" t="s">
        <v>1245</v>
      </c>
      <c r="N762" s="295"/>
      <c r="O762" s="209"/>
      <c r="P762" s="25"/>
      <c r="Q762" s="347">
        <v>5.91</v>
      </c>
      <c r="R762" s="26"/>
      <c r="S762" s="420">
        <f t="shared" ref="S762:S798" si="120">Q762*G762/100</f>
        <v>1.5986549999999999</v>
      </c>
      <c r="T762" s="420">
        <f t="shared" ref="T762:T798" si="121">Q762*H762/100</f>
        <v>1.1819999999999999</v>
      </c>
      <c r="U762" s="420">
        <f t="shared" ref="U762:U798" si="122">Q762*I762/100</f>
        <v>1.5661500000000002</v>
      </c>
      <c r="V762" s="118"/>
      <c r="W762" s="424">
        <f t="shared" si="115"/>
        <v>4.3468049999999998</v>
      </c>
      <c r="X762" s="424">
        <f t="shared" si="116"/>
        <v>4.7814855000000005</v>
      </c>
    </row>
    <row r="763" spans="1:24" s="119" customFormat="1" ht="24.9" hidden="1" customHeight="1">
      <c r="A763" s="296">
        <v>47</v>
      </c>
      <c r="B763" s="207" t="s">
        <v>1786</v>
      </c>
      <c r="C763" s="303" t="s">
        <v>1794</v>
      </c>
      <c r="D763" s="207" t="s">
        <v>235</v>
      </c>
      <c r="E763" s="298">
        <v>3</v>
      </c>
      <c r="F763" s="207" t="s">
        <v>236</v>
      </c>
      <c r="G763" s="303">
        <v>88.3</v>
      </c>
      <c r="H763" s="208">
        <v>20</v>
      </c>
      <c r="I763" s="299">
        <v>26.5</v>
      </c>
      <c r="J763" s="218"/>
      <c r="K763" s="218">
        <v>8.7633480000000006</v>
      </c>
      <c r="L763" s="218"/>
      <c r="M763" s="376" t="s">
        <v>1245</v>
      </c>
      <c r="N763" s="295"/>
      <c r="O763" s="209"/>
      <c r="P763" s="25"/>
      <c r="Q763" s="347">
        <v>5.91</v>
      </c>
      <c r="R763" s="302"/>
      <c r="S763" s="420">
        <f t="shared" si="120"/>
        <v>5.2185299999999994</v>
      </c>
      <c r="T763" s="420">
        <f t="shared" si="121"/>
        <v>1.1819999999999999</v>
      </c>
      <c r="U763" s="420">
        <f t="shared" si="122"/>
        <v>1.5661500000000002</v>
      </c>
      <c r="V763" s="118"/>
      <c r="W763" s="424">
        <f t="shared" si="115"/>
        <v>7.9666800000000002</v>
      </c>
      <c r="X763" s="424">
        <f t="shared" si="116"/>
        <v>8.7633480000000006</v>
      </c>
    </row>
    <row r="764" spans="1:24" s="119" customFormat="1" ht="24.9" hidden="1" customHeight="1">
      <c r="A764" s="296">
        <v>48</v>
      </c>
      <c r="B764" s="207" t="s">
        <v>1786</v>
      </c>
      <c r="C764" s="303" t="s">
        <v>1795</v>
      </c>
      <c r="D764" s="207" t="s">
        <v>235</v>
      </c>
      <c r="E764" s="298">
        <v>1</v>
      </c>
      <c r="F764" s="207" t="s">
        <v>236</v>
      </c>
      <c r="G764" s="303">
        <v>33</v>
      </c>
      <c r="H764" s="208">
        <v>7</v>
      </c>
      <c r="I764" s="299">
        <v>4.4000000000000004</v>
      </c>
      <c r="J764" s="218"/>
      <c r="K764" s="218">
        <v>2.886444</v>
      </c>
      <c r="L764" s="218"/>
      <c r="M764" s="376" t="s">
        <v>1245</v>
      </c>
      <c r="N764" s="295"/>
      <c r="O764" s="209"/>
      <c r="P764" s="25"/>
      <c r="Q764" s="347">
        <v>5.91</v>
      </c>
      <c r="R764" s="26"/>
      <c r="S764" s="420">
        <f t="shared" si="120"/>
        <v>1.9502999999999999</v>
      </c>
      <c r="T764" s="420">
        <f t="shared" si="121"/>
        <v>0.41370000000000007</v>
      </c>
      <c r="U764" s="420">
        <f t="shared" si="122"/>
        <v>0.26003999999999999</v>
      </c>
      <c r="V764" s="118"/>
      <c r="W764" s="424">
        <f t="shared" si="115"/>
        <v>2.6240399999999999</v>
      </c>
      <c r="X764" s="424">
        <f t="shared" si="116"/>
        <v>2.886444</v>
      </c>
    </row>
    <row r="765" spans="1:24" s="119" customFormat="1" ht="24.9" hidden="1" customHeight="1">
      <c r="A765" s="296">
        <v>49</v>
      </c>
      <c r="B765" s="207" t="s">
        <v>1786</v>
      </c>
      <c r="C765" s="303" t="s">
        <v>1796</v>
      </c>
      <c r="D765" s="207" t="s">
        <v>235</v>
      </c>
      <c r="E765" s="298">
        <v>1</v>
      </c>
      <c r="F765" s="207" t="s">
        <v>236</v>
      </c>
      <c r="G765" s="303">
        <v>33</v>
      </c>
      <c r="H765" s="208">
        <v>7</v>
      </c>
      <c r="I765" s="299">
        <v>5</v>
      </c>
      <c r="J765" s="218"/>
      <c r="K765" s="218">
        <v>2.9254500000000001</v>
      </c>
      <c r="L765" s="218"/>
      <c r="M765" s="376" t="s">
        <v>1245</v>
      </c>
      <c r="N765" s="295"/>
      <c r="O765" s="209"/>
      <c r="P765" s="25"/>
      <c r="Q765" s="347">
        <v>5.91</v>
      </c>
      <c r="R765" s="302"/>
      <c r="S765" s="420">
        <f t="shared" si="120"/>
        <v>1.9502999999999999</v>
      </c>
      <c r="T765" s="420">
        <f t="shared" si="121"/>
        <v>0.41370000000000007</v>
      </c>
      <c r="U765" s="420">
        <f t="shared" si="122"/>
        <v>0.29549999999999998</v>
      </c>
      <c r="V765" s="118"/>
      <c r="W765" s="424">
        <f t="shared" si="115"/>
        <v>2.6595</v>
      </c>
      <c r="X765" s="424">
        <f t="shared" si="116"/>
        <v>2.9254500000000001</v>
      </c>
    </row>
    <row r="766" spans="1:24" s="119" customFormat="1" ht="24.9" hidden="1" customHeight="1">
      <c r="A766" s="296">
        <v>50</v>
      </c>
      <c r="B766" s="207" t="s">
        <v>1786</v>
      </c>
      <c r="C766" s="303" t="s">
        <v>1797</v>
      </c>
      <c r="D766" s="207" t="s">
        <v>235</v>
      </c>
      <c r="E766" s="298">
        <v>1</v>
      </c>
      <c r="F766" s="207" t="s">
        <v>236</v>
      </c>
      <c r="G766" s="303">
        <v>33</v>
      </c>
      <c r="H766" s="208">
        <v>7</v>
      </c>
      <c r="I766" s="299">
        <v>5.6</v>
      </c>
      <c r="J766" s="218"/>
      <c r="K766" s="218">
        <v>2.9644560000000002</v>
      </c>
      <c r="L766" s="218"/>
      <c r="M766" s="376" t="s">
        <v>1245</v>
      </c>
      <c r="N766" s="295"/>
      <c r="O766" s="209"/>
      <c r="P766" s="25"/>
      <c r="Q766" s="347">
        <v>5.91</v>
      </c>
      <c r="R766" s="26"/>
      <c r="S766" s="420">
        <f t="shared" si="120"/>
        <v>1.9502999999999999</v>
      </c>
      <c r="T766" s="420">
        <f t="shared" si="121"/>
        <v>0.41370000000000007</v>
      </c>
      <c r="U766" s="420">
        <f t="shared" si="122"/>
        <v>0.33095999999999998</v>
      </c>
      <c r="V766" s="118"/>
      <c r="W766" s="424">
        <f t="shared" si="115"/>
        <v>2.69496</v>
      </c>
      <c r="X766" s="424">
        <f t="shared" si="116"/>
        <v>2.9644560000000002</v>
      </c>
    </row>
    <row r="767" spans="1:24" s="119" customFormat="1" ht="24.9" hidden="1" customHeight="1">
      <c r="A767" s="296">
        <v>51</v>
      </c>
      <c r="B767" s="207" t="s">
        <v>1786</v>
      </c>
      <c r="C767" s="303" t="s">
        <v>1798</v>
      </c>
      <c r="D767" s="207" t="s">
        <v>235</v>
      </c>
      <c r="E767" s="298">
        <v>1</v>
      </c>
      <c r="F767" s="207" t="s">
        <v>236</v>
      </c>
      <c r="G767" s="303">
        <v>33</v>
      </c>
      <c r="H767" s="208">
        <v>7</v>
      </c>
      <c r="I767" s="299">
        <v>6.3</v>
      </c>
      <c r="J767" s="218"/>
      <c r="K767" s="218">
        <v>3.0099629999999999</v>
      </c>
      <c r="L767" s="218"/>
      <c r="M767" s="376" t="s">
        <v>1245</v>
      </c>
      <c r="N767" s="295"/>
      <c r="O767" s="209"/>
      <c r="P767" s="25"/>
      <c r="Q767" s="347">
        <v>5.91</v>
      </c>
      <c r="R767" s="302"/>
      <c r="S767" s="420">
        <f t="shared" si="120"/>
        <v>1.9502999999999999</v>
      </c>
      <c r="T767" s="420">
        <f t="shared" si="121"/>
        <v>0.41370000000000007</v>
      </c>
      <c r="U767" s="420">
        <f t="shared" si="122"/>
        <v>0.37232999999999999</v>
      </c>
      <c r="V767" s="118"/>
      <c r="W767" s="424">
        <f t="shared" si="115"/>
        <v>2.7363299999999997</v>
      </c>
      <c r="X767" s="424">
        <f t="shared" si="116"/>
        <v>3.0099629999999999</v>
      </c>
    </row>
    <row r="768" spans="1:24" s="119" customFormat="1" ht="24.9" hidden="1" customHeight="1">
      <c r="A768" s="296">
        <v>52</v>
      </c>
      <c r="B768" s="207" t="s">
        <v>1786</v>
      </c>
      <c r="C768" s="303" t="s">
        <v>1799</v>
      </c>
      <c r="D768" s="207" t="s">
        <v>235</v>
      </c>
      <c r="E768" s="298">
        <v>1</v>
      </c>
      <c r="F768" s="207" t="s">
        <v>236</v>
      </c>
      <c r="G768" s="303">
        <v>33</v>
      </c>
      <c r="H768" s="208">
        <v>7</v>
      </c>
      <c r="I768" s="299">
        <v>6.9</v>
      </c>
      <c r="J768" s="218"/>
      <c r="K768" s="218">
        <v>3.048969</v>
      </c>
      <c r="L768" s="218"/>
      <c r="M768" s="376" t="s">
        <v>1245</v>
      </c>
      <c r="N768" s="295"/>
      <c r="O768" s="209"/>
      <c r="P768" s="25"/>
      <c r="Q768" s="347">
        <v>5.91</v>
      </c>
      <c r="R768" s="26"/>
      <c r="S768" s="420">
        <f t="shared" si="120"/>
        <v>1.9502999999999999</v>
      </c>
      <c r="T768" s="420">
        <f t="shared" si="121"/>
        <v>0.41370000000000007</v>
      </c>
      <c r="U768" s="420">
        <f t="shared" si="122"/>
        <v>0.40779000000000004</v>
      </c>
      <c r="V768" s="118"/>
      <c r="W768" s="424">
        <f t="shared" si="115"/>
        <v>2.7717899999999998</v>
      </c>
      <c r="X768" s="424">
        <f t="shared" si="116"/>
        <v>3.048969</v>
      </c>
    </row>
    <row r="769" spans="1:24" s="119" customFormat="1" ht="24.9" hidden="1" customHeight="1">
      <c r="A769" s="296">
        <v>53</v>
      </c>
      <c r="B769" s="207" t="s">
        <v>1786</v>
      </c>
      <c r="C769" s="303" t="s">
        <v>1800</v>
      </c>
      <c r="D769" s="207" t="s">
        <v>235</v>
      </c>
      <c r="E769" s="298">
        <v>1</v>
      </c>
      <c r="F769" s="207" t="s">
        <v>236</v>
      </c>
      <c r="G769" s="303">
        <v>33</v>
      </c>
      <c r="H769" s="208">
        <v>7</v>
      </c>
      <c r="I769" s="299">
        <v>7.5</v>
      </c>
      <c r="J769" s="218"/>
      <c r="K769" s="218">
        <v>3.0879750000000001</v>
      </c>
      <c r="L769" s="218"/>
      <c r="M769" s="376" t="s">
        <v>1245</v>
      </c>
      <c r="N769" s="295"/>
      <c r="O769" s="209"/>
      <c r="P769" s="25"/>
      <c r="Q769" s="347">
        <v>5.91</v>
      </c>
      <c r="R769" s="302"/>
      <c r="S769" s="420">
        <f t="shared" si="120"/>
        <v>1.9502999999999999</v>
      </c>
      <c r="T769" s="420">
        <f t="shared" si="121"/>
        <v>0.41370000000000007</v>
      </c>
      <c r="U769" s="420">
        <f t="shared" si="122"/>
        <v>0.44325000000000003</v>
      </c>
      <c r="V769" s="118"/>
      <c r="W769" s="424">
        <f t="shared" si="115"/>
        <v>2.8072499999999998</v>
      </c>
      <c r="X769" s="424">
        <f t="shared" si="116"/>
        <v>3.0879750000000001</v>
      </c>
    </row>
    <row r="770" spans="1:24" s="119" customFormat="1" ht="24.9" hidden="1" customHeight="1">
      <c r="A770" s="296">
        <v>54</v>
      </c>
      <c r="B770" s="207" t="s">
        <v>1786</v>
      </c>
      <c r="C770" s="303" t="s">
        <v>1801</v>
      </c>
      <c r="D770" s="207" t="s">
        <v>235</v>
      </c>
      <c r="E770" s="298">
        <v>1</v>
      </c>
      <c r="F770" s="207" t="s">
        <v>236</v>
      </c>
      <c r="G770" s="303">
        <v>34</v>
      </c>
      <c r="H770" s="208">
        <v>6.5</v>
      </c>
      <c r="I770" s="299">
        <v>9.1999999999999993</v>
      </c>
      <c r="J770" s="218"/>
      <c r="K770" s="218">
        <v>3.2309969999999999</v>
      </c>
      <c r="L770" s="218"/>
      <c r="M770" s="376" t="s">
        <v>1245</v>
      </c>
      <c r="N770" s="295"/>
      <c r="O770" s="209"/>
      <c r="P770" s="25"/>
      <c r="Q770" s="347">
        <v>5.91</v>
      </c>
      <c r="R770" s="26"/>
      <c r="S770" s="420">
        <f t="shared" si="120"/>
        <v>2.0093999999999999</v>
      </c>
      <c r="T770" s="420">
        <f t="shared" si="121"/>
        <v>0.38414999999999999</v>
      </c>
      <c r="U770" s="420">
        <f t="shared" si="122"/>
        <v>0.54371999999999998</v>
      </c>
      <c r="V770" s="118"/>
      <c r="W770" s="424">
        <f t="shared" si="115"/>
        <v>2.9372699999999998</v>
      </c>
      <c r="X770" s="424">
        <f t="shared" si="116"/>
        <v>3.2309969999999999</v>
      </c>
    </row>
    <row r="771" spans="1:24" s="119" customFormat="1" ht="24.9" hidden="1" customHeight="1">
      <c r="A771" s="296">
        <v>55</v>
      </c>
      <c r="B771" s="207" t="s">
        <v>1786</v>
      </c>
      <c r="C771" s="303" t="s">
        <v>1802</v>
      </c>
      <c r="D771" s="207" t="s">
        <v>235</v>
      </c>
      <c r="E771" s="298">
        <v>1</v>
      </c>
      <c r="F771" s="207" t="s">
        <v>236</v>
      </c>
      <c r="G771" s="303">
        <v>34</v>
      </c>
      <c r="H771" s="208">
        <v>6.5</v>
      </c>
      <c r="I771" s="299">
        <v>9.6999999999999993</v>
      </c>
      <c r="J771" s="218"/>
      <c r="K771" s="218">
        <v>3.2635019999999999</v>
      </c>
      <c r="L771" s="218"/>
      <c r="M771" s="376" t="s">
        <v>1245</v>
      </c>
      <c r="N771" s="295"/>
      <c r="O771" s="209"/>
      <c r="P771" s="25"/>
      <c r="Q771" s="347">
        <v>5.91</v>
      </c>
      <c r="R771" s="302"/>
      <c r="S771" s="420">
        <f t="shared" si="120"/>
        <v>2.0093999999999999</v>
      </c>
      <c r="T771" s="420">
        <f t="shared" si="121"/>
        <v>0.38414999999999999</v>
      </c>
      <c r="U771" s="420">
        <f t="shared" si="122"/>
        <v>0.57326999999999995</v>
      </c>
      <c r="V771" s="118"/>
      <c r="W771" s="424">
        <f t="shared" si="115"/>
        <v>2.9668199999999998</v>
      </c>
      <c r="X771" s="424">
        <f t="shared" si="116"/>
        <v>3.2635019999999999</v>
      </c>
    </row>
    <row r="772" spans="1:24" s="119" customFormat="1" ht="24.9" hidden="1" customHeight="1">
      <c r="A772" s="296">
        <v>56</v>
      </c>
      <c r="B772" s="207" t="s">
        <v>1786</v>
      </c>
      <c r="C772" s="303" t="s">
        <v>1803</v>
      </c>
      <c r="D772" s="207" t="s">
        <v>235</v>
      </c>
      <c r="E772" s="298">
        <v>1</v>
      </c>
      <c r="F772" s="207" t="s">
        <v>236</v>
      </c>
      <c r="G772" s="303">
        <v>34</v>
      </c>
      <c r="H772" s="208">
        <v>6.5</v>
      </c>
      <c r="I772" s="299">
        <v>10.4</v>
      </c>
      <c r="J772" s="218"/>
      <c r="K772" s="218">
        <v>3.3090090000000001</v>
      </c>
      <c r="L772" s="218"/>
      <c r="M772" s="376" t="s">
        <v>1245</v>
      </c>
      <c r="N772" s="295"/>
      <c r="O772" s="209"/>
      <c r="P772" s="25"/>
      <c r="Q772" s="347">
        <v>5.91</v>
      </c>
      <c r="R772" s="26"/>
      <c r="S772" s="420">
        <f t="shared" si="120"/>
        <v>2.0093999999999999</v>
      </c>
      <c r="T772" s="420">
        <f t="shared" si="121"/>
        <v>0.38414999999999999</v>
      </c>
      <c r="U772" s="420">
        <f t="shared" si="122"/>
        <v>0.61464000000000008</v>
      </c>
      <c r="V772" s="118"/>
      <c r="W772" s="424">
        <f t="shared" si="115"/>
        <v>3.0081899999999999</v>
      </c>
      <c r="X772" s="424">
        <f t="shared" si="116"/>
        <v>3.3090090000000001</v>
      </c>
    </row>
    <row r="773" spans="1:24" s="119" customFormat="1" ht="24.9" hidden="1" customHeight="1">
      <c r="A773" s="296">
        <v>57</v>
      </c>
      <c r="B773" s="207" t="s">
        <v>1786</v>
      </c>
      <c r="C773" s="303" t="s">
        <v>1830</v>
      </c>
      <c r="D773" s="207" t="s">
        <v>235</v>
      </c>
      <c r="E773" s="298">
        <v>1</v>
      </c>
      <c r="F773" s="207" t="s">
        <v>236</v>
      </c>
      <c r="G773" s="303">
        <v>34</v>
      </c>
      <c r="H773" s="208">
        <v>6.5</v>
      </c>
      <c r="I773" s="299">
        <v>11.1</v>
      </c>
      <c r="J773" s="218"/>
      <c r="K773" s="218">
        <v>3.3545159999999998</v>
      </c>
      <c r="L773" s="218"/>
      <c r="M773" s="376" t="s">
        <v>1245</v>
      </c>
      <c r="N773" s="295"/>
      <c r="O773" s="209"/>
      <c r="P773" s="25"/>
      <c r="Q773" s="347">
        <v>5.91</v>
      </c>
      <c r="R773" s="302"/>
      <c r="S773" s="420">
        <f t="shared" si="120"/>
        <v>2.0093999999999999</v>
      </c>
      <c r="T773" s="420">
        <f t="shared" si="121"/>
        <v>0.38414999999999999</v>
      </c>
      <c r="U773" s="420">
        <f t="shared" si="122"/>
        <v>0.65600999999999998</v>
      </c>
      <c r="V773" s="118"/>
      <c r="W773" s="424">
        <f t="shared" si="115"/>
        <v>3.0495599999999996</v>
      </c>
      <c r="X773" s="424">
        <f t="shared" si="116"/>
        <v>3.3545159999999998</v>
      </c>
    </row>
    <row r="774" spans="1:24" s="119" customFormat="1" ht="24.9" hidden="1" customHeight="1">
      <c r="A774" s="296">
        <v>58</v>
      </c>
      <c r="B774" s="207" t="s">
        <v>1786</v>
      </c>
      <c r="C774" s="303" t="s">
        <v>1805</v>
      </c>
      <c r="D774" s="207" t="s">
        <v>235</v>
      </c>
      <c r="E774" s="298">
        <v>1</v>
      </c>
      <c r="F774" s="207" t="s">
        <v>236</v>
      </c>
      <c r="G774" s="303">
        <v>34</v>
      </c>
      <c r="H774" s="208">
        <v>6.5</v>
      </c>
      <c r="I774" s="299">
        <v>11.7</v>
      </c>
      <c r="J774" s="218"/>
      <c r="K774" s="218">
        <v>3.3935219999999999</v>
      </c>
      <c r="L774" s="218"/>
      <c r="M774" s="376" t="s">
        <v>1245</v>
      </c>
      <c r="N774" s="295"/>
      <c r="O774" s="209"/>
      <c r="P774" s="25"/>
      <c r="Q774" s="347">
        <v>5.91</v>
      </c>
      <c r="R774" s="26"/>
      <c r="S774" s="420">
        <f t="shared" si="120"/>
        <v>2.0093999999999999</v>
      </c>
      <c r="T774" s="420">
        <f t="shared" si="121"/>
        <v>0.38414999999999999</v>
      </c>
      <c r="U774" s="420">
        <f t="shared" si="122"/>
        <v>0.69146999999999992</v>
      </c>
      <c r="V774" s="118"/>
      <c r="W774" s="424">
        <f t="shared" si="115"/>
        <v>3.0850199999999997</v>
      </c>
      <c r="X774" s="424">
        <f t="shared" si="116"/>
        <v>3.3935219999999999</v>
      </c>
    </row>
    <row r="775" spans="1:24" s="119" customFormat="1" ht="24.9" hidden="1" customHeight="1">
      <c r="A775" s="296">
        <v>59</v>
      </c>
      <c r="B775" s="207" t="s">
        <v>1786</v>
      </c>
      <c r="C775" s="303" t="s">
        <v>1806</v>
      </c>
      <c r="D775" s="207" t="s">
        <v>235</v>
      </c>
      <c r="E775" s="298">
        <v>1</v>
      </c>
      <c r="F775" s="207" t="s">
        <v>236</v>
      </c>
      <c r="G775" s="303">
        <v>34</v>
      </c>
      <c r="H775" s="208">
        <v>6.5</v>
      </c>
      <c r="I775" s="299">
        <v>12.3</v>
      </c>
      <c r="J775" s="218"/>
      <c r="K775" s="218">
        <v>3.432528</v>
      </c>
      <c r="L775" s="218"/>
      <c r="M775" s="376" t="s">
        <v>1245</v>
      </c>
      <c r="N775" s="295"/>
      <c r="O775" s="209"/>
      <c r="P775" s="25"/>
      <c r="Q775" s="347">
        <v>5.91</v>
      </c>
      <c r="R775" s="302"/>
      <c r="S775" s="420">
        <f t="shared" si="120"/>
        <v>2.0093999999999999</v>
      </c>
      <c r="T775" s="420">
        <f t="shared" si="121"/>
        <v>0.38414999999999999</v>
      </c>
      <c r="U775" s="420">
        <f t="shared" si="122"/>
        <v>0.72693000000000008</v>
      </c>
      <c r="V775" s="118"/>
      <c r="W775" s="424">
        <f t="shared" si="115"/>
        <v>3.1204799999999997</v>
      </c>
      <c r="X775" s="424">
        <f t="shared" si="116"/>
        <v>3.432528</v>
      </c>
    </row>
    <row r="776" spans="1:24" s="119" customFormat="1" ht="24.9" hidden="1" customHeight="1">
      <c r="A776" s="296">
        <v>60</v>
      </c>
      <c r="B776" s="207" t="s">
        <v>1786</v>
      </c>
      <c r="C776" s="303" t="s">
        <v>1807</v>
      </c>
      <c r="D776" s="207" t="s">
        <v>235</v>
      </c>
      <c r="E776" s="298">
        <v>1</v>
      </c>
      <c r="F776" s="207" t="s">
        <v>236</v>
      </c>
      <c r="G776" s="303">
        <v>34</v>
      </c>
      <c r="H776" s="208">
        <v>6.5</v>
      </c>
      <c r="I776" s="299">
        <v>13</v>
      </c>
      <c r="J776" s="218"/>
      <c r="K776" s="218">
        <v>3.4780350000000002</v>
      </c>
      <c r="L776" s="218"/>
      <c r="M776" s="376" t="s">
        <v>1245</v>
      </c>
      <c r="N776" s="295"/>
      <c r="O776" s="209"/>
      <c r="P776" s="25"/>
      <c r="Q776" s="347">
        <v>5.91</v>
      </c>
      <c r="R776" s="26"/>
      <c r="S776" s="420">
        <f t="shared" si="120"/>
        <v>2.0093999999999999</v>
      </c>
      <c r="T776" s="420">
        <f t="shared" si="121"/>
        <v>0.38414999999999999</v>
      </c>
      <c r="U776" s="420">
        <f t="shared" si="122"/>
        <v>0.76829999999999998</v>
      </c>
      <c r="V776" s="118"/>
      <c r="W776" s="424">
        <f t="shared" si="115"/>
        <v>3.1618499999999998</v>
      </c>
      <c r="X776" s="424">
        <f t="shared" si="116"/>
        <v>3.4780350000000002</v>
      </c>
    </row>
    <row r="777" spans="1:24" s="119" customFormat="1" ht="24.9" hidden="1" customHeight="1">
      <c r="A777" s="296">
        <v>61</v>
      </c>
      <c r="B777" s="207" t="s">
        <v>1786</v>
      </c>
      <c r="C777" s="303" t="s">
        <v>1808</v>
      </c>
      <c r="D777" s="207" t="s">
        <v>235</v>
      </c>
      <c r="E777" s="298">
        <v>1</v>
      </c>
      <c r="F777" s="207" t="s">
        <v>236</v>
      </c>
      <c r="G777" s="303">
        <v>34</v>
      </c>
      <c r="H777" s="208">
        <v>6.5</v>
      </c>
      <c r="I777" s="299">
        <v>13.6</v>
      </c>
      <c r="J777" s="218"/>
      <c r="K777" s="218">
        <v>3.5170410000000003</v>
      </c>
      <c r="L777" s="218"/>
      <c r="M777" s="376" t="s">
        <v>1245</v>
      </c>
      <c r="N777" s="295"/>
      <c r="O777" s="209"/>
      <c r="P777" s="25"/>
      <c r="Q777" s="347">
        <v>5.91</v>
      </c>
      <c r="R777" s="302"/>
      <c r="S777" s="420">
        <f t="shared" si="120"/>
        <v>2.0093999999999999</v>
      </c>
      <c r="T777" s="420">
        <f t="shared" si="121"/>
        <v>0.38414999999999999</v>
      </c>
      <c r="U777" s="420">
        <f t="shared" si="122"/>
        <v>0.80376000000000003</v>
      </c>
      <c r="V777" s="118"/>
      <c r="W777" s="424">
        <f t="shared" si="115"/>
        <v>3.1973099999999999</v>
      </c>
      <c r="X777" s="424">
        <f t="shared" si="116"/>
        <v>3.5170410000000003</v>
      </c>
    </row>
    <row r="778" spans="1:24" s="119" customFormat="1" ht="24.9" hidden="1" customHeight="1">
      <c r="A778" s="296">
        <v>62</v>
      </c>
      <c r="B778" s="207" t="s">
        <v>1786</v>
      </c>
      <c r="C778" s="303" t="s">
        <v>1809</v>
      </c>
      <c r="D778" s="207" t="s">
        <v>235</v>
      </c>
      <c r="E778" s="298">
        <v>1</v>
      </c>
      <c r="F778" s="207" t="s">
        <v>236</v>
      </c>
      <c r="G778" s="303">
        <v>34</v>
      </c>
      <c r="H778" s="208">
        <v>6.5</v>
      </c>
      <c r="I778" s="299">
        <v>14.3</v>
      </c>
      <c r="J778" s="218"/>
      <c r="K778" s="218">
        <v>3.5625480000000005</v>
      </c>
      <c r="L778" s="218"/>
      <c r="M778" s="376" t="s">
        <v>1245</v>
      </c>
      <c r="N778" s="295"/>
      <c r="O778" s="209"/>
      <c r="P778" s="25"/>
      <c r="Q778" s="347">
        <v>5.91</v>
      </c>
      <c r="R778" s="26"/>
      <c r="S778" s="420">
        <f t="shared" si="120"/>
        <v>2.0093999999999999</v>
      </c>
      <c r="T778" s="420">
        <f t="shared" si="121"/>
        <v>0.38414999999999999</v>
      </c>
      <c r="U778" s="420">
        <f t="shared" si="122"/>
        <v>0.84513000000000005</v>
      </c>
      <c r="V778" s="118"/>
      <c r="W778" s="424">
        <f t="shared" si="115"/>
        <v>3.23868</v>
      </c>
      <c r="X778" s="424">
        <f t="shared" si="116"/>
        <v>3.5625480000000005</v>
      </c>
    </row>
    <row r="779" spans="1:24" s="119" customFormat="1" ht="24.9" hidden="1" customHeight="1">
      <c r="A779" s="296">
        <v>63</v>
      </c>
      <c r="B779" s="207" t="s">
        <v>1786</v>
      </c>
      <c r="C779" s="303" t="s">
        <v>1810</v>
      </c>
      <c r="D779" s="207" t="s">
        <v>235</v>
      </c>
      <c r="E779" s="298">
        <v>1</v>
      </c>
      <c r="F779" s="207" t="s">
        <v>236</v>
      </c>
      <c r="G779" s="303">
        <v>34</v>
      </c>
      <c r="H779" s="208">
        <v>6.5</v>
      </c>
      <c r="I779" s="299">
        <v>14.9</v>
      </c>
      <c r="J779" s="218"/>
      <c r="K779" s="218">
        <v>3.6015540000000001</v>
      </c>
      <c r="L779" s="218"/>
      <c r="M779" s="376" t="s">
        <v>1245</v>
      </c>
      <c r="N779" s="295"/>
      <c r="O779" s="209"/>
      <c r="P779" s="25"/>
      <c r="Q779" s="347">
        <v>5.91</v>
      </c>
      <c r="R779" s="302"/>
      <c r="S779" s="420">
        <f t="shared" si="120"/>
        <v>2.0093999999999999</v>
      </c>
      <c r="T779" s="420">
        <f t="shared" si="121"/>
        <v>0.38414999999999999</v>
      </c>
      <c r="U779" s="420">
        <f t="shared" si="122"/>
        <v>0.88058999999999998</v>
      </c>
      <c r="V779" s="118"/>
      <c r="W779" s="424">
        <f t="shared" si="115"/>
        <v>3.2741400000000001</v>
      </c>
      <c r="X779" s="424">
        <f t="shared" si="116"/>
        <v>3.6015540000000001</v>
      </c>
    </row>
    <row r="780" spans="1:24" s="119" customFormat="1" ht="24.9" hidden="1" customHeight="1">
      <c r="A780" s="296">
        <v>64</v>
      </c>
      <c r="B780" s="207" t="s">
        <v>1786</v>
      </c>
      <c r="C780" s="303" t="s">
        <v>1811</v>
      </c>
      <c r="D780" s="207" t="s">
        <v>235</v>
      </c>
      <c r="E780" s="298">
        <v>1</v>
      </c>
      <c r="F780" s="207" t="s">
        <v>236</v>
      </c>
      <c r="G780" s="303">
        <v>34</v>
      </c>
      <c r="H780" s="208">
        <v>6.5</v>
      </c>
      <c r="I780" s="299">
        <v>15.5</v>
      </c>
      <c r="J780" s="218"/>
      <c r="K780" s="218">
        <v>3.6405599999999998</v>
      </c>
      <c r="L780" s="218"/>
      <c r="M780" s="376" t="s">
        <v>1245</v>
      </c>
      <c r="N780" s="295"/>
      <c r="O780" s="209"/>
      <c r="P780" s="25"/>
      <c r="Q780" s="347">
        <v>5.91</v>
      </c>
      <c r="R780" s="26"/>
      <c r="S780" s="420">
        <f t="shared" si="120"/>
        <v>2.0093999999999999</v>
      </c>
      <c r="T780" s="420">
        <f t="shared" si="121"/>
        <v>0.38414999999999999</v>
      </c>
      <c r="U780" s="420">
        <f t="shared" si="122"/>
        <v>0.91605000000000003</v>
      </c>
      <c r="V780" s="118"/>
      <c r="W780" s="424">
        <f t="shared" si="115"/>
        <v>3.3095999999999997</v>
      </c>
      <c r="X780" s="424">
        <f t="shared" si="116"/>
        <v>3.6405599999999998</v>
      </c>
    </row>
    <row r="781" spans="1:24" s="119" customFormat="1" ht="24.9" hidden="1" customHeight="1">
      <c r="A781" s="296">
        <v>65</v>
      </c>
      <c r="B781" s="207" t="s">
        <v>1786</v>
      </c>
      <c r="C781" s="303" t="s">
        <v>1812</v>
      </c>
      <c r="D781" s="207" t="s">
        <v>235</v>
      </c>
      <c r="E781" s="298">
        <v>1</v>
      </c>
      <c r="F781" s="207" t="s">
        <v>236</v>
      </c>
      <c r="G781" s="303">
        <v>34</v>
      </c>
      <c r="H781" s="208">
        <v>6.5</v>
      </c>
      <c r="I781" s="299">
        <v>16.2</v>
      </c>
      <c r="J781" s="218"/>
      <c r="K781" s="218">
        <v>3.686067</v>
      </c>
      <c r="L781" s="218"/>
      <c r="M781" s="376" t="s">
        <v>1245</v>
      </c>
      <c r="N781" s="295"/>
      <c r="O781" s="209"/>
      <c r="P781" s="25"/>
      <c r="Q781" s="347">
        <v>5.91</v>
      </c>
      <c r="R781" s="302"/>
      <c r="S781" s="420">
        <f t="shared" si="120"/>
        <v>2.0093999999999999</v>
      </c>
      <c r="T781" s="420">
        <f t="shared" si="121"/>
        <v>0.38414999999999999</v>
      </c>
      <c r="U781" s="420">
        <f t="shared" si="122"/>
        <v>0.95742000000000005</v>
      </c>
      <c r="V781" s="118"/>
      <c r="W781" s="424">
        <f t="shared" si="115"/>
        <v>3.3509699999999998</v>
      </c>
      <c r="X781" s="424">
        <f t="shared" si="116"/>
        <v>3.686067</v>
      </c>
    </row>
    <row r="782" spans="1:24" s="119" customFormat="1" ht="24.9" hidden="1" customHeight="1">
      <c r="A782" s="296">
        <v>66</v>
      </c>
      <c r="B782" s="207" t="s">
        <v>1786</v>
      </c>
      <c r="C782" s="303" t="s">
        <v>1813</v>
      </c>
      <c r="D782" s="207" t="s">
        <v>235</v>
      </c>
      <c r="E782" s="298">
        <v>1</v>
      </c>
      <c r="F782" s="207" t="s">
        <v>236</v>
      </c>
      <c r="G782" s="303">
        <v>34</v>
      </c>
      <c r="H782" s="208">
        <v>6.5</v>
      </c>
      <c r="I782" s="299">
        <v>16.8</v>
      </c>
      <c r="J782" s="218"/>
      <c r="K782" s="218">
        <v>3.7250730000000001</v>
      </c>
      <c r="L782" s="218"/>
      <c r="M782" s="376" t="s">
        <v>1245</v>
      </c>
      <c r="N782" s="295"/>
      <c r="O782" s="209"/>
      <c r="P782" s="25"/>
      <c r="Q782" s="347">
        <v>5.91</v>
      </c>
      <c r="R782" s="26"/>
      <c r="S782" s="420">
        <f t="shared" si="120"/>
        <v>2.0093999999999999</v>
      </c>
      <c r="T782" s="420">
        <f t="shared" si="121"/>
        <v>0.38414999999999999</v>
      </c>
      <c r="U782" s="420">
        <f t="shared" si="122"/>
        <v>0.9928800000000001</v>
      </c>
      <c r="V782" s="118"/>
      <c r="W782" s="424">
        <f t="shared" ref="W782:W799" si="123">S782+T782+U782</f>
        <v>3.3864299999999998</v>
      </c>
      <c r="X782" s="424">
        <f t="shared" ref="X782:X799" si="124">W782*1.1</f>
        <v>3.7250730000000001</v>
      </c>
    </row>
    <row r="783" spans="1:24" s="119" customFormat="1" ht="24.9" hidden="1" customHeight="1">
      <c r="A783" s="296">
        <v>67</v>
      </c>
      <c r="B783" s="207" t="s">
        <v>1786</v>
      </c>
      <c r="C783" s="303" t="s">
        <v>1814</v>
      </c>
      <c r="D783" s="207" t="s">
        <v>235</v>
      </c>
      <c r="E783" s="298">
        <v>1</v>
      </c>
      <c r="F783" s="207" t="s">
        <v>236</v>
      </c>
      <c r="G783" s="303">
        <v>34</v>
      </c>
      <c r="H783" s="208">
        <v>6.5</v>
      </c>
      <c r="I783" s="299">
        <v>17.399999999999999</v>
      </c>
      <c r="J783" s="218"/>
      <c r="K783" s="218">
        <v>3.7640789999999997</v>
      </c>
      <c r="L783" s="218"/>
      <c r="M783" s="376" t="s">
        <v>1245</v>
      </c>
      <c r="N783" s="295"/>
      <c r="O783" s="209"/>
      <c r="P783" s="25"/>
      <c r="Q783" s="347">
        <v>5.91</v>
      </c>
      <c r="R783" s="302"/>
      <c r="S783" s="420">
        <f t="shared" si="120"/>
        <v>2.0093999999999999</v>
      </c>
      <c r="T783" s="420">
        <f t="shared" si="121"/>
        <v>0.38414999999999999</v>
      </c>
      <c r="U783" s="420">
        <f t="shared" si="122"/>
        <v>1.0283399999999998</v>
      </c>
      <c r="V783" s="118"/>
      <c r="W783" s="424">
        <f t="shared" si="123"/>
        <v>3.4218899999999994</v>
      </c>
      <c r="X783" s="424">
        <f t="shared" si="124"/>
        <v>3.7640789999999997</v>
      </c>
    </row>
    <row r="784" spans="1:24" s="119" customFormat="1" ht="24.9" hidden="1" customHeight="1">
      <c r="A784" s="296">
        <v>68</v>
      </c>
      <c r="B784" s="207" t="s">
        <v>1786</v>
      </c>
      <c r="C784" s="303" t="s">
        <v>1815</v>
      </c>
      <c r="D784" s="207" t="s">
        <v>235</v>
      </c>
      <c r="E784" s="298">
        <v>1</v>
      </c>
      <c r="F784" s="207" t="s">
        <v>236</v>
      </c>
      <c r="G784" s="303">
        <v>34</v>
      </c>
      <c r="H784" s="208">
        <v>6.5</v>
      </c>
      <c r="I784" s="299">
        <v>18.100000000000001</v>
      </c>
      <c r="J784" s="218"/>
      <c r="K784" s="218">
        <v>3.8095860000000004</v>
      </c>
      <c r="L784" s="218"/>
      <c r="M784" s="376" t="s">
        <v>1245</v>
      </c>
      <c r="N784" s="295"/>
      <c r="O784" s="209"/>
      <c r="P784" s="25"/>
      <c r="Q784" s="347">
        <v>5.91</v>
      </c>
      <c r="R784" s="26"/>
      <c r="S784" s="420">
        <f t="shared" si="120"/>
        <v>2.0093999999999999</v>
      </c>
      <c r="T784" s="420">
        <f t="shared" si="121"/>
        <v>0.38414999999999999</v>
      </c>
      <c r="U784" s="420">
        <f t="shared" si="122"/>
        <v>1.0697100000000002</v>
      </c>
      <c r="V784" s="118"/>
      <c r="W784" s="424">
        <f t="shared" si="123"/>
        <v>3.46326</v>
      </c>
      <c r="X784" s="424">
        <f t="shared" si="124"/>
        <v>3.8095860000000004</v>
      </c>
    </row>
    <row r="785" spans="1:24" s="119" customFormat="1" ht="24.9" hidden="1" customHeight="1">
      <c r="A785" s="296">
        <v>69</v>
      </c>
      <c r="B785" s="207" t="s">
        <v>1786</v>
      </c>
      <c r="C785" s="303" t="s">
        <v>1816</v>
      </c>
      <c r="D785" s="207" t="s">
        <v>235</v>
      </c>
      <c r="E785" s="298">
        <v>1</v>
      </c>
      <c r="F785" s="207" t="s">
        <v>236</v>
      </c>
      <c r="G785" s="303">
        <v>34</v>
      </c>
      <c r="H785" s="208">
        <v>6.5</v>
      </c>
      <c r="I785" s="299">
        <v>18.7</v>
      </c>
      <c r="J785" s="218"/>
      <c r="K785" s="218">
        <v>3.848592</v>
      </c>
      <c r="L785" s="218"/>
      <c r="M785" s="376" t="s">
        <v>1245</v>
      </c>
      <c r="N785" s="295"/>
      <c r="O785" s="209"/>
      <c r="P785" s="25"/>
      <c r="Q785" s="347">
        <v>5.91</v>
      </c>
      <c r="R785" s="302"/>
      <c r="S785" s="420">
        <f t="shared" si="120"/>
        <v>2.0093999999999999</v>
      </c>
      <c r="T785" s="420">
        <f t="shared" si="121"/>
        <v>0.38414999999999999</v>
      </c>
      <c r="U785" s="420">
        <f t="shared" si="122"/>
        <v>1.10517</v>
      </c>
      <c r="V785" s="118"/>
      <c r="W785" s="424">
        <f t="shared" si="123"/>
        <v>3.4987199999999996</v>
      </c>
      <c r="X785" s="424">
        <f t="shared" si="124"/>
        <v>3.848592</v>
      </c>
    </row>
    <row r="786" spans="1:24" s="119" customFormat="1" ht="24.9" hidden="1" customHeight="1">
      <c r="A786" s="296">
        <v>70</v>
      </c>
      <c r="B786" s="207" t="s">
        <v>1786</v>
      </c>
      <c r="C786" s="303" t="s">
        <v>1817</v>
      </c>
      <c r="D786" s="207" t="s">
        <v>235</v>
      </c>
      <c r="E786" s="298">
        <v>1</v>
      </c>
      <c r="F786" s="207" t="s">
        <v>236</v>
      </c>
      <c r="G786" s="303">
        <v>34</v>
      </c>
      <c r="H786" s="208">
        <v>6.5</v>
      </c>
      <c r="I786" s="299">
        <v>19.3</v>
      </c>
      <c r="J786" s="218"/>
      <c r="K786" s="218">
        <v>3.8875980000000006</v>
      </c>
      <c r="L786" s="218"/>
      <c r="M786" s="376" t="s">
        <v>1245</v>
      </c>
      <c r="N786" s="295"/>
      <c r="O786" s="209"/>
      <c r="P786" s="25"/>
      <c r="Q786" s="347">
        <v>5.91</v>
      </c>
      <c r="R786" s="26"/>
      <c r="S786" s="420">
        <f t="shared" si="120"/>
        <v>2.0093999999999999</v>
      </c>
      <c r="T786" s="420">
        <f t="shared" si="121"/>
        <v>0.38414999999999999</v>
      </c>
      <c r="U786" s="420">
        <f t="shared" si="122"/>
        <v>1.14063</v>
      </c>
      <c r="V786" s="118"/>
      <c r="W786" s="424">
        <f t="shared" si="123"/>
        <v>3.5341800000000001</v>
      </c>
      <c r="X786" s="424">
        <f t="shared" si="124"/>
        <v>3.8875980000000006</v>
      </c>
    </row>
    <row r="787" spans="1:24" s="119" customFormat="1" ht="24.9" hidden="1" customHeight="1">
      <c r="A787" s="296">
        <v>71</v>
      </c>
      <c r="B787" s="207" t="s">
        <v>1786</v>
      </c>
      <c r="C787" s="303" t="s">
        <v>1818</v>
      </c>
      <c r="D787" s="207" t="s">
        <v>235</v>
      </c>
      <c r="E787" s="298">
        <v>1</v>
      </c>
      <c r="F787" s="207" t="s">
        <v>236</v>
      </c>
      <c r="G787" s="303">
        <v>34</v>
      </c>
      <c r="H787" s="208">
        <v>6.5</v>
      </c>
      <c r="I787" s="299">
        <v>20</v>
      </c>
      <c r="J787" s="218"/>
      <c r="K787" s="218">
        <v>3.9331050000000003</v>
      </c>
      <c r="L787" s="218"/>
      <c r="M787" s="376" t="s">
        <v>1245</v>
      </c>
      <c r="N787" s="295"/>
      <c r="O787" s="209"/>
      <c r="P787" s="25"/>
      <c r="Q787" s="347">
        <v>5.91</v>
      </c>
      <c r="R787" s="302"/>
      <c r="S787" s="420">
        <f t="shared" si="120"/>
        <v>2.0093999999999999</v>
      </c>
      <c r="T787" s="420">
        <f t="shared" si="121"/>
        <v>0.38414999999999999</v>
      </c>
      <c r="U787" s="420">
        <f t="shared" si="122"/>
        <v>1.1819999999999999</v>
      </c>
      <c r="V787" s="118"/>
      <c r="W787" s="424">
        <f t="shared" si="123"/>
        <v>3.5755499999999998</v>
      </c>
      <c r="X787" s="424">
        <f t="shared" si="124"/>
        <v>3.9331050000000003</v>
      </c>
    </row>
    <row r="788" spans="1:24" s="119" customFormat="1" ht="24.9" hidden="1" customHeight="1">
      <c r="A788" s="296">
        <v>72</v>
      </c>
      <c r="B788" s="207" t="s">
        <v>1786</v>
      </c>
      <c r="C788" s="303" t="s">
        <v>1819</v>
      </c>
      <c r="D788" s="207" t="s">
        <v>235</v>
      </c>
      <c r="E788" s="298">
        <v>1</v>
      </c>
      <c r="F788" s="207" t="s">
        <v>236</v>
      </c>
      <c r="G788" s="303">
        <v>34</v>
      </c>
      <c r="H788" s="208">
        <v>6.5</v>
      </c>
      <c r="I788" s="299">
        <v>20.6</v>
      </c>
      <c r="J788" s="218"/>
      <c r="K788" s="218">
        <v>3.9721109999999999</v>
      </c>
      <c r="L788" s="218"/>
      <c r="M788" s="376" t="s">
        <v>1245</v>
      </c>
      <c r="N788" s="295"/>
      <c r="O788" s="209"/>
      <c r="P788" s="25"/>
      <c r="Q788" s="347">
        <v>5.91</v>
      </c>
      <c r="R788" s="26"/>
      <c r="S788" s="420">
        <f t="shared" si="120"/>
        <v>2.0093999999999999</v>
      </c>
      <c r="T788" s="420">
        <f t="shared" si="121"/>
        <v>0.38414999999999999</v>
      </c>
      <c r="U788" s="420">
        <f t="shared" si="122"/>
        <v>1.21746</v>
      </c>
      <c r="V788" s="118"/>
      <c r="W788" s="424">
        <f t="shared" si="123"/>
        <v>3.6110099999999998</v>
      </c>
      <c r="X788" s="424">
        <f t="shared" si="124"/>
        <v>3.9721109999999999</v>
      </c>
    </row>
    <row r="789" spans="1:24" s="119" customFormat="1" ht="24.9" hidden="1" customHeight="1">
      <c r="A789" s="296">
        <v>73</v>
      </c>
      <c r="B789" s="207" t="s">
        <v>1786</v>
      </c>
      <c r="C789" s="303" t="s">
        <v>1820</v>
      </c>
      <c r="D789" s="207" t="s">
        <v>235</v>
      </c>
      <c r="E789" s="298">
        <v>1</v>
      </c>
      <c r="F789" s="207" t="s">
        <v>236</v>
      </c>
      <c r="G789" s="303">
        <v>34</v>
      </c>
      <c r="H789" s="208">
        <v>6.5</v>
      </c>
      <c r="I789" s="299">
        <v>21.2</v>
      </c>
      <c r="J789" s="218"/>
      <c r="K789" s="218">
        <v>4.0111170000000005</v>
      </c>
      <c r="L789" s="218"/>
      <c r="M789" s="376" t="s">
        <v>1245</v>
      </c>
      <c r="N789" s="295"/>
      <c r="O789" s="209"/>
      <c r="P789" s="25"/>
      <c r="Q789" s="347">
        <v>5.91</v>
      </c>
      <c r="R789" s="302"/>
      <c r="S789" s="420">
        <f t="shared" si="120"/>
        <v>2.0093999999999999</v>
      </c>
      <c r="T789" s="420">
        <f t="shared" si="121"/>
        <v>0.38414999999999999</v>
      </c>
      <c r="U789" s="420">
        <f t="shared" si="122"/>
        <v>1.25292</v>
      </c>
      <c r="V789" s="118"/>
      <c r="W789" s="424">
        <f t="shared" si="123"/>
        <v>3.6464699999999999</v>
      </c>
      <c r="X789" s="424">
        <f t="shared" si="124"/>
        <v>4.0111170000000005</v>
      </c>
    </row>
    <row r="790" spans="1:24" s="119" customFormat="1" ht="24.9" hidden="1" customHeight="1">
      <c r="A790" s="296">
        <v>74</v>
      </c>
      <c r="B790" s="207" t="s">
        <v>1786</v>
      </c>
      <c r="C790" s="303" t="s">
        <v>1821</v>
      </c>
      <c r="D790" s="207" t="s">
        <v>235</v>
      </c>
      <c r="E790" s="298">
        <v>1</v>
      </c>
      <c r="F790" s="207" t="s">
        <v>236</v>
      </c>
      <c r="G790" s="303">
        <v>34</v>
      </c>
      <c r="H790" s="208">
        <v>6.5</v>
      </c>
      <c r="I790" s="299">
        <v>21.9</v>
      </c>
      <c r="J790" s="218"/>
      <c r="K790" s="218">
        <v>4.0566240000000002</v>
      </c>
      <c r="L790" s="218"/>
      <c r="M790" s="376" t="s">
        <v>1245</v>
      </c>
      <c r="N790" s="295"/>
      <c r="O790" s="209"/>
      <c r="P790" s="25"/>
      <c r="Q790" s="347">
        <v>5.91</v>
      </c>
      <c r="R790" s="26"/>
      <c r="S790" s="420">
        <f t="shared" si="120"/>
        <v>2.0093999999999999</v>
      </c>
      <c r="T790" s="420">
        <f t="shared" si="121"/>
        <v>0.38414999999999999</v>
      </c>
      <c r="U790" s="420">
        <f t="shared" si="122"/>
        <v>1.2942899999999999</v>
      </c>
      <c r="V790" s="118"/>
      <c r="W790" s="424">
        <f t="shared" si="123"/>
        <v>3.6878399999999996</v>
      </c>
      <c r="X790" s="424">
        <f t="shared" si="124"/>
        <v>4.0566240000000002</v>
      </c>
    </row>
    <row r="791" spans="1:24" s="119" customFormat="1" ht="24.9" hidden="1" customHeight="1">
      <c r="A791" s="296">
        <v>75</v>
      </c>
      <c r="B791" s="207" t="s">
        <v>1786</v>
      </c>
      <c r="C791" s="303" t="s">
        <v>1822</v>
      </c>
      <c r="D791" s="207" t="s">
        <v>235</v>
      </c>
      <c r="E791" s="298">
        <v>1</v>
      </c>
      <c r="F791" s="207" t="s">
        <v>236</v>
      </c>
      <c r="G791" s="303">
        <v>34</v>
      </c>
      <c r="H791" s="208">
        <v>6.5</v>
      </c>
      <c r="I791" s="299">
        <v>22.5</v>
      </c>
      <c r="J791" s="218"/>
      <c r="K791" s="218">
        <v>4.0956300000000008</v>
      </c>
      <c r="L791" s="218"/>
      <c r="M791" s="376" t="s">
        <v>1245</v>
      </c>
      <c r="N791" s="295"/>
      <c r="O791" s="209"/>
      <c r="P791" s="25"/>
      <c r="Q791" s="347">
        <v>5.91</v>
      </c>
      <c r="R791" s="302"/>
      <c r="S791" s="420">
        <f t="shared" si="120"/>
        <v>2.0093999999999999</v>
      </c>
      <c r="T791" s="420">
        <f t="shared" si="121"/>
        <v>0.38414999999999999</v>
      </c>
      <c r="U791" s="420">
        <f t="shared" si="122"/>
        <v>1.32975</v>
      </c>
      <c r="V791" s="118"/>
      <c r="W791" s="424">
        <f t="shared" si="123"/>
        <v>3.7233000000000001</v>
      </c>
      <c r="X791" s="424">
        <f t="shared" si="124"/>
        <v>4.0956300000000008</v>
      </c>
    </row>
    <row r="792" spans="1:24" s="119" customFormat="1" ht="24.9" hidden="1" customHeight="1">
      <c r="A792" s="296">
        <v>76</v>
      </c>
      <c r="B792" s="207" t="s">
        <v>1786</v>
      </c>
      <c r="C792" s="303" t="s">
        <v>1823</v>
      </c>
      <c r="D792" s="207" t="s">
        <v>235</v>
      </c>
      <c r="E792" s="298">
        <v>1</v>
      </c>
      <c r="F792" s="207" t="s">
        <v>236</v>
      </c>
      <c r="G792" s="303">
        <v>34</v>
      </c>
      <c r="H792" s="208">
        <v>6.5</v>
      </c>
      <c r="I792" s="299">
        <v>23.1</v>
      </c>
      <c r="J792" s="218"/>
      <c r="K792" s="218">
        <v>4.1346360000000004</v>
      </c>
      <c r="L792" s="218"/>
      <c r="M792" s="376" t="s">
        <v>1245</v>
      </c>
      <c r="N792" s="295"/>
      <c r="O792" s="209"/>
      <c r="P792" s="25"/>
      <c r="Q792" s="347">
        <v>5.91</v>
      </c>
      <c r="R792" s="26"/>
      <c r="S792" s="420">
        <f t="shared" si="120"/>
        <v>2.0093999999999999</v>
      </c>
      <c r="T792" s="420">
        <f t="shared" si="121"/>
        <v>0.38414999999999999</v>
      </c>
      <c r="U792" s="420">
        <f t="shared" si="122"/>
        <v>1.3652100000000003</v>
      </c>
      <c r="V792" s="118"/>
      <c r="W792" s="424">
        <f t="shared" si="123"/>
        <v>3.7587600000000001</v>
      </c>
      <c r="X792" s="424">
        <f t="shared" si="124"/>
        <v>4.1346360000000004</v>
      </c>
    </row>
    <row r="793" spans="1:24" s="119" customFormat="1" ht="24.9" hidden="1" customHeight="1">
      <c r="A793" s="296">
        <v>77</v>
      </c>
      <c r="B793" s="207" t="s">
        <v>1786</v>
      </c>
      <c r="C793" s="303" t="s">
        <v>1824</v>
      </c>
      <c r="D793" s="207" t="s">
        <v>235</v>
      </c>
      <c r="E793" s="298">
        <v>1</v>
      </c>
      <c r="F793" s="207" t="s">
        <v>236</v>
      </c>
      <c r="G793" s="303">
        <v>34</v>
      </c>
      <c r="H793" s="208">
        <v>6.5</v>
      </c>
      <c r="I793" s="299">
        <v>23.8</v>
      </c>
      <c r="J793" s="218"/>
      <c r="K793" s="218">
        <v>4.1801430000000002</v>
      </c>
      <c r="L793" s="218"/>
      <c r="M793" s="376" t="s">
        <v>1245</v>
      </c>
      <c r="N793" s="295"/>
      <c r="O793" s="209"/>
      <c r="P793" s="25"/>
      <c r="Q793" s="347">
        <v>5.91</v>
      </c>
      <c r="R793" s="302"/>
      <c r="S793" s="420">
        <f t="shared" si="120"/>
        <v>2.0093999999999999</v>
      </c>
      <c r="T793" s="420">
        <f t="shared" si="121"/>
        <v>0.38414999999999999</v>
      </c>
      <c r="U793" s="420">
        <f t="shared" si="122"/>
        <v>1.4065800000000002</v>
      </c>
      <c r="V793" s="118"/>
      <c r="W793" s="424">
        <f t="shared" si="123"/>
        <v>3.8001300000000002</v>
      </c>
      <c r="X793" s="424">
        <f t="shared" si="124"/>
        <v>4.1801430000000002</v>
      </c>
    </row>
    <row r="794" spans="1:24" s="119" customFormat="1" ht="24.9" hidden="1" customHeight="1">
      <c r="A794" s="296">
        <v>78</v>
      </c>
      <c r="B794" s="207" t="s">
        <v>1786</v>
      </c>
      <c r="C794" s="303" t="s">
        <v>1825</v>
      </c>
      <c r="D794" s="207" t="s">
        <v>235</v>
      </c>
      <c r="E794" s="298">
        <v>1</v>
      </c>
      <c r="F794" s="207" t="s">
        <v>236</v>
      </c>
      <c r="G794" s="303">
        <v>34</v>
      </c>
      <c r="H794" s="208">
        <v>6.5</v>
      </c>
      <c r="I794" s="299">
        <v>24.4</v>
      </c>
      <c r="J794" s="218"/>
      <c r="K794" s="218">
        <v>4.2191489999999998</v>
      </c>
      <c r="L794" s="218"/>
      <c r="M794" s="376" t="s">
        <v>1245</v>
      </c>
      <c r="N794" s="295"/>
      <c r="O794" s="209"/>
      <c r="P794" s="25"/>
      <c r="Q794" s="347">
        <v>5.91</v>
      </c>
      <c r="R794" s="26"/>
      <c r="S794" s="420">
        <f t="shared" si="120"/>
        <v>2.0093999999999999</v>
      </c>
      <c r="T794" s="420">
        <f t="shared" si="121"/>
        <v>0.38414999999999999</v>
      </c>
      <c r="U794" s="420">
        <f t="shared" si="122"/>
        <v>1.44204</v>
      </c>
      <c r="V794" s="118"/>
      <c r="W794" s="424">
        <f t="shared" si="123"/>
        <v>3.8355899999999998</v>
      </c>
      <c r="X794" s="424">
        <f t="shared" si="124"/>
        <v>4.2191489999999998</v>
      </c>
    </row>
    <row r="795" spans="1:24" s="119" customFormat="1" ht="24.9" hidden="1" customHeight="1">
      <c r="A795" s="296">
        <v>79</v>
      </c>
      <c r="B795" s="207" t="s">
        <v>1786</v>
      </c>
      <c r="C795" s="303" t="s">
        <v>1826</v>
      </c>
      <c r="D795" s="207" t="s">
        <v>235</v>
      </c>
      <c r="E795" s="298">
        <v>1</v>
      </c>
      <c r="F795" s="207" t="s">
        <v>236</v>
      </c>
      <c r="G795" s="303">
        <v>34</v>
      </c>
      <c r="H795" s="208">
        <v>6.5</v>
      </c>
      <c r="I795" s="299">
        <v>25</v>
      </c>
      <c r="J795" s="218"/>
      <c r="K795" s="218">
        <v>4.2581550000000004</v>
      </c>
      <c r="L795" s="218"/>
      <c r="M795" s="376" t="s">
        <v>1245</v>
      </c>
      <c r="N795" s="295"/>
      <c r="O795" s="209"/>
      <c r="P795" s="25"/>
      <c r="Q795" s="347">
        <v>5.91</v>
      </c>
      <c r="R795" s="302"/>
      <c r="S795" s="420">
        <f t="shared" si="120"/>
        <v>2.0093999999999999</v>
      </c>
      <c r="T795" s="420">
        <f t="shared" si="121"/>
        <v>0.38414999999999999</v>
      </c>
      <c r="U795" s="420">
        <f t="shared" si="122"/>
        <v>1.4775</v>
      </c>
      <c r="V795" s="118"/>
      <c r="W795" s="424">
        <f t="shared" si="123"/>
        <v>3.8710499999999999</v>
      </c>
      <c r="X795" s="424">
        <f t="shared" si="124"/>
        <v>4.2581550000000004</v>
      </c>
    </row>
    <row r="796" spans="1:24" s="119" customFormat="1" ht="24.9" hidden="1" customHeight="1">
      <c r="A796" s="296">
        <v>80</v>
      </c>
      <c r="B796" s="207" t="s">
        <v>1786</v>
      </c>
      <c r="C796" s="303" t="s">
        <v>1827</v>
      </c>
      <c r="D796" s="207" t="s">
        <v>235</v>
      </c>
      <c r="E796" s="298">
        <v>1</v>
      </c>
      <c r="F796" s="207" t="s">
        <v>236</v>
      </c>
      <c r="G796" s="303">
        <v>34</v>
      </c>
      <c r="H796" s="208">
        <v>6.5</v>
      </c>
      <c r="I796" s="299">
        <v>25.7</v>
      </c>
      <c r="J796" s="218"/>
      <c r="K796" s="218">
        <v>4.3036620000000001</v>
      </c>
      <c r="L796" s="218"/>
      <c r="M796" s="376" t="s">
        <v>1245</v>
      </c>
      <c r="N796" s="295"/>
      <c r="O796" s="209"/>
      <c r="P796" s="25"/>
      <c r="Q796" s="347">
        <v>5.91</v>
      </c>
      <c r="R796" s="26"/>
      <c r="S796" s="420">
        <f t="shared" si="120"/>
        <v>2.0093999999999999</v>
      </c>
      <c r="T796" s="420">
        <f t="shared" si="121"/>
        <v>0.38414999999999999</v>
      </c>
      <c r="U796" s="420">
        <f t="shared" si="122"/>
        <v>1.5188699999999999</v>
      </c>
      <c r="V796" s="118"/>
      <c r="W796" s="424">
        <f t="shared" si="123"/>
        <v>3.91242</v>
      </c>
      <c r="X796" s="424">
        <f t="shared" si="124"/>
        <v>4.3036620000000001</v>
      </c>
    </row>
    <row r="797" spans="1:24" s="119" customFormat="1" ht="24.9" hidden="1" customHeight="1">
      <c r="A797" s="296">
        <v>81</v>
      </c>
      <c r="B797" s="207" t="s">
        <v>1786</v>
      </c>
      <c r="C797" s="303" t="s">
        <v>1828</v>
      </c>
      <c r="D797" s="207" t="s">
        <v>235</v>
      </c>
      <c r="E797" s="298">
        <v>1</v>
      </c>
      <c r="F797" s="207" t="s">
        <v>236</v>
      </c>
      <c r="G797" s="303">
        <v>34</v>
      </c>
      <c r="H797" s="208">
        <v>6.5</v>
      </c>
      <c r="I797" s="299">
        <v>25.9</v>
      </c>
      <c r="J797" s="218"/>
      <c r="K797" s="218">
        <v>4.3166640000000003</v>
      </c>
      <c r="L797" s="218"/>
      <c r="M797" s="376" t="s">
        <v>1245</v>
      </c>
      <c r="N797" s="295"/>
      <c r="O797" s="209"/>
      <c r="P797" s="25"/>
      <c r="Q797" s="347">
        <v>5.91</v>
      </c>
      <c r="R797" s="302"/>
      <c r="S797" s="420">
        <f t="shared" si="120"/>
        <v>2.0093999999999999</v>
      </c>
      <c r="T797" s="420">
        <f t="shared" si="121"/>
        <v>0.38414999999999999</v>
      </c>
      <c r="U797" s="420">
        <f t="shared" si="122"/>
        <v>1.5306899999999999</v>
      </c>
      <c r="V797" s="118"/>
      <c r="W797" s="424">
        <f t="shared" si="123"/>
        <v>3.9242399999999997</v>
      </c>
      <c r="X797" s="424">
        <f t="shared" si="124"/>
        <v>4.3166640000000003</v>
      </c>
    </row>
    <row r="798" spans="1:24" s="119" customFormat="1" ht="24.9" hidden="1" customHeight="1">
      <c r="A798" s="296">
        <v>82</v>
      </c>
      <c r="B798" s="207" t="s">
        <v>1786</v>
      </c>
      <c r="C798" s="303" t="s">
        <v>1829</v>
      </c>
      <c r="D798" s="207" t="s">
        <v>235</v>
      </c>
      <c r="E798" s="298">
        <v>3</v>
      </c>
      <c r="F798" s="207" t="s">
        <v>236</v>
      </c>
      <c r="G798" s="303">
        <v>5</v>
      </c>
      <c r="H798" s="208">
        <v>5</v>
      </c>
      <c r="I798" s="299">
        <v>28.7</v>
      </c>
      <c r="J798" s="218"/>
      <c r="K798" s="218">
        <v>2.5158869999999998</v>
      </c>
      <c r="L798" s="218"/>
      <c r="M798" s="376" t="s">
        <v>1245</v>
      </c>
      <c r="N798" s="295"/>
      <c r="O798" s="209"/>
      <c r="P798" s="25"/>
      <c r="Q798" s="347">
        <v>5.91</v>
      </c>
      <c r="R798" s="26"/>
      <c r="S798" s="420">
        <f t="shared" si="120"/>
        <v>0.29549999999999998</v>
      </c>
      <c r="T798" s="420">
        <f t="shared" si="121"/>
        <v>0.29549999999999998</v>
      </c>
      <c r="U798" s="420">
        <f t="shared" si="122"/>
        <v>1.69617</v>
      </c>
      <c r="V798" s="118"/>
      <c r="W798" s="424">
        <f t="shared" si="123"/>
        <v>2.2871699999999997</v>
      </c>
      <c r="X798" s="424">
        <f t="shared" si="124"/>
        <v>2.5158869999999998</v>
      </c>
    </row>
    <row r="799" spans="1:24" s="307" customFormat="1" ht="24.9" hidden="1" customHeight="1">
      <c r="A799" s="234"/>
      <c r="B799" s="235"/>
      <c r="C799" s="246"/>
      <c r="D799" s="237"/>
      <c r="E799" s="238">
        <f>SUM(E717:E798)</f>
        <v>118</v>
      </c>
      <c r="F799" s="237"/>
      <c r="G799" s="239">
        <v>210</v>
      </c>
      <c r="H799" s="239">
        <v>160</v>
      </c>
      <c r="I799" s="240">
        <v>180</v>
      </c>
      <c r="J799" s="241">
        <f>ROUND(I799*H799*G799/1000000,3)</f>
        <v>6.048</v>
      </c>
      <c r="K799" s="242">
        <f>SUM(K717:K798)</f>
        <v>319.19910000000004</v>
      </c>
      <c r="L799" s="239">
        <f>K799+120</f>
        <v>439.19910000000004</v>
      </c>
      <c r="M799" s="239"/>
      <c r="N799" s="243"/>
      <c r="O799" s="244"/>
      <c r="P799" s="245"/>
      <c r="Q799" s="348"/>
      <c r="R799" s="302"/>
      <c r="S799" s="304"/>
      <c r="T799" s="305"/>
      <c r="U799" s="304"/>
      <c r="V799" s="306"/>
      <c r="W799" s="424">
        <f t="shared" si="123"/>
        <v>0</v>
      </c>
      <c r="X799" s="424">
        <f t="shared" si="124"/>
        <v>0</v>
      </c>
    </row>
    <row r="800" spans="1:24" s="338" customFormat="1" ht="24.9" hidden="1" customHeight="1" thickBot="1">
      <c r="A800" s="590" t="s">
        <v>949</v>
      </c>
      <c r="B800" s="591"/>
      <c r="C800" s="591"/>
      <c r="D800" s="591"/>
      <c r="E800" s="387"/>
      <c r="F800" s="385"/>
      <c r="G800" s="388"/>
      <c r="H800" s="388"/>
      <c r="I800" s="389"/>
      <c r="J800" s="390">
        <f>SUM(J14:J799)</f>
        <v>515.99099999999976</v>
      </c>
      <c r="K800" s="390">
        <f>SUM(K799,K16,K19,K22,K25,K28,K31,K34,K37,K40,K43,K46,K49,K58,K67,K82,K89,K96,K103,K110,K113,K116,K118,K120,K122,K124,K126,K128,K130,K132,K134,K136,K211,K214,K219,K221,K223,K225,K227,K244,K258,K288,K290,K296,K301,K307,K311,K348,K462,K473,K479,K666,K675,K684,K693,K702,K709,K716)</f>
        <v>102698.029996</v>
      </c>
      <c r="L800" s="391">
        <f>SUM(L14:L799)</f>
        <v>110478.029996</v>
      </c>
      <c r="M800" s="388"/>
      <c r="N800" s="392"/>
      <c r="O800" s="393"/>
      <c r="P800" s="386"/>
      <c r="Q800" s="394"/>
      <c r="R800" s="334"/>
      <c r="S800" s="335"/>
      <c r="T800" s="336"/>
      <c r="U800" s="335"/>
      <c r="V800" s="337"/>
    </row>
  </sheetData>
  <protectedRanges>
    <protectedRange sqref="D288 D211 D462 D479 D290 D296 D301 D307 D311 D348 D473" name="범위1_1"/>
    <protectedRange sqref="M261:M282 M288:M437 M194:M211 M462:M479" name="범위1_1_4"/>
    <protectedRange sqref="J289 J474:J478 J349:J437 J312:J347 J463:J472 J297:J300 J291:J295 J194:J210 J261:J282 J302:J306 J308:J310" name="범위1_1_6"/>
    <protectedRange sqref="F800" name="범위1_1_2_3"/>
    <protectedRange sqref="AB82:AI82 Q49 L15 N82:P82 L82 U23:Z23 U82:Z82 L21 AB23:AI23 U55:Z55 Q54:Q55 AB55:AI55 D217:E217 E50:E57 G50:H57 K50:L57 N50:N57 P15:Q15 P18 P21 P24 P27 P30 P33 P36 P39 P42 P45 P48 P50:Q51 P52:P57 L17 Q16:Q17 Q19 L23 Q21:Q23 Q25 Q28 Q31 Q34 Q37 Q40 Q43 Q46 E59:E66 G59:H66 K59:L66 N59:N66 P59:P66 AB58:AI58 N58:P58 L58 U58:Z58 G68:H81 K68:L81 N68:N81 P68:P81 AB67:AI67 N67:P67 L67 U67:Z67 E68:E81 D212:D216 D14:D210 D218:D287 D289 D291:D295 D297:D300 D302:D306 D308:D310 D312:D347 D349:D461 D463:D472 D474:D478 D480:D799" name="범위1_1_7"/>
    <protectedRange sqref="E121 E137:E152 E127 E125 E123 E129 E135 E133 E131 F14:F799" name="범위1_1_2_2"/>
    <protectedRange sqref="M49 M40 M450 M173 M452:M453 M132 M220:M258 M153:M166 M215:M216 M43 M440 M46 M179:M184 M16 M19 M22 M25 M28 M31 M34 M37 M134 M122 M128 M126 M124 M130 M136 M190 M445 M480:M798" name="범위1_1_3_2"/>
    <protectedRange sqref="M82 M110 M14:M15 M167:M172 M174:M176 M446:M449 M441:M444 M799 M191:M192 M451 M103 M189 M214 M96 M17:M18 M20:M21 M23:M24 M26:M27 M29:M30 M32:M33 M35:M36 M38:M39 M41:M42 M44:M45 M47:M48 M58 M67 M113 M89 M454:M461 M116:M117 M285:M286 M438:M439 M217:M219 M119" name="범위1_1_4_2"/>
    <protectedRange sqref="M193 M212:M213 M259:M260 M120 M50:M57 M185:M188 M177:M178 M111:M112 M83:M88 M283:M284 M59:M66 M68:M81 M114:M115 M90:M95 M97:M102 M104:M109 M287 M118" name="범위1_1_5_2"/>
    <protectedRange sqref="J307 J49 J82 J110 J214 J219 J120 J58 R675 J799 J116 J122 J43 J675 J684 J598:J629 J702 J709 J489:J497 J136 J666 J693 J153:J166 J46 J716 J221 J96 J103 J288 J113 R684 J311 J296 J301 J348 J290 J462 J473 J118 J89 J37 J34 J40 J211 R693 J67 J16 J19 J22 J25 J28 J31 J479 J223 J225 J227 J244 J258 J124 J126 J128 J130 J132 J134" name="범위1_1_6_2"/>
  </protectedRanges>
  <autoFilter ref="A13:AD800" xr:uid="{00000000-0009-0000-0000-000005000000}">
    <filterColumn colId="2">
      <filters>
        <filter val="3-HOLE ANGLE(FOR CABLE TRAY) 105 x 42"/>
        <filter val="ADJUSTABLE HORIZONTAL CONNECTOR_x000a_(FOR CABLE TRAY) H100 x 2.3T"/>
        <filter val="BONDING JUMPER(FOR CABLE TRAY) 16sq.mm x 250L, TINNED COPPER BRAID"/>
        <filter val="CABLE GLAND Cable O.D 10mm x 1/2''NPT, Nickel Plated Brass"/>
        <filter val="CABLE MARKERS &quot;-&quot; 10mm, PVC"/>
        <filter val="CABLE MARKERS &quot;0&quot; 10mm, PVC"/>
        <filter val="CABLE MARKERS &quot;1&quot; 10mm, PVC"/>
        <filter val="CABLE MARKERS &quot;2&quot; 10mm, PVC"/>
        <filter val="CABLE MARKERS &quot;3&quot; 10mm, PVC"/>
        <filter val="CABLE MARKERS &quot;4&quot; 10mm, PVC"/>
        <filter val="CABLE MARKERS &quot;5&quot; 10mm, PVC"/>
        <filter val="CABLE MARKERS &quot;6&quot; 10mm, PVC"/>
        <filter val="CABLE MARKERS &quot;7&quot; 10mm, PVC"/>
        <filter val="CABLE MARKERS &quot;8&quot; 10mm, PVC"/>
        <filter val="CABLE MARKERS &quot;9&quot; 10mm, PVC"/>
        <filter val="CABLE MARKERS &quot;B&quot; 10mm, PVC"/>
        <filter val="CABLE MARKERS &quot;C&quot; 10mm, PVC"/>
        <filter val="CABLE MARKERS &quot;E&quot; 10mm, PVC"/>
        <filter val="CABLE MARKERS &quot;H&quot; 10mm, PVC"/>
        <filter val="CABLE MARKERS &quot;L&quot; 10mm, PVC"/>
        <filter val="CABLE MARKERS &quot;M&quot; 10mm, PVC"/>
        <filter val="CABLE MARKERS &quot;N&quot; 10mm, PVC"/>
        <filter val="CABLE MARKERS &quot;O&quot; 10mm, PVC"/>
        <filter val="CABLE MARKERS &quot;P&quot; 10mm, PVC"/>
        <filter val="CABLE MARKERS &quot;S&quot; 10mm, PVC"/>
        <filter val="CABLE MARKERS &quot;T&quot; 10mm, PVC"/>
        <filter val="CABLE MARKERS &quot;V&quot; 10mm, PVC"/>
        <filter val="CABLE MARKERS CARRIER 110mm, PVC"/>
        <filter val="CABLE TIE 200mm, STEEL, NO COATING, SUS 316"/>
        <filter val="EARTH CABLE 0.6/1kv CU/FR-PVC, Y/G 16sqmm, 110m(10m Margin)"/>
        <filter val="EARTH CABLE 0.6/1kv CU/FR-PVC, Y/G 70sqmm, 250m(40m Margin)"/>
        <filter val="ELECTRIC POWER CABLE(SINGLE-PHASE POWER CABLE, FOR REDUCER OIL HEATER) 0.6/1kv CU/XLPE/FR-PVC, 2C+E 4sqmm, 500m, Maker STD"/>
        <filter val="EXPANSION CONNECTOR(FOR CABLE TRAY) H100 x 2.3T"/>
        <filter val="HEX HEAD BOLT &amp; NUT(FOR CABLE TRAY) M8 x 28L, H.D.G"/>
        <filter val="HEX HEAD BOLT WITH WASHERS(FOR CABLE TRAY) M12 x 30L, H.D.G"/>
        <filter val="HOLD DOWN CLAMP(FOR CABLE TRAY) 60 x 40 x 2.6T"/>
        <filter val="JOINT CONNECTOR(FOR CABLE TRAY) H100 x 2.3T"/>
        <filter val="POWER CABLE 0.6/1kv CU/XLPE/FR-PVC, 2C+E 4sqmm, 3000m(324m Margin)"/>
        <filter val="ROUND HEAD BOLT WITH WASHERS(FOR CABLE TRAY) M10 x 25L, H.D.G"/>
        <filter val="ROUND HEAD BOLT WITH WASHERS(FOR CABLE TRAY) M6 x 25L, H.D.G"/>
        <filter val="SHANK BOLT &amp; NUT(FOR CABLE TRAY) M10 x 19L, H.D.G"/>
        <filter val="SIGNAL CABLE 0.6/1kv T-CU/PVC/AMS/FRLS-PVC, 1Px1.0sqmm, 1500m(79m Margin)"/>
        <filter val="SPRING NUTS(FOR CABLE TRAY) M10 , H.D.G"/>
        <filter val="SPRING NUTS(FOR CABLE TRAY) M12, H.D.G"/>
        <filter val="SPRING NUTS(FOR CABLE TRAY) M6, H.D.G"/>
        <filter val="TRAY TO BOX ANGLE CONNECTOR(FOR CABLE TRAY) 100 x 25, H.D.G"/>
        <filter val="UNISTRUT U-CHANNEL DOUBLE(FOR CABLE TRAY) 41 x 41 x 2.5T x 2, H.D.G"/>
      </filters>
    </filterColumn>
  </autoFilter>
  <mergeCells count="15">
    <mergeCell ref="A800:D800"/>
    <mergeCell ref="N12:N13"/>
    <mergeCell ref="O12:O13"/>
    <mergeCell ref="P12:P13"/>
    <mergeCell ref="Q12:Q13"/>
    <mergeCell ref="A6:Q6"/>
    <mergeCell ref="A12:A13"/>
    <mergeCell ref="B12:B13"/>
    <mergeCell ref="C12:C13"/>
    <mergeCell ref="D12:D13"/>
    <mergeCell ref="E12:F12"/>
    <mergeCell ref="G12:J12"/>
    <mergeCell ref="K12:K13"/>
    <mergeCell ref="L12:L13"/>
    <mergeCell ref="M12:M13"/>
  </mergeCells>
  <phoneticPr fontId="3" type="noConversion"/>
  <printOptions horizontalCentered="1"/>
  <pageMargins left="0.39370078740157483" right="0.39370078740157483" top="0.19685039370078741" bottom="0.19685039370078741" header="0.23622047244094491" footer="0"/>
  <pageSetup paperSize="9" scale="33" fitToHeight="0" orientation="landscape" r:id="rId1"/>
  <headerFooter alignWithMargins="0">
    <oddFooter xml:space="preserve">&amp;C&amp;"Calibri,보통"&amp;12Doosan Enerbility&amp;R_x000D_&amp;1#&amp;"Aptos"&amp;8&amp;K000000 중요비(Confidential): sanghwan.bae@doosan.com </oddFooter>
  </headerFooter>
  <ignoredErrors>
    <ignoredError sqref="K800"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I119"/>
  <sheetViews>
    <sheetView view="pageBreakPreview" zoomScale="85" zoomScaleNormal="100" zoomScaleSheetLayoutView="85" workbookViewId="0">
      <selection activeCell="B10" sqref="B10"/>
    </sheetView>
  </sheetViews>
  <sheetFormatPr defaultRowHeight="17.399999999999999"/>
  <cols>
    <col min="1" max="1" width="5.09765625" customWidth="1"/>
    <col min="2" max="2" width="31.59765625" customWidth="1"/>
    <col min="3" max="3" width="11.19921875" customWidth="1"/>
    <col min="4" max="4" width="14.59765625" customWidth="1"/>
    <col min="5" max="5" width="16.09765625" customWidth="1"/>
    <col min="6" max="6" width="45.59765625" customWidth="1"/>
    <col min="7" max="7" width="20.3984375" customWidth="1"/>
    <col min="8" max="8" width="22.59765625" customWidth="1"/>
    <col min="9" max="9" width="20" customWidth="1"/>
    <col min="11" max="11" width="20.8984375" customWidth="1"/>
  </cols>
  <sheetData>
    <row r="1" spans="1:9" ht="18">
      <c r="A1" s="178" t="s">
        <v>1831</v>
      </c>
      <c r="C1" s="156"/>
      <c r="D1" s="156"/>
      <c r="E1" s="156"/>
      <c r="F1" s="156"/>
      <c r="G1" s="156"/>
      <c r="H1" s="156"/>
      <c r="I1" s="156"/>
    </row>
    <row r="2" spans="1:9" ht="30" customHeight="1">
      <c r="A2" s="179" t="s">
        <v>1832</v>
      </c>
      <c r="B2" s="179" t="s">
        <v>1833</v>
      </c>
      <c r="C2" s="179" t="s">
        <v>1834</v>
      </c>
      <c r="D2" s="179" t="s">
        <v>1835</v>
      </c>
      <c r="E2" s="179" t="s">
        <v>1836</v>
      </c>
      <c r="F2" s="179" t="s">
        <v>1837</v>
      </c>
      <c r="G2" s="179" t="s">
        <v>1838</v>
      </c>
      <c r="H2" s="179" t="s">
        <v>1839</v>
      </c>
      <c r="I2" s="179" t="s">
        <v>1840</v>
      </c>
    </row>
    <row r="3" spans="1:9" ht="69.900000000000006" customHeight="1">
      <c r="A3" s="211">
        <v>1</v>
      </c>
      <c r="B3" s="197" t="str">
        <f>VLOOKUP("#"&amp;A3,'1&amp;2항차'!$A$14:$Q$530,3,FALSE)</f>
        <v>CHAMBER(SIDE PANEL,DECK PLATE etc..)</v>
      </c>
      <c r="C3" s="197">
        <f>VLOOKUP("#"&amp;A3,'1&amp;2항차'!$A$14:$Q$530,5,FALSE)</f>
        <v>207</v>
      </c>
      <c r="D3" s="212"/>
      <c r="E3" s="213" t="s">
        <v>1841</v>
      </c>
      <c r="F3" s="198" t="s">
        <v>1842</v>
      </c>
      <c r="G3" s="211"/>
      <c r="H3" s="214" t="s">
        <v>1843</v>
      </c>
      <c r="I3" s="207" t="s">
        <v>241</v>
      </c>
    </row>
    <row r="4" spans="1:9" ht="69.900000000000006" customHeight="1">
      <c r="A4" s="211">
        <v>2</v>
      </c>
      <c r="B4" s="197" t="str">
        <f>VLOOKUP("#"&amp;A4,'1&amp;2항차'!$A$14:$Q$530,3,FALSE)</f>
        <v>CHAMBER(SIDE PANEL,COUPLING COVER)</v>
      </c>
      <c r="C4" s="197">
        <f>VLOOKUP("#"&amp;A4,'1&amp;2항차'!$A$14:$Q$530,5,FALSE)</f>
        <v>159</v>
      </c>
      <c r="D4" s="212"/>
      <c r="E4" s="213" t="s">
        <v>1841</v>
      </c>
      <c r="F4" s="198" t="s">
        <v>1844</v>
      </c>
      <c r="G4" s="211"/>
      <c r="H4" s="214" t="s">
        <v>1843</v>
      </c>
      <c r="I4" s="207" t="s">
        <v>241</v>
      </c>
    </row>
    <row r="5" spans="1:9" ht="69.900000000000006" customHeight="1">
      <c r="A5" s="211">
        <v>3</v>
      </c>
      <c r="B5" s="197" t="str">
        <f>VLOOKUP("#"&amp;A5,'1&amp;2항차'!$A$14:$Q$530,3,FALSE)</f>
        <v>CHAMBER(SIDE PANEL,DECK PLATE,STIFFINER PLATE)</v>
      </c>
      <c r="C5" s="197">
        <f>VLOOKUP("#"&amp;A5,'1&amp;2항차'!$A$14:$Q$530,5,FALSE)</f>
        <v>207</v>
      </c>
      <c r="D5" s="212"/>
      <c r="E5" s="213" t="s">
        <v>1845</v>
      </c>
      <c r="F5" s="198" t="s">
        <v>1846</v>
      </c>
      <c r="G5" s="211"/>
      <c r="H5" s="214" t="s">
        <v>1847</v>
      </c>
      <c r="I5" s="207" t="s">
        <v>241</v>
      </c>
    </row>
    <row r="6" spans="1:9" ht="69.900000000000006" customHeight="1">
      <c r="A6" s="211">
        <v>4</v>
      </c>
      <c r="B6" s="197" t="str">
        <f>VLOOKUP("#"&amp;A6,'1&amp;2항차'!$A$14:$Q$530,3,FALSE)</f>
        <v>CHAMBER(SIDE PANEL,COUPLING COVER)</v>
      </c>
      <c r="C6" s="197">
        <f>VLOOKUP("#"&amp;A6,'1&amp;2항차'!$A$14:$Q$530,5,FALSE)</f>
        <v>159</v>
      </c>
      <c r="D6" s="212"/>
      <c r="E6" s="213" t="s">
        <v>1845</v>
      </c>
      <c r="F6" s="198" t="s">
        <v>1846</v>
      </c>
      <c r="G6" s="211"/>
      <c r="H6" s="214" t="s">
        <v>1847</v>
      </c>
      <c r="I6" s="207" t="s">
        <v>241</v>
      </c>
    </row>
    <row r="7" spans="1:9" ht="69.900000000000006" customHeight="1">
      <c r="A7" s="211">
        <v>5</v>
      </c>
      <c r="B7" s="197" t="str">
        <f>VLOOKUP("#"&amp;A7,'1&amp;2항차'!$A$14:$Q$530,3,FALSE)</f>
        <v>PLATFORM</v>
      </c>
      <c r="C7" s="197">
        <f>VLOOKUP("#"&amp;A7,'1&amp;2항차'!$A$14:$Q$530,5,FALSE)</f>
        <v>8</v>
      </c>
      <c r="D7" s="212"/>
      <c r="E7" s="213" t="s">
        <v>1845</v>
      </c>
      <c r="F7" s="198" t="s">
        <v>1846</v>
      </c>
      <c r="G7" s="211"/>
      <c r="H7" s="214" t="s">
        <v>1847</v>
      </c>
      <c r="I7" s="207" t="s">
        <v>241</v>
      </c>
    </row>
    <row r="8" spans="1:9" ht="69.900000000000006" customHeight="1">
      <c r="A8" s="211">
        <v>6</v>
      </c>
      <c r="B8" s="197" t="str">
        <f>VLOOKUP("#"&amp;A8,'1&amp;2항차'!$A$14:$Q$530,3,FALSE)</f>
        <v>PLATFORM</v>
      </c>
      <c r="C8" s="197">
        <f>VLOOKUP("#"&amp;A8,'1&amp;2항차'!$A$14:$Q$530,5,FALSE)</f>
        <v>8</v>
      </c>
      <c r="D8" s="212"/>
      <c r="E8" s="213" t="s">
        <v>1845</v>
      </c>
      <c r="F8" s="198" t="s">
        <v>1848</v>
      </c>
      <c r="G8" s="211"/>
      <c r="H8" s="214" t="s">
        <v>1847</v>
      </c>
      <c r="I8" s="207" t="s">
        <v>241</v>
      </c>
    </row>
    <row r="9" spans="1:9" ht="69.900000000000006" customHeight="1">
      <c r="A9" s="211">
        <v>7</v>
      </c>
      <c r="B9" s="197" t="str">
        <f>VLOOKUP("#"&amp;A9,'1&amp;2항차'!$A$14:$Q$530,3,FALSE)</f>
        <v>PLATFORM</v>
      </c>
      <c r="C9" s="197">
        <f>VLOOKUP("#"&amp;A9,'1&amp;2항차'!$A$14:$Q$530,5,FALSE)</f>
        <v>8</v>
      </c>
      <c r="D9" s="212"/>
      <c r="E9" s="213" t="s">
        <v>1845</v>
      </c>
      <c r="F9" s="198" t="s">
        <v>1849</v>
      </c>
      <c r="G9" s="211"/>
      <c r="H9" s="214" t="s">
        <v>1847</v>
      </c>
      <c r="I9" s="207" t="s">
        <v>241</v>
      </c>
    </row>
    <row r="10" spans="1:9" ht="69.900000000000006" customHeight="1">
      <c r="A10" s="211">
        <v>8</v>
      </c>
      <c r="B10" s="197" t="str">
        <f>VLOOKUP("#"&amp;A10,'1&amp;2항차'!$A$14:$Q$530,3,FALSE)</f>
        <v>PLATFORM</v>
      </c>
      <c r="C10" s="197">
        <f>VLOOKUP("#"&amp;A10,'1&amp;2항차'!$A$14:$Q$530,5,FALSE)</f>
        <v>8</v>
      </c>
      <c r="D10" s="212"/>
      <c r="E10" s="213" t="s">
        <v>1841</v>
      </c>
      <c r="F10" s="198" t="s">
        <v>1850</v>
      </c>
      <c r="G10" s="211"/>
      <c r="H10" s="214" t="s">
        <v>1847</v>
      </c>
      <c r="I10" s="207" t="s">
        <v>241</v>
      </c>
    </row>
    <row r="11" spans="1:9" ht="69.900000000000006" customHeight="1">
      <c r="A11" s="211">
        <v>9</v>
      </c>
      <c r="B11" s="197" t="str">
        <f>VLOOKUP("#"&amp;A11,'1&amp;2항차'!$A$14:$Q$530,3,FALSE)</f>
        <v>FAN RING &amp; FIXING PLATE</v>
      </c>
      <c r="C11" s="197">
        <f>VLOOKUP("#"&amp;A11,'1&amp;2항차'!$A$14:$Q$530,5,FALSE)</f>
        <v>96</v>
      </c>
      <c r="D11" s="212"/>
      <c r="E11" s="213" t="s">
        <v>1841</v>
      </c>
      <c r="F11" s="198" t="s">
        <v>1850</v>
      </c>
      <c r="G11" s="211"/>
      <c r="H11" s="214" t="s">
        <v>1847</v>
      </c>
      <c r="I11" s="207" t="s">
        <v>241</v>
      </c>
    </row>
    <row r="12" spans="1:9" ht="69.900000000000006" customHeight="1">
      <c r="A12" s="211">
        <v>10</v>
      </c>
      <c r="B12" s="197" t="str">
        <f>VLOOKUP("#"&amp;A12,'1&amp;2항차'!$A$14:$Q$530,3,FALSE)</f>
        <v>FAN RING &amp; FIXING PLATE</v>
      </c>
      <c r="C12" s="197">
        <f>VLOOKUP("#"&amp;A12,'1&amp;2항차'!$A$14:$Q$530,5,FALSE)</f>
        <v>96</v>
      </c>
      <c r="D12" s="212"/>
      <c r="E12" s="213" t="s">
        <v>1841</v>
      </c>
      <c r="F12" s="198" t="s">
        <v>1851</v>
      </c>
      <c r="G12" s="211"/>
      <c r="H12" s="214" t="s">
        <v>1852</v>
      </c>
      <c r="I12" s="207" t="s">
        <v>241</v>
      </c>
    </row>
    <row r="13" spans="1:9" ht="69.900000000000006" customHeight="1">
      <c r="A13" s="211">
        <v>11</v>
      </c>
      <c r="B13" s="197" t="str">
        <f>VLOOKUP("#"&amp;A13,'1&amp;2항차'!$A$14:$Q$530,3,FALSE)</f>
        <v>FAN RING &amp; FIXING PLATE</v>
      </c>
      <c r="C13" s="197">
        <f>VLOOKUP("#"&amp;A13,'1&amp;2항차'!$A$14:$Q$530,5,FALSE)</f>
        <v>96</v>
      </c>
      <c r="D13" s="212"/>
      <c r="E13" s="213" t="s">
        <v>1841</v>
      </c>
      <c r="F13" s="198" t="s">
        <v>1851</v>
      </c>
      <c r="G13" s="211"/>
      <c r="H13" s="214" t="s">
        <v>1852</v>
      </c>
      <c r="I13" s="207" t="s">
        <v>241</v>
      </c>
    </row>
    <row r="14" spans="1:9" ht="69.900000000000006" customHeight="1">
      <c r="A14" s="211">
        <v>12</v>
      </c>
      <c r="B14" s="197" t="str">
        <f>VLOOKUP("#"&amp;A14,'1&amp;2항차'!$A$14:$Q$530,3,FALSE)</f>
        <v>FAN RING &amp; FIXING PLATE</v>
      </c>
      <c r="C14" s="197">
        <f>VLOOKUP("#"&amp;A14,'1&amp;2항차'!$A$14:$Q$530,5,FALSE)</f>
        <v>96</v>
      </c>
      <c r="D14" s="212"/>
      <c r="E14" s="213" t="s">
        <v>1841</v>
      </c>
      <c r="F14" s="198" t="s">
        <v>1853</v>
      </c>
      <c r="G14" s="211"/>
      <c r="H14" s="214" t="s">
        <v>1847</v>
      </c>
      <c r="I14" s="207" t="s">
        <v>241</v>
      </c>
    </row>
    <row r="15" spans="1:9" ht="69.900000000000006" customHeight="1">
      <c r="A15" s="211">
        <v>13</v>
      </c>
      <c r="B15" s="197" t="str">
        <f>VLOOKUP("#"&amp;A15,'1&amp;2항차'!$A$14:$Q$530,3,FALSE)</f>
        <v>MACHINERY MOUNT &amp; TOP BEAM</v>
      </c>
      <c r="C15" s="197">
        <f>VLOOKUP("#"&amp;A15,'1&amp;2항차'!$A$14:$Q$530,5,FALSE)</f>
        <v>18</v>
      </c>
      <c r="D15" s="212"/>
      <c r="E15" s="213" t="s">
        <v>1841</v>
      </c>
      <c r="F15" s="198" t="s">
        <v>1853</v>
      </c>
      <c r="G15" s="211"/>
      <c r="H15" s="214" t="s">
        <v>1847</v>
      </c>
      <c r="I15" s="207" t="s">
        <v>241</v>
      </c>
    </row>
    <row r="16" spans="1:9" ht="69.900000000000006" customHeight="1">
      <c r="A16" s="211">
        <v>14</v>
      </c>
      <c r="B16" s="197" t="str">
        <f>VLOOKUP("#"&amp;A16,'1&amp;2항차'!$A$14:$Q$530,3,FALSE)</f>
        <v>MACHINERY MOUNT &amp; TOP BEAM</v>
      </c>
      <c r="C16" s="197">
        <f>VLOOKUP("#"&amp;A16,'1&amp;2항차'!$A$14:$Q$530,5,FALSE)</f>
        <v>18</v>
      </c>
      <c r="D16" s="212"/>
      <c r="E16" s="213" t="s">
        <v>1841</v>
      </c>
      <c r="F16" s="198" t="s">
        <v>1853</v>
      </c>
      <c r="G16" s="211"/>
      <c r="H16" s="214" t="s">
        <v>1847</v>
      </c>
      <c r="I16" s="207" t="s">
        <v>241</v>
      </c>
    </row>
    <row r="17" spans="1:9" ht="69.900000000000006" customHeight="1">
      <c r="A17" s="211">
        <v>15</v>
      </c>
      <c r="B17" s="197" t="str">
        <f>VLOOKUP("#"&amp;A17,'1&amp;2항차'!$A$14:$Q$530,3,FALSE)</f>
        <v>MACHINERY MOUNT &amp; TOP BEAM</v>
      </c>
      <c r="C17" s="197">
        <f>VLOOKUP("#"&amp;A17,'1&amp;2항차'!$A$14:$Q$530,5,FALSE)</f>
        <v>18</v>
      </c>
      <c r="D17" s="212"/>
      <c r="E17" s="213" t="s">
        <v>1845</v>
      </c>
      <c r="F17" s="198" t="s">
        <v>1854</v>
      </c>
      <c r="G17" s="211"/>
      <c r="H17" s="214" t="s">
        <v>1847</v>
      </c>
      <c r="I17" s="207" t="s">
        <v>241</v>
      </c>
    </row>
    <row r="18" spans="1:9" ht="69.900000000000006" customHeight="1">
      <c r="A18" s="211">
        <v>16</v>
      </c>
      <c r="B18" s="197" t="str">
        <f>VLOOKUP("#"&amp;A18,'1&amp;2항차'!$A$14:$Q$530,3,FALSE)</f>
        <v>MACHINERY MOUNT &amp; TOP BEAM</v>
      </c>
      <c r="C18" s="197">
        <f>VLOOKUP("#"&amp;A18,'1&amp;2항차'!$A$14:$Q$530,5,FALSE)</f>
        <v>18</v>
      </c>
      <c r="D18" s="212"/>
      <c r="E18" s="213" t="s">
        <v>1841</v>
      </c>
      <c r="F18" s="198" t="s">
        <v>1855</v>
      </c>
      <c r="G18" s="211"/>
      <c r="H18" s="214" t="s">
        <v>1856</v>
      </c>
      <c r="I18" s="207" t="s">
        <v>241</v>
      </c>
    </row>
    <row r="19" spans="1:9" ht="69.900000000000006" customHeight="1">
      <c r="A19" s="211">
        <v>17</v>
      </c>
      <c r="B19" s="197" t="str">
        <f>VLOOKUP("#"&amp;A19,'1&amp;2항차'!$A$14:$Q$530,3,FALSE)</f>
        <v>MIDDLE BEAM &amp; TOP BEAM</v>
      </c>
      <c r="C19" s="197">
        <f>VLOOKUP("#"&amp;A19,'1&amp;2항차'!$A$14:$Q$530,5,FALSE)</f>
        <v>15</v>
      </c>
      <c r="D19" s="212"/>
      <c r="E19" s="213" t="s">
        <v>1841</v>
      </c>
      <c r="F19" s="198" t="s">
        <v>1855</v>
      </c>
      <c r="G19" s="211"/>
      <c r="H19" s="214" t="s">
        <v>1856</v>
      </c>
      <c r="I19" s="207" t="s">
        <v>241</v>
      </c>
    </row>
    <row r="20" spans="1:9" ht="69.900000000000006" customHeight="1">
      <c r="A20" s="211">
        <v>18</v>
      </c>
      <c r="B20" s="197" t="str">
        <f>VLOOKUP("#"&amp;A20,'1&amp;2항차'!$A$14:$Q$530,3,FALSE)</f>
        <v>MIDDLE BEAM &amp; TOP BEAM</v>
      </c>
      <c r="C20" s="197">
        <f>VLOOKUP("#"&amp;A20,'1&amp;2항차'!$A$14:$Q$530,5,FALSE)</f>
        <v>15</v>
      </c>
      <c r="D20" s="212"/>
      <c r="E20" s="213" t="s">
        <v>1841</v>
      </c>
      <c r="F20" s="198" t="s">
        <v>1855</v>
      </c>
      <c r="G20" s="211"/>
      <c r="H20" s="214" t="s">
        <v>1856</v>
      </c>
      <c r="I20" s="207" t="s">
        <v>241</v>
      </c>
    </row>
    <row r="21" spans="1:9" ht="69.900000000000006" customHeight="1">
      <c r="A21" s="211">
        <v>19</v>
      </c>
      <c r="B21" s="197" t="str">
        <f>VLOOKUP("#"&amp;A21,'1&amp;2항차'!$A$14:$Q$530,3,FALSE)</f>
        <v>TOP BEAM &amp; MIDDLE BEAM</v>
      </c>
      <c r="C21" s="197">
        <f>VLOOKUP("#"&amp;A21,'1&amp;2항차'!$A$14:$Q$530,5,FALSE)</f>
        <v>15</v>
      </c>
      <c r="D21" s="212"/>
      <c r="E21" s="213" t="s">
        <v>1841</v>
      </c>
      <c r="F21" s="198" t="s">
        <v>1855</v>
      </c>
      <c r="G21" s="211"/>
      <c r="H21" s="214" t="s">
        <v>1856</v>
      </c>
      <c r="I21" s="207" t="s">
        <v>241</v>
      </c>
    </row>
    <row r="22" spans="1:9" ht="69.900000000000006" customHeight="1">
      <c r="A22" s="211">
        <v>20</v>
      </c>
      <c r="B22" s="197" t="str">
        <f>VLOOKUP("#"&amp;A22,'1&amp;2항차'!$A$14:$Q$530,3,FALSE)</f>
        <v>TOP BEAM</v>
      </c>
      <c r="C22" s="197">
        <f>VLOOKUP("#"&amp;A22,'1&amp;2항차'!$A$14:$Q$530,5,FALSE)</f>
        <v>18</v>
      </c>
      <c r="D22" s="212"/>
      <c r="E22" s="213" t="s">
        <v>1841</v>
      </c>
      <c r="F22" s="198" t="s">
        <v>1855</v>
      </c>
      <c r="G22" s="211"/>
      <c r="H22" s="214" t="s">
        <v>1856</v>
      </c>
      <c r="I22" s="207" t="s">
        <v>241</v>
      </c>
    </row>
    <row r="23" spans="1:9" ht="69.900000000000006" customHeight="1">
      <c r="A23" s="211">
        <v>21</v>
      </c>
      <c r="B23" s="197" t="str">
        <f>VLOOKUP("#"&amp;A23,'1&amp;2항차'!$A$14:$Q$530,3,FALSE)</f>
        <v>TOP BEAM &amp; MIDDLE BEAM</v>
      </c>
      <c r="C23" s="197">
        <f>VLOOKUP("#"&amp;A23,'1&amp;2항차'!$A$14:$Q$530,5,FALSE)</f>
        <v>15</v>
      </c>
      <c r="D23" s="212"/>
      <c r="E23" s="213" t="s">
        <v>1845</v>
      </c>
      <c r="F23" s="198" t="s">
        <v>1857</v>
      </c>
      <c r="G23" s="211"/>
      <c r="H23" s="214" t="s">
        <v>1847</v>
      </c>
      <c r="I23" s="207" t="s">
        <v>241</v>
      </c>
    </row>
    <row r="24" spans="1:9" ht="69.900000000000006" customHeight="1">
      <c r="A24" s="211">
        <v>22</v>
      </c>
      <c r="B24" s="197" t="str">
        <f>VLOOKUP("#"&amp;A24,'1&amp;2항차'!$A$14:$Q$530,3,FALSE)</f>
        <v>TOP BEAM / COLUMN</v>
      </c>
      <c r="C24" s="197">
        <f>VLOOKUP("#"&amp;A24,'1&amp;2항차'!$A$14:$Q$530,5,FALSE)</f>
        <v>24</v>
      </c>
      <c r="D24" s="212"/>
      <c r="E24" s="213" t="s">
        <v>1858</v>
      </c>
      <c r="F24" s="198" t="s">
        <v>1859</v>
      </c>
      <c r="G24" s="211"/>
      <c r="H24" s="214" t="s">
        <v>1847</v>
      </c>
      <c r="I24" s="207" t="s">
        <v>241</v>
      </c>
    </row>
    <row r="25" spans="1:9" ht="69.900000000000006" customHeight="1">
      <c r="A25" s="211">
        <v>23</v>
      </c>
      <c r="B25" s="197" t="str">
        <f>VLOOKUP("#"&amp;A25,'1&amp;2항차'!$A$14:$Q$530,3,FALSE)</f>
        <v>TOP BEAM &amp; CLOUMN</v>
      </c>
      <c r="C25" s="197">
        <f>VLOOKUP("#"&amp;A25,'1&amp;2항차'!$A$14:$Q$530,5,FALSE)</f>
        <v>24</v>
      </c>
      <c r="D25" s="212"/>
      <c r="E25" s="213" t="s">
        <v>1858</v>
      </c>
      <c r="F25" s="198" t="s">
        <v>1859</v>
      </c>
      <c r="G25" s="211"/>
      <c r="H25" s="214" t="s">
        <v>1847</v>
      </c>
      <c r="I25" s="207" t="s">
        <v>241</v>
      </c>
    </row>
    <row r="26" spans="1:9" ht="69.900000000000006" customHeight="1">
      <c r="A26" s="211">
        <v>24</v>
      </c>
      <c r="B26" s="197" t="str">
        <f>VLOOKUP("#"&amp;A26,'1&amp;2항차'!$A$14:$Q$530,3,FALSE)</f>
        <v>COLUMN &amp; VER.BRACE</v>
      </c>
      <c r="C26" s="197">
        <f>VLOOKUP("#"&amp;A26,'1&amp;2항차'!$A$14:$Q$530,5,FALSE)</f>
        <v>34</v>
      </c>
      <c r="D26" s="212"/>
      <c r="E26" s="213" t="s">
        <v>1860</v>
      </c>
      <c r="F26" s="198" t="s">
        <v>1861</v>
      </c>
      <c r="G26" s="211"/>
      <c r="H26" s="214" t="s">
        <v>1847</v>
      </c>
      <c r="I26" s="207" t="s">
        <v>241</v>
      </c>
    </row>
    <row r="27" spans="1:9" ht="69.900000000000006" customHeight="1">
      <c r="A27" s="211">
        <v>25</v>
      </c>
      <c r="B27" s="197" t="str">
        <f>VLOOKUP("#"&amp;A27,'1&amp;2항차'!$A$14:$Q$530,3,FALSE)</f>
        <v>COLUMN &amp; VER.BRACE</v>
      </c>
      <c r="C27" s="197">
        <f>VLOOKUP("#"&amp;A27,'1&amp;2항차'!$A$14:$Q$530,5,FALSE)</f>
        <v>34</v>
      </c>
      <c r="D27" s="212"/>
      <c r="E27" s="213" t="s">
        <v>1841</v>
      </c>
      <c r="F27" s="198" t="s">
        <v>1862</v>
      </c>
      <c r="G27" s="211"/>
      <c r="H27" s="214" t="s">
        <v>1847</v>
      </c>
      <c r="I27" s="207" t="s">
        <v>241</v>
      </c>
    </row>
    <row r="28" spans="1:9" ht="69.900000000000006" customHeight="1">
      <c r="A28" s="211">
        <v>26</v>
      </c>
      <c r="B28" s="197" t="str">
        <f>VLOOKUP("#"&amp;A28,'1&amp;2항차'!$A$14:$Q$530,3,FALSE)</f>
        <v>COLUMN &amp; VER.BRACE</v>
      </c>
      <c r="C28" s="197">
        <f>VLOOKUP("#"&amp;A28,'1&amp;2항차'!$A$14:$Q$530,5,FALSE)</f>
        <v>86</v>
      </c>
      <c r="D28" s="212"/>
      <c r="E28" s="213" t="s">
        <v>1841</v>
      </c>
      <c r="F28" s="198" t="s">
        <v>1862</v>
      </c>
      <c r="G28" s="211"/>
      <c r="H28" s="214" t="s">
        <v>1847</v>
      </c>
      <c r="I28" s="207" t="s">
        <v>241</v>
      </c>
    </row>
    <row r="29" spans="1:9" ht="69.900000000000006" customHeight="1">
      <c r="A29" s="211">
        <v>27</v>
      </c>
      <c r="B29" s="197" t="str">
        <f>VLOOKUP("#"&amp;A29,'1&amp;2항차'!$A$14:$Q$530,3,FALSE)</f>
        <v>COLUMN &amp; VER.BRACE</v>
      </c>
      <c r="C29" s="197">
        <f>VLOOKUP("#"&amp;A29,'1&amp;2항차'!$A$14:$Q$530,5,FALSE)</f>
        <v>66</v>
      </c>
      <c r="D29" s="212"/>
      <c r="E29" s="213" t="s">
        <v>1863</v>
      </c>
      <c r="F29" s="198" t="s">
        <v>1864</v>
      </c>
      <c r="G29" s="211"/>
      <c r="H29" s="214" t="s">
        <v>1847</v>
      </c>
      <c r="I29" s="207" t="s">
        <v>241</v>
      </c>
    </row>
    <row r="30" spans="1:9" ht="69.900000000000006" customHeight="1">
      <c r="A30" s="211">
        <v>28</v>
      </c>
      <c r="B30" s="197" t="str">
        <f>VLOOKUP("#"&amp;A30,'1&amp;2항차'!$A$14:$Q$530,3,FALSE)</f>
        <v>VER.BRACE &amp; HOR.BRACE</v>
      </c>
      <c r="C30" s="197">
        <f>VLOOKUP("#"&amp;A30,'1&amp;2항차'!$A$14:$Q$530,5,FALSE)</f>
        <v>144</v>
      </c>
      <c r="D30" s="212"/>
      <c r="E30" s="213" t="s">
        <v>1845</v>
      </c>
      <c r="F30" s="198" t="s">
        <v>1865</v>
      </c>
      <c r="G30" s="211"/>
      <c r="H30" s="214" t="s">
        <v>1847</v>
      </c>
      <c r="I30" s="207" t="s">
        <v>241</v>
      </c>
    </row>
    <row r="31" spans="1:9" ht="69.900000000000006" customHeight="1">
      <c r="A31" s="211">
        <v>29</v>
      </c>
      <c r="B31" s="197" t="str">
        <f>VLOOKUP("#"&amp;A31,'1&amp;2항차'!$A$14:$Q$530,3,FALSE)</f>
        <v>VER.BRACE</v>
      </c>
      <c r="C31" s="197">
        <f>VLOOKUP("#"&amp;A31,'1&amp;2항차'!$A$14:$Q$530,5,FALSE)</f>
        <v>145</v>
      </c>
      <c r="D31" s="212"/>
      <c r="E31" s="213" t="s">
        <v>1845</v>
      </c>
      <c r="F31" s="198" t="s">
        <v>1865</v>
      </c>
      <c r="G31" s="211"/>
      <c r="H31" s="214" t="s">
        <v>1847</v>
      </c>
      <c r="I31" s="207" t="s">
        <v>241</v>
      </c>
    </row>
    <row r="32" spans="1:9" ht="69.900000000000006" customHeight="1">
      <c r="A32" s="211">
        <v>30</v>
      </c>
      <c r="B32" s="197" t="str">
        <f>VLOOKUP("#"&amp;A32,'1&amp;2항차'!$A$14:$Q$530,3,FALSE)</f>
        <v>TOP BEAM</v>
      </c>
      <c r="C32" s="197">
        <f>VLOOKUP("#"&amp;A32,'1&amp;2항차'!$A$14:$Q$530,5,FALSE)</f>
        <v>18</v>
      </c>
      <c r="D32" s="212"/>
      <c r="E32" s="213" t="s">
        <v>1845</v>
      </c>
      <c r="F32" s="198" t="s">
        <v>1866</v>
      </c>
      <c r="G32" s="211"/>
      <c r="H32" s="214" t="s">
        <v>1847</v>
      </c>
      <c r="I32" s="207" t="s">
        <v>241</v>
      </c>
    </row>
    <row r="33" spans="1:9" ht="69.900000000000006" customHeight="1">
      <c r="A33" s="211">
        <v>31</v>
      </c>
      <c r="B33" s="197" t="str">
        <f>VLOOKUP("#"&amp;A33,'1&amp;2항차'!$A$14:$Q$530,3,FALSE)</f>
        <v>DUCT SUPPORT / PLATFORMSUPPORT / JBSUPPORT</v>
      </c>
      <c r="C33" s="197">
        <f>VLOOKUP("#"&amp;A33,'1&amp;2항차'!$A$14:$Q$530,5,FALSE)</f>
        <v>67</v>
      </c>
      <c r="D33" s="212"/>
      <c r="E33" s="213" t="s">
        <v>1845</v>
      </c>
      <c r="F33" s="198" t="s">
        <v>1866</v>
      </c>
      <c r="G33" s="211"/>
      <c r="H33" s="214" t="s">
        <v>1847</v>
      </c>
      <c r="I33" s="207" t="s">
        <v>241</v>
      </c>
    </row>
    <row r="34" spans="1:9" ht="69.900000000000006" customHeight="1">
      <c r="A34" s="211">
        <v>32</v>
      </c>
      <c r="B34" s="197" t="str">
        <f>VLOOKUP("#"&amp;A34,'1&amp;2항차'!$A$14:$Q$530,3,FALSE)</f>
        <v>TOPBEAM / GEAR BASE SUPPORT / DUCT SUPPORT</v>
      </c>
      <c r="C34" s="197">
        <f>VLOOKUP("#"&amp;A34,'1&amp;2항차'!$A$14:$Q$530,5,FALSE)</f>
        <v>64</v>
      </c>
      <c r="D34" s="212"/>
      <c r="E34" s="213" t="s">
        <v>1841</v>
      </c>
      <c r="F34" s="198" t="s">
        <v>1867</v>
      </c>
      <c r="G34" s="211"/>
      <c r="H34" s="214" t="s">
        <v>1847</v>
      </c>
      <c r="I34" s="207" t="s">
        <v>241</v>
      </c>
    </row>
    <row r="35" spans="1:9" ht="69.900000000000006" customHeight="1">
      <c r="A35" s="211">
        <v>33</v>
      </c>
      <c r="B35" s="197" t="str">
        <f>VLOOKUP("#"&amp;A35,'1&amp;2항차'!$A$14:$Q$530,3,FALSE)</f>
        <v>DUCT SUPPORT / GEAR BASE SUPPORT / TOPBEAM</v>
      </c>
      <c r="C35" s="197">
        <f>VLOOKUP("#"&amp;A35,'1&amp;2항차'!$A$14:$Q$530,5,FALSE)</f>
        <v>64</v>
      </c>
      <c r="D35" s="212"/>
      <c r="E35" s="213" t="s">
        <v>1841</v>
      </c>
      <c r="F35" s="198" t="s">
        <v>1867</v>
      </c>
      <c r="G35" s="211"/>
      <c r="H35" s="214" t="s">
        <v>1847</v>
      </c>
      <c r="I35" s="207" t="s">
        <v>241</v>
      </c>
    </row>
    <row r="36" spans="1:9" ht="69.900000000000006" customHeight="1">
      <c r="A36" s="211">
        <v>34</v>
      </c>
      <c r="B36" s="197" t="str">
        <f>VLOOKUP("#"&amp;A36,'1&amp;2항차'!$A$14:$Q$530,3,FALSE)</f>
        <v>GEAR BASE SUPPORT / HOR.BRACE / VER.BRACE</v>
      </c>
      <c r="C36" s="197">
        <f>VLOOKUP("#"&amp;A36,'1&amp;2항차'!$A$14:$Q$530,5,FALSE)</f>
        <v>109</v>
      </c>
      <c r="D36" s="212"/>
      <c r="E36" s="213" t="s">
        <v>1841</v>
      </c>
      <c r="F36" s="198" t="s">
        <v>1868</v>
      </c>
      <c r="G36" s="211"/>
      <c r="H36" s="214" t="s">
        <v>1847</v>
      </c>
      <c r="I36" s="207" t="s">
        <v>241</v>
      </c>
    </row>
    <row r="37" spans="1:9" ht="69.900000000000006" customHeight="1">
      <c r="A37" s="211">
        <v>35</v>
      </c>
      <c r="B37" s="197" t="str">
        <f>VLOOKUP("#"&amp;A37,'1&amp;2항차'!$A$14:$Q$530,3,FALSE)</f>
        <v>GEAR BASE SUPPORT &amp; HOR.BRACE &amp; VER.BRACE</v>
      </c>
      <c r="C37" s="197">
        <f>VLOOKUP("#"&amp;A37,'1&amp;2항차'!$A$14:$Q$530,5,FALSE)</f>
        <v>109</v>
      </c>
      <c r="D37" s="212"/>
      <c r="E37" s="213" t="s">
        <v>1845</v>
      </c>
      <c r="F37" s="198" t="s">
        <v>1869</v>
      </c>
      <c r="G37" s="211"/>
      <c r="H37" s="214" t="s">
        <v>1847</v>
      </c>
      <c r="I37" s="207" t="s">
        <v>241</v>
      </c>
    </row>
    <row r="38" spans="1:9" ht="69.900000000000006" customHeight="1">
      <c r="A38" s="211">
        <v>36</v>
      </c>
      <c r="B38" s="197" t="str">
        <f>VLOOKUP("#"&amp;A38,'1&amp;2항차'!$A$14:$Q$530,3,FALSE)</f>
        <v>FAN GUARD</v>
      </c>
      <c r="C38" s="197">
        <f>VLOOKUP("#"&amp;A38,'1&amp;2항차'!$A$14:$Q$530,5,FALSE)</f>
        <v>18</v>
      </c>
      <c r="D38" s="212"/>
      <c r="E38" s="213" t="s">
        <v>1845</v>
      </c>
      <c r="F38" s="198" t="s">
        <v>1870</v>
      </c>
      <c r="G38" s="211"/>
      <c r="H38" s="214" t="s">
        <v>1847</v>
      </c>
      <c r="I38" s="207" t="s">
        <v>241</v>
      </c>
    </row>
    <row r="39" spans="1:9" ht="69.900000000000006" customHeight="1">
      <c r="A39" s="211">
        <v>37</v>
      </c>
      <c r="B39" s="197" t="str">
        <f>VLOOKUP("#"&amp;A39,'1&amp;2항차'!$A$14:$Q$530,3,FALSE)</f>
        <v>FAN GUARD</v>
      </c>
      <c r="C39" s="197">
        <f>VLOOKUP("#"&amp;A39,'1&amp;2항차'!$A$14:$Q$530,5,FALSE)</f>
        <v>18</v>
      </c>
      <c r="D39" s="212"/>
      <c r="E39" s="213" t="s">
        <v>1845</v>
      </c>
      <c r="F39" s="198" t="s">
        <v>1871</v>
      </c>
      <c r="G39" s="211"/>
      <c r="H39" s="214" t="s">
        <v>1847</v>
      </c>
      <c r="I39" s="207" t="s">
        <v>241</v>
      </c>
    </row>
    <row r="40" spans="1:9" ht="69.900000000000006" customHeight="1">
      <c r="A40" s="211">
        <v>38</v>
      </c>
      <c r="B40" s="197" t="str">
        <f>VLOOKUP("#"&amp;A40,'1&amp;2항차'!$A$14:$Q$530,3,FALSE)</f>
        <v>DUCTSUPPORT</v>
      </c>
      <c r="C40" s="197">
        <f>VLOOKUP("#"&amp;A40,'1&amp;2항차'!$A$14:$Q$530,5,FALSE)</f>
        <v>67</v>
      </c>
      <c r="D40" s="212"/>
      <c r="E40" s="213" t="s">
        <v>1845</v>
      </c>
      <c r="F40" s="198" t="s">
        <v>1872</v>
      </c>
      <c r="G40" s="211"/>
      <c r="H40" s="214" t="s">
        <v>1847</v>
      </c>
      <c r="I40" s="207" t="s">
        <v>241</v>
      </c>
    </row>
    <row r="41" spans="1:9" ht="69.900000000000006" customHeight="1">
      <c r="A41" s="211">
        <v>39</v>
      </c>
      <c r="B41" s="197" t="str">
        <f>VLOOKUP("#"&amp;A41,'1&amp;2항차'!$A$14:$Q$530,3,FALSE)</f>
        <v>GRATING</v>
      </c>
      <c r="C41" s="197">
        <f>VLOOKUP("#"&amp;A41,'1&amp;2항차'!$A$14:$Q$530,5,FALSE)</f>
        <v>56</v>
      </c>
      <c r="D41" s="212"/>
      <c r="E41" s="213" t="s">
        <v>1845</v>
      </c>
      <c r="F41" s="198" t="s">
        <v>1873</v>
      </c>
      <c r="G41" s="211"/>
      <c r="H41" s="214" t="s">
        <v>1847</v>
      </c>
      <c r="I41" s="207" t="s">
        <v>241</v>
      </c>
    </row>
    <row r="42" spans="1:9" ht="69.900000000000006" customHeight="1">
      <c r="A42" s="211">
        <v>40</v>
      </c>
      <c r="B42" s="197" t="str">
        <f>VLOOKUP("#"&amp;A42,'1&amp;2항차'!$A$14:$Q$530,3,FALSE)</f>
        <v>GRATING</v>
      </c>
      <c r="C42" s="197">
        <f>VLOOKUP("#"&amp;A42,'1&amp;2항차'!$A$14:$Q$530,5,FALSE)</f>
        <v>56</v>
      </c>
      <c r="D42" s="212"/>
      <c r="E42" s="213" t="s">
        <v>1845</v>
      </c>
      <c r="F42" s="198" t="s">
        <v>1869</v>
      </c>
      <c r="G42" s="211"/>
      <c r="H42" s="214" t="s">
        <v>1847</v>
      </c>
      <c r="I42" s="207" t="s">
        <v>241</v>
      </c>
    </row>
    <row r="43" spans="1:9" ht="69.900000000000006" customHeight="1">
      <c r="A43" s="211">
        <v>41</v>
      </c>
      <c r="B43" s="197" t="str">
        <f>VLOOKUP("#"&amp;A43,'1&amp;2항차'!$A$14:$Q$530,3,FALSE)</f>
        <v>GRATING</v>
      </c>
      <c r="C43" s="197">
        <f>VLOOKUP("#"&amp;A43,'1&amp;2항차'!$A$14:$Q$530,5,FALSE)</f>
        <v>80</v>
      </c>
      <c r="D43" s="212"/>
      <c r="E43" s="213" t="s">
        <v>1841</v>
      </c>
      <c r="F43" s="198" t="s">
        <v>1874</v>
      </c>
      <c r="G43" s="211"/>
      <c r="H43" s="214" t="s">
        <v>1847</v>
      </c>
      <c r="I43" s="207" t="s">
        <v>241</v>
      </c>
    </row>
    <row r="44" spans="1:9" ht="69.900000000000006" customHeight="1">
      <c r="A44" s="211">
        <v>42</v>
      </c>
      <c r="B44" s="197" t="str">
        <f>VLOOKUP("#"&amp;A44,'1&amp;2항차'!$A$14:$Q$530,3,FALSE)</f>
        <v>GRATING</v>
      </c>
      <c r="C44" s="197">
        <f>VLOOKUP("#"&amp;A44,'1&amp;2항차'!$A$14:$Q$530,5,FALSE)</f>
        <v>80</v>
      </c>
      <c r="D44" s="212"/>
      <c r="E44" s="213" t="s">
        <v>1841</v>
      </c>
      <c r="F44" s="198" t="s">
        <v>1874</v>
      </c>
      <c r="G44" s="211"/>
      <c r="H44" s="214" t="s">
        <v>1847</v>
      </c>
      <c r="I44" s="207" t="s">
        <v>241</v>
      </c>
    </row>
    <row r="45" spans="1:9" ht="69.900000000000006" customHeight="1">
      <c r="A45" s="211">
        <v>43</v>
      </c>
      <c r="B45" s="197" t="str">
        <f>VLOOKUP("#"&amp;A45,'1&amp;2항차'!$A$14:$Q$530,3,FALSE)</f>
        <v>LADDER,LADDER SUPPOT &amp; SAFETY GATE</v>
      </c>
      <c r="C45" s="197">
        <f>VLOOKUP("#"&amp;A45,'1&amp;2항차'!$A$14:$Q$530,5,FALSE)</f>
        <v>4</v>
      </c>
      <c r="D45" s="212"/>
      <c r="E45" s="213" t="s">
        <v>1875</v>
      </c>
      <c r="F45" s="198" t="s">
        <v>1876</v>
      </c>
      <c r="G45" s="211"/>
      <c r="H45" s="214" t="s">
        <v>1877</v>
      </c>
      <c r="I45" s="207" t="s">
        <v>241</v>
      </c>
    </row>
    <row r="46" spans="1:9" ht="69.900000000000006" customHeight="1">
      <c r="A46" s="211">
        <v>44</v>
      </c>
      <c r="B46" s="197" t="str">
        <f>VLOOKUP("#"&amp;A46,'1&amp;2항차'!$A$14:$Q$530,3,FALSE)</f>
        <v>LADDER,LADDER SUPPOT &amp; SAFETY GATE</v>
      </c>
      <c r="C46" s="197">
        <f>VLOOKUP("#"&amp;A46,'1&amp;2항차'!$A$14:$Q$530,5,FALSE)</f>
        <v>4</v>
      </c>
      <c r="D46" s="212"/>
      <c r="E46" s="213" t="s">
        <v>1841</v>
      </c>
      <c r="F46" s="198" t="s">
        <v>1842</v>
      </c>
      <c r="G46" s="211"/>
      <c r="H46" s="214" t="s">
        <v>1843</v>
      </c>
      <c r="I46" s="207" t="s">
        <v>241</v>
      </c>
    </row>
    <row r="47" spans="1:9" ht="69.900000000000006" customHeight="1">
      <c r="A47" s="211">
        <v>45</v>
      </c>
      <c r="B47" s="197" t="str">
        <f>VLOOKUP("#"&amp;A47,'1&amp;2항차'!$A$14:$Q$530,3,FALSE)</f>
        <v>LADDER,LADDER SUPPOT &amp; SAFETY GATE</v>
      </c>
      <c r="C47" s="197">
        <f>VLOOKUP("#"&amp;A47,'1&amp;2항차'!$A$14:$Q$530,5,FALSE)</f>
        <v>4</v>
      </c>
      <c r="D47" s="212"/>
      <c r="E47" s="213" t="s">
        <v>1841</v>
      </c>
      <c r="F47" s="198" t="s">
        <v>1844</v>
      </c>
      <c r="G47" s="211"/>
      <c r="H47" s="214" t="s">
        <v>1843</v>
      </c>
      <c r="I47" s="207" t="s">
        <v>241</v>
      </c>
    </row>
    <row r="48" spans="1:9" ht="69.900000000000006" customHeight="1">
      <c r="A48" s="211">
        <v>46</v>
      </c>
      <c r="B48" s="197" t="str">
        <f>VLOOKUP("#"&amp;A48,'1&amp;2항차'!$A$14:$Q$530,3,FALSE)</f>
        <v>LADDER,LADDER SUPPOT &amp; SAFETY GATE</v>
      </c>
      <c r="C48" s="197">
        <f>VLOOKUP("#"&amp;A48,'1&amp;2항차'!$A$14:$Q$530,5,FALSE)</f>
        <v>4</v>
      </c>
      <c r="D48" s="212"/>
      <c r="E48" s="213" t="s">
        <v>1845</v>
      </c>
      <c r="F48" s="198" t="s">
        <v>1846</v>
      </c>
      <c r="G48" s="211"/>
      <c r="H48" s="214" t="s">
        <v>1847</v>
      </c>
      <c r="I48" s="207" t="s">
        <v>241</v>
      </c>
    </row>
    <row r="49" spans="1:9" ht="69.900000000000006" customHeight="1">
      <c r="A49" s="211">
        <v>47</v>
      </c>
      <c r="B49" s="197" t="str">
        <f>VLOOKUP("#"&amp;A49,'1&amp;2항차'!$A$14:$Q$530,3,FALSE)</f>
        <v>HANDRAIL</v>
      </c>
      <c r="C49" s="197">
        <f>VLOOKUP("#"&amp;A49,'1&amp;2항차'!$A$14:$Q$530,5,FALSE)</f>
        <v>16</v>
      </c>
      <c r="D49" s="212"/>
      <c r="E49" s="213" t="s">
        <v>1845</v>
      </c>
      <c r="F49" s="198" t="s">
        <v>1846</v>
      </c>
      <c r="G49" s="211"/>
      <c r="H49" s="214" t="s">
        <v>1847</v>
      </c>
      <c r="I49" s="207" t="s">
        <v>241</v>
      </c>
    </row>
    <row r="50" spans="1:9" ht="69.900000000000006" customHeight="1">
      <c r="A50" s="211">
        <v>48</v>
      </c>
      <c r="B50" s="197" t="str">
        <f>VLOOKUP("#"&amp;A50,'1&amp;2항차'!$A$14:$Q$530,3,FALSE)</f>
        <v>HANDRAIL</v>
      </c>
      <c r="C50" s="197">
        <f>VLOOKUP("#"&amp;A50,'1&amp;2항차'!$A$14:$Q$530,5,FALSE)</f>
        <v>16</v>
      </c>
      <c r="D50" s="212"/>
      <c r="E50" s="213" t="s">
        <v>1845</v>
      </c>
      <c r="F50" s="198" t="s">
        <v>1846</v>
      </c>
      <c r="G50" s="211"/>
      <c r="H50" s="214" t="s">
        <v>1847</v>
      </c>
      <c r="I50" s="207" t="s">
        <v>241</v>
      </c>
    </row>
    <row r="51" spans="1:9" ht="69.900000000000006" customHeight="1">
      <c r="A51" s="211">
        <v>49</v>
      </c>
      <c r="B51" s="197" t="str">
        <f>VLOOKUP("#"&amp;A51,'1&amp;2항차'!$A$14:$Q$530,3,FALSE)</f>
        <v>HANDRAIL &amp; SAFETY GATE</v>
      </c>
      <c r="C51" s="197">
        <f>VLOOKUP("#"&amp;A51,'1&amp;2항차'!$A$14:$Q$530,5,FALSE)</f>
        <v>32</v>
      </c>
      <c r="D51" s="212"/>
      <c r="E51" s="213" t="s">
        <v>1845</v>
      </c>
      <c r="F51" s="198" t="s">
        <v>1848</v>
      </c>
      <c r="G51" s="211"/>
      <c r="H51" s="214" t="s">
        <v>1847</v>
      </c>
      <c r="I51" s="207" t="s">
        <v>241</v>
      </c>
    </row>
    <row r="52" spans="1:9" ht="69.900000000000006" customHeight="1">
      <c r="A52" s="211">
        <v>50</v>
      </c>
      <c r="B52" s="197" t="str">
        <f>VLOOKUP("#"&amp;A52,'1&amp;2항차'!$A$14:$Q$530,3,FALSE)</f>
        <v>HANDRAIL &amp; SAFETY GATE</v>
      </c>
      <c r="C52" s="197">
        <f>VLOOKUP("#"&amp;A52,'1&amp;2항차'!$A$14:$Q$530,5,FALSE)</f>
        <v>32</v>
      </c>
      <c r="D52" s="212"/>
      <c r="E52" s="213" t="s">
        <v>1845</v>
      </c>
      <c r="F52" s="198" t="s">
        <v>1849</v>
      </c>
      <c r="G52" s="211"/>
      <c r="H52" s="214" t="s">
        <v>1847</v>
      </c>
      <c r="I52" s="207" t="s">
        <v>241</v>
      </c>
    </row>
    <row r="53" spans="1:9" ht="69.900000000000006" customHeight="1">
      <c r="A53" s="211">
        <v>51</v>
      </c>
      <c r="B53" s="197" t="str">
        <f>VLOOKUP("#"&amp;A53,'1&amp;2항차'!$A$14:$Q$530,3,FALSE)</f>
        <v>FAN GUARD</v>
      </c>
      <c r="C53" s="197">
        <f>VLOOKUP("#"&amp;A53,'1&amp;2항차'!$A$14:$Q$530,5,FALSE)</f>
        <v>102</v>
      </c>
      <c r="D53" s="212"/>
      <c r="E53" s="213" t="s">
        <v>1841</v>
      </c>
      <c r="F53" s="198" t="s">
        <v>1850</v>
      </c>
      <c r="G53" s="211"/>
      <c r="H53" s="214" t="s">
        <v>1847</v>
      </c>
      <c r="I53" s="207" t="s">
        <v>241</v>
      </c>
    </row>
    <row r="54" spans="1:9" ht="69.900000000000006" customHeight="1">
      <c r="A54" s="211">
        <v>52</v>
      </c>
      <c r="B54" s="197" t="str">
        <f>VLOOKUP("#"&amp;A54,'1&amp;2항차'!$A$14:$Q$530,3,FALSE)</f>
        <v>FAN GUARD</v>
      </c>
      <c r="C54" s="197">
        <f>VLOOKUP("#"&amp;A54,'1&amp;2항차'!$A$14:$Q$530,5,FALSE)</f>
        <v>102</v>
      </c>
      <c r="D54" s="212"/>
      <c r="E54" s="213" t="s">
        <v>1841</v>
      </c>
      <c r="F54" s="198" t="s">
        <v>1850</v>
      </c>
      <c r="G54" s="211"/>
      <c r="H54" s="214" t="s">
        <v>1847</v>
      </c>
      <c r="I54" s="207" t="s">
        <v>241</v>
      </c>
    </row>
    <row r="55" spans="1:9" ht="69.900000000000006" customHeight="1">
      <c r="A55" s="211">
        <v>53</v>
      </c>
      <c r="B55" s="197" t="str">
        <f>VLOOKUP("#"&amp;A55,'1&amp;2항차'!$A$14:$Q$530,3,FALSE)</f>
        <v>GEAR BASE</v>
      </c>
      <c r="C55" s="197">
        <f>VLOOKUP("#"&amp;A55,'1&amp;2항차'!$A$14:$Q$530,5,FALSE)</f>
        <v>4</v>
      </c>
      <c r="D55" s="212"/>
      <c r="E55" s="213" t="s">
        <v>1841</v>
      </c>
      <c r="F55" s="198" t="s">
        <v>1851</v>
      </c>
      <c r="G55" s="211"/>
      <c r="H55" s="214" t="s">
        <v>1852</v>
      </c>
      <c r="I55" s="207" t="s">
        <v>241</v>
      </c>
    </row>
    <row r="56" spans="1:9" ht="69.900000000000006" customHeight="1">
      <c r="A56" s="211">
        <v>54</v>
      </c>
      <c r="B56" s="197" t="str">
        <f>VLOOKUP("#"&amp;A56,'1&amp;2항차'!$A$14:$Q$530,3,FALSE)</f>
        <v>GEAR BASE</v>
      </c>
      <c r="C56" s="197">
        <f>VLOOKUP("#"&amp;A56,'1&amp;2항차'!$A$14:$Q$530,5,FALSE)</f>
        <v>4</v>
      </c>
      <c r="D56" s="212"/>
      <c r="E56" s="213" t="s">
        <v>1841</v>
      </c>
      <c r="F56" s="198" t="s">
        <v>1851</v>
      </c>
      <c r="G56" s="211"/>
      <c r="H56" s="214" t="s">
        <v>1852</v>
      </c>
      <c r="I56" s="207" t="s">
        <v>241</v>
      </c>
    </row>
    <row r="57" spans="1:9" ht="69.900000000000006" customHeight="1">
      <c r="A57" s="211">
        <v>55</v>
      </c>
      <c r="B57" s="197" t="str">
        <f>VLOOKUP("#"&amp;A57,'1&amp;2항차'!$A$14:$Q$530,3,FALSE)</f>
        <v>GEAR BASE</v>
      </c>
      <c r="C57" s="197">
        <f>VLOOKUP("#"&amp;A57,'1&amp;2항차'!$A$14:$Q$530,5,FALSE)</f>
        <v>4</v>
      </c>
      <c r="D57" s="212"/>
      <c r="E57" s="213" t="s">
        <v>1841</v>
      </c>
      <c r="F57" s="198" t="s">
        <v>1853</v>
      </c>
      <c r="G57" s="211"/>
      <c r="H57" s="214" t="s">
        <v>1847</v>
      </c>
      <c r="I57" s="207" t="s">
        <v>241</v>
      </c>
    </row>
    <row r="58" spans="1:9" ht="69.900000000000006" customHeight="1">
      <c r="A58" s="211">
        <v>56</v>
      </c>
      <c r="B58" s="197" t="str">
        <f>VLOOKUP("#"&amp;A58,'1&amp;2항차'!$A$14:$Q$530,3,FALSE)</f>
        <v>GEAR BASE</v>
      </c>
      <c r="C58" s="197">
        <f>VLOOKUP("#"&amp;A58,'1&amp;2항차'!$A$14:$Q$530,5,FALSE)</f>
        <v>4</v>
      </c>
      <c r="D58" s="212"/>
      <c r="E58" s="213" t="s">
        <v>1841</v>
      </c>
      <c r="F58" s="198" t="s">
        <v>1853</v>
      </c>
      <c r="G58" s="211"/>
      <c r="H58" s="214" t="s">
        <v>1847</v>
      </c>
      <c r="I58" s="207" t="s">
        <v>241</v>
      </c>
    </row>
    <row r="59" spans="1:9" ht="69.900000000000006" customHeight="1">
      <c r="A59" s="211">
        <v>57</v>
      </c>
      <c r="B59" s="197" t="str">
        <f>VLOOKUP("#"&amp;A59,'1&amp;2항차'!$A$14:$Q$530,3,FALSE)</f>
        <v>GEAR BASE</v>
      </c>
      <c r="C59" s="197">
        <f>VLOOKUP("#"&amp;A59,'1&amp;2항차'!$A$14:$Q$530,5,FALSE)</f>
        <v>4</v>
      </c>
      <c r="D59" s="212"/>
      <c r="E59" s="213" t="s">
        <v>1841</v>
      </c>
      <c r="F59" s="198" t="s">
        <v>1853</v>
      </c>
      <c r="G59" s="211"/>
      <c r="H59" s="214" t="s">
        <v>1847</v>
      </c>
      <c r="I59" s="207" t="s">
        <v>241</v>
      </c>
    </row>
    <row r="60" spans="1:9" ht="69.900000000000006" customHeight="1">
      <c r="A60" s="211">
        <v>58</v>
      </c>
      <c r="B60" s="197" t="str">
        <f>VLOOKUP("#"&amp;A60,'1&amp;2항차'!$A$14:$Q$530,3,FALSE)</f>
        <v>GEAR BASE</v>
      </c>
      <c r="C60" s="197">
        <f>VLOOKUP("#"&amp;A60,'1&amp;2항차'!$A$14:$Q$530,5,FALSE)</f>
        <v>4</v>
      </c>
      <c r="D60" s="212"/>
      <c r="E60" s="213" t="s">
        <v>1845</v>
      </c>
      <c r="F60" s="198" t="s">
        <v>1854</v>
      </c>
      <c r="G60" s="211"/>
      <c r="H60" s="214" t="s">
        <v>1847</v>
      </c>
      <c r="I60" s="207" t="s">
        <v>241</v>
      </c>
    </row>
    <row r="61" spans="1:9" ht="69.900000000000006" customHeight="1">
      <c r="A61" s="211">
        <v>59</v>
      </c>
      <c r="B61" s="197" t="e">
        <f>VLOOKUP("#"&amp;A61,'1&amp;2항차'!$A$14:$Q$530,3,FALSE)</f>
        <v>#N/A</v>
      </c>
      <c r="C61" s="197" t="e">
        <f>VLOOKUP("#"&amp;A61,'1&amp;2항차'!$A$14:$Q$530,5,FALSE)</f>
        <v>#N/A</v>
      </c>
      <c r="D61" s="212"/>
      <c r="E61" s="213" t="s">
        <v>1841</v>
      </c>
      <c r="F61" s="198" t="s">
        <v>1855</v>
      </c>
      <c r="G61" s="211"/>
      <c r="H61" s="214" t="s">
        <v>1856</v>
      </c>
      <c r="I61" s="207" t="s">
        <v>241</v>
      </c>
    </row>
    <row r="62" spans="1:9" ht="69.900000000000006" customHeight="1">
      <c r="A62" s="211">
        <v>60</v>
      </c>
      <c r="B62" s="197" t="e">
        <f>VLOOKUP("#"&amp;A62,'1&amp;2항차'!$A$14:$Q$530,3,FALSE)</f>
        <v>#N/A</v>
      </c>
      <c r="C62" s="197" t="e">
        <f>VLOOKUP("#"&amp;A62,'1&amp;2항차'!$A$14:$Q$530,5,FALSE)</f>
        <v>#N/A</v>
      </c>
      <c r="D62" s="212"/>
      <c r="E62" s="213" t="s">
        <v>1841</v>
      </c>
      <c r="F62" s="198" t="s">
        <v>1855</v>
      </c>
      <c r="G62" s="211"/>
      <c r="H62" s="214" t="s">
        <v>1856</v>
      </c>
      <c r="I62" s="207" t="s">
        <v>241</v>
      </c>
    </row>
    <row r="63" spans="1:9" ht="69.900000000000006" customHeight="1">
      <c r="A63" s="211">
        <v>61</v>
      </c>
      <c r="B63" s="197" t="e">
        <f>VLOOKUP("#"&amp;A63,'1&amp;2항차'!$A$14:$Q$530,3,FALSE)</f>
        <v>#N/A</v>
      </c>
      <c r="C63" s="197" t="e">
        <f>VLOOKUP("#"&amp;A63,'1&amp;2항차'!$A$14:$Q$530,5,FALSE)</f>
        <v>#N/A</v>
      </c>
      <c r="D63" s="212"/>
      <c r="E63" s="213" t="s">
        <v>1841</v>
      </c>
      <c r="F63" s="198" t="s">
        <v>1855</v>
      </c>
      <c r="G63" s="211"/>
      <c r="H63" s="214" t="s">
        <v>1856</v>
      </c>
      <c r="I63" s="207" t="s">
        <v>241</v>
      </c>
    </row>
    <row r="64" spans="1:9" ht="69.900000000000006" customHeight="1">
      <c r="A64" s="211">
        <v>62</v>
      </c>
      <c r="B64" s="197" t="e">
        <f>VLOOKUP("#"&amp;A64,'1&amp;2항차'!$A$14:$Q$530,3,FALSE)</f>
        <v>#N/A</v>
      </c>
      <c r="C64" s="197" t="e">
        <f>VLOOKUP("#"&amp;A64,'1&amp;2항차'!$A$14:$Q$530,5,FALSE)</f>
        <v>#N/A</v>
      </c>
      <c r="D64" s="212"/>
      <c r="E64" s="213" t="s">
        <v>1841</v>
      </c>
      <c r="F64" s="198" t="s">
        <v>1855</v>
      </c>
      <c r="G64" s="211"/>
      <c r="H64" s="214" t="s">
        <v>1856</v>
      </c>
      <c r="I64" s="207" t="s">
        <v>241</v>
      </c>
    </row>
    <row r="65" spans="1:9" ht="69.900000000000006" customHeight="1">
      <c r="A65" s="211">
        <v>63</v>
      </c>
      <c r="B65" s="197" t="e">
        <f>VLOOKUP("#"&amp;A65,'1&amp;2항차'!$A$14:$Q$530,3,FALSE)</f>
        <v>#N/A</v>
      </c>
      <c r="C65" s="197" t="e">
        <f>VLOOKUP("#"&amp;A65,'1&amp;2항차'!$A$14:$Q$530,5,FALSE)</f>
        <v>#N/A</v>
      </c>
      <c r="D65" s="212"/>
      <c r="E65" s="213" t="s">
        <v>1841</v>
      </c>
      <c r="F65" s="198" t="s">
        <v>1855</v>
      </c>
      <c r="G65" s="211"/>
      <c r="H65" s="214" t="s">
        <v>1856</v>
      </c>
      <c r="I65" s="207" t="s">
        <v>241</v>
      </c>
    </row>
    <row r="66" spans="1:9" ht="69.900000000000006" customHeight="1">
      <c r="A66" s="211">
        <v>64</v>
      </c>
      <c r="B66" s="197" t="e">
        <f>VLOOKUP("#"&amp;A66,'1&amp;2항차'!$A$14:$Q$530,3,FALSE)</f>
        <v>#N/A</v>
      </c>
      <c r="C66" s="197" t="e">
        <f>VLOOKUP("#"&amp;A66,'1&amp;2항차'!$A$14:$Q$530,5,FALSE)</f>
        <v>#N/A</v>
      </c>
      <c r="D66" s="212"/>
      <c r="E66" s="213" t="s">
        <v>1845</v>
      </c>
      <c r="F66" s="198" t="s">
        <v>1857</v>
      </c>
      <c r="G66" s="211"/>
      <c r="H66" s="214" t="s">
        <v>1847</v>
      </c>
      <c r="I66" s="207" t="s">
        <v>241</v>
      </c>
    </row>
    <row r="67" spans="1:9" ht="69.900000000000006" customHeight="1">
      <c r="A67" s="211">
        <v>65</v>
      </c>
      <c r="B67" s="197" t="e">
        <f>VLOOKUP("#"&amp;A67,'1&amp;2항차'!$A$14:$Q$530,3,FALSE)</f>
        <v>#N/A</v>
      </c>
      <c r="C67" s="197" t="e">
        <f>VLOOKUP("#"&amp;A67,'1&amp;2항차'!$A$14:$Q$530,5,FALSE)</f>
        <v>#N/A</v>
      </c>
      <c r="D67" s="212"/>
      <c r="E67" s="213" t="s">
        <v>1858</v>
      </c>
      <c r="F67" s="198" t="s">
        <v>1859</v>
      </c>
      <c r="G67" s="211"/>
      <c r="H67" s="214" t="s">
        <v>1847</v>
      </c>
      <c r="I67" s="207" t="s">
        <v>241</v>
      </c>
    </row>
    <row r="68" spans="1:9" ht="69.900000000000006" customHeight="1">
      <c r="A68" s="211">
        <v>66</v>
      </c>
      <c r="B68" s="197" t="e">
        <f>VLOOKUP("#"&amp;A68,'1&amp;2항차'!$A$14:$Q$530,3,FALSE)</f>
        <v>#N/A</v>
      </c>
      <c r="C68" s="197" t="e">
        <f>VLOOKUP("#"&amp;A68,'1&amp;2항차'!$A$14:$Q$530,5,FALSE)</f>
        <v>#N/A</v>
      </c>
      <c r="D68" s="212"/>
      <c r="E68" s="213" t="s">
        <v>1858</v>
      </c>
      <c r="F68" s="198" t="s">
        <v>1859</v>
      </c>
      <c r="G68" s="211"/>
      <c r="H68" s="214" t="s">
        <v>1847</v>
      </c>
      <c r="I68" s="207" t="s">
        <v>241</v>
      </c>
    </row>
    <row r="69" spans="1:9" ht="69.900000000000006" customHeight="1">
      <c r="A69" s="211">
        <v>67</v>
      </c>
      <c r="B69" s="197" t="e">
        <f>VLOOKUP("#"&amp;A69,'1&amp;2항차'!$A$14:$Q$530,3,FALSE)</f>
        <v>#N/A</v>
      </c>
      <c r="C69" s="197" t="e">
        <f>VLOOKUP("#"&amp;A69,'1&amp;2항차'!$A$14:$Q$530,5,FALSE)</f>
        <v>#N/A</v>
      </c>
      <c r="D69" s="212"/>
      <c r="E69" s="213" t="s">
        <v>1860</v>
      </c>
      <c r="F69" s="198" t="s">
        <v>1861</v>
      </c>
      <c r="G69" s="211"/>
      <c r="H69" s="214" t="s">
        <v>1847</v>
      </c>
      <c r="I69" s="207" t="s">
        <v>241</v>
      </c>
    </row>
    <row r="70" spans="1:9" ht="69.900000000000006" customHeight="1">
      <c r="A70" s="211">
        <v>68</v>
      </c>
      <c r="B70" s="197" t="e">
        <f>VLOOKUP("#"&amp;A70,'1&amp;2항차'!$A$14:$Q$530,3,FALSE)</f>
        <v>#N/A</v>
      </c>
      <c r="C70" s="197" t="e">
        <f>VLOOKUP("#"&amp;A70,'1&amp;2항차'!$A$14:$Q$530,5,FALSE)</f>
        <v>#N/A</v>
      </c>
      <c r="D70" s="212"/>
      <c r="E70" s="213" t="s">
        <v>1841</v>
      </c>
      <c r="F70" s="198" t="s">
        <v>1862</v>
      </c>
      <c r="G70" s="211"/>
      <c r="H70" s="214" t="s">
        <v>1847</v>
      </c>
      <c r="I70" s="207" t="s">
        <v>241</v>
      </c>
    </row>
    <row r="71" spans="1:9" ht="69.900000000000006" customHeight="1">
      <c r="A71" s="211">
        <v>69</v>
      </c>
      <c r="B71" s="197" t="e">
        <f>VLOOKUP("#"&amp;A71,'1&amp;2항차'!$A$14:$Q$530,3,FALSE)</f>
        <v>#N/A</v>
      </c>
      <c r="C71" s="197" t="e">
        <f>VLOOKUP("#"&amp;A71,'1&amp;2항차'!$A$14:$Q$530,5,FALSE)</f>
        <v>#N/A</v>
      </c>
      <c r="D71" s="212"/>
      <c r="E71" s="213" t="s">
        <v>1841</v>
      </c>
      <c r="F71" s="198" t="s">
        <v>1862</v>
      </c>
      <c r="G71" s="211"/>
      <c r="H71" s="214" t="s">
        <v>1847</v>
      </c>
      <c r="I71" s="207" t="s">
        <v>241</v>
      </c>
    </row>
    <row r="72" spans="1:9" ht="69.900000000000006" customHeight="1">
      <c r="A72" s="211">
        <v>70</v>
      </c>
      <c r="B72" s="197" t="e">
        <f>VLOOKUP("#"&amp;A72,'1&amp;2항차'!$A$14:$Q$530,3,FALSE)</f>
        <v>#N/A</v>
      </c>
      <c r="C72" s="197" t="e">
        <f>VLOOKUP("#"&amp;A72,'1&amp;2항차'!$A$14:$Q$530,5,FALSE)</f>
        <v>#N/A</v>
      </c>
      <c r="D72" s="212"/>
      <c r="E72" s="213" t="s">
        <v>1863</v>
      </c>
      <c r="F72" s="198" t="s">
        <v>1864</v>
      </c>
      <c r="G72" s="211"/>
      <c r="H72" s="214" t="s">
        <v>1847</v>
      </c>
      <c r="I72" s="207" t="s">
        <v>241</v>
      </c>
    </row>
    <row r="73" spans="1:9" ht="69.900000000000006" customHeight="1">
      <c r="A73" s="211">
        <v>71</v>
      </c>
      <c r="B73" s="197" t="e">
        <f>VLOOKUP("#"&amp;A73,'1&amp;2항차'!$A$14:$Q$530,3,FALSE)</f>
        <v>#N/A</v>
      </c>
      <c r="C73" s="197" t="e">
        <f>VLOOKUP("#"&amp;A73,'1&amp;2항차'!$A$14:$Q$530,5,FALSE)</f>
        <v>#N/A</v>
      </c>
      <c r="D73" s="212"/>
      <c r="E73" s="213" t="s">
        <v>1845</v>
      </c>
      <c r="F73" s="198" t="s">
        <v>1865</v>
      </c>
      <c r="G73" s="211"/>
      <c r="H73" s="214" t="s">
        <v>1847</v>
      </c>
      <c r="I73" s="207" t="s">
        <v>241</v>
      </c>
    </row>
    <row r="74" spans="1:9" ht="69.900000000000006" customHeight="1">
      <c r="A74" s="211">
        <v>72</v>
      </c>
      <c r="B74" s="197" t="e">
        <f>VLOOKUP("#"&amp;A74,'1&amp;2항차'!$A$14:$Q$530,3,FALSE)</f>
        <v>#N/A</v>
      </c>
      <c r="C74" s="197" t="e">
        <f>VLOOKUP("#"&amp;A74,'1&amp;2항차'!$A$14:$Q$530,5,FALSE)</f>
        <v>#N/A</v>
      </c>
      <c r="D74" s="212"/>
      <c r="E74" s="213" t="s">
        <v>1845</v>
      </c>
      <c r="F74" s="198" t="s">
        <v>1865</v>
      </c>
      <c r="G74" s="211"/>
      <c r="H74" s="214" t="s">
        <v>1847</v>
      </c>
      <c r="I74" s="207" t="s">
        <v>241</v>
      </c>
    </row>
    <row r="75" spans="1:9" ht="69.900000000000006" customHeight="1">
      <c r="A75" s="211">
        <v>73</v>
      </c>
      <c r="B75" s="197" t="e">
        <f>VLOOKUP("#"&amp;A75,'1&amp;2항차'!$A$14:$Q$530,3,FALSE)</f>
        <v>#N/A</v>
      </c>
      <c r="C75" s="197" t="e">
        <f>VLOOKUP("#"&amp;A75,'1&amp;2항차'!$A$14:$Q$530,5,FALSE)</f>
        <v>#N/A</v>
      </c>
      <c r="D75" s="212"/>
      <c r="E75" s="213" t="s">
        <v>1845</v>
      </c>
      <c r="F75" s="198" t="s">
        <v>1866</v>
      </c>
      <c r="G75" s="211"/>
      <c r="H75" s="214" t="s">
        <v>1847</v>
      </c>
      <c r="I75" s="207" t="s">
        <v>241</v>
      </c>
    </row>
    <row r="76" spans="1:9" ht="69.900000000000006" customHeight="1">
      <c r="A76" s="211">
        <v>74</v>
      </c>
      <c r="B76" s="197" t="e">
        <f>VLOOKUP("#"&amp;A76,'1&amp;2항차'!$A$14:$Q$530,3,FALSE)</f>
        <v>#N/A</v>
      </c>
      <c r="C76" s="197" t="e">
        <f>VLOOKUP("#"&amp;A76,'1&amp;2항차'!$A$14:$Q$530,5,FALSE)</f>
        <v>#N/A</v>
      </c>
      <c r="D76" s="212"/>
      <c r="E76" s="213" t="s">
        <v>1845</v>
      </c>
      <c r="F76" s="198" t="s">
        <v>1866</v>
      </c>
      <c r="G76" s="211"/>
      <c r="H76" s="214" t="s">
        <v>1847</v>
      </c>
      <c r="I76" s="207" t="s">
        <v>241</v>
      </c>
    </row>
    <row r="77" spans="1:9" ht="69.900000000000006" customHeight="1">
      <c r="A77" s="211">
        <v>75</v>
      </c>
      <c r="B77" s="197" t="e">
        <f>VLOOKUP("#"&amp;A77,'1&amp;2항차'!$A$14:$Q$530,3,FALSE)</f>
        <v>#N/A</v>
      </c>
      <c r="C77" s="197" t="e">
        <f>VLOOKUP("#"&amp;A77,'1&amp;2항차'!$A$14:$Q$530,5,FALSE)</f>
        <v>#N/A</v>
      </c>
      <c r="D77" s="212"/>
      <c r="E77" s="213" t="s">
        <v>1841</v>
      </c>
      <c r="F77" s="198" t="s">
        <v>1867</v>
      </c>
      <c r="G77" s="211"/>
      <c r="H77" s="214" t="s">
        <v>1847</v>
      </c>
      <c r="I77" s="207" t="s">
        <v>241</v>
      </c>
    </row>
    <row r="78" spans="1:9" ht="69.900000000000006" customHeight="1">
      <c r="A78" s="211">
        <v>76</v>
      </c>
      <c r="B78" s="197" t="e">
        <f>VLOOKUP("#"&amp;A78,'1&amp;2항차'!$A$14:$Q$530,3,FALSE)</f>
        <v>#N/A</v>
      </c>
      <c r="C78" s="197" t="e">
        <f>VLOOKUP("#"&amp;A78,'1&amp;2항차'!$A$14:$Q$530,5,FALSE)</f>
        <v>#N/A</v>
      </c>
      <c r="D78" s="212"/>
      <c r="E78" s="213" t="s">
        <v>1841</v>
      </c>
      <c r="F78" s="198" t="s">
        <v>1867</v>
      </c>
      <c r="G78" s="211"/>
      <c r="H78" s="214" t="s">
        <v>1847</v>
      </c>
      <c r="I78" s="207" t="s">
        <v>241</v>
      </c>
    </row>
    <row r="79" spans="1:9" ht="69.900000000000006" customHeight="1">
      <c r="A79" s="211">
        <v>77</v>
      </c>
      <c r="B79" s="197" t="e">
        <f>VLOOKUP("#"&amp;A79,'1&amp;2항차'!$A$14:$Q$530,3,FALSE)</f>
        <v>#N/A</v>
      </c>
      <c r="C79" s="197" t="e">
        <f>VLOOKUP("#"&amp;A79,'1&amp;2항차'!$A$14:$Q$530,5,FALSE)</f>
        <v>#N/A</v>
      </c>
      <c r="D79" s="212"/>
      <c r="E79" s="213" t="s">
        <v>1841</v>
      </c>
      <c r="F79" s="198" t="s">
        <v>1868</v>
      </c>
      <c r="G79" s="211"/>
      <c r="H79" s="214" t="s">
        <v>1847</v>
      </c>
      <c r="I79" s="207" t="s">
        <v>241</v>
      </c>
    </row>
    <row r="80" spans="1:9" ht="69.900000000000006" customHeight="1">
      <c r="A80" s="211">
        <v>78</v>
      </c>
      <c r="B80" s="197" t="e">
        <f>VLOOKUP("#"&amp;A80,'1&amp;2항차'!$A$14:$Q$530,3,FALSE)</f>
        <v>#N/A</v>
      </c>
      <c r="C80" s="197" t="e">
        <f>VLOOKUP("#"&amp;A80,'1&amp;2항차'!$A$14:$Q$530,5,FALSE)</f>
        <v>#N/A</v>
      </c>
      <c r="D80" s="212"/>
      <c r="E80" s="213" t="s">
        <v>1845</v>
      </c>
      <c r="F80" s="198" t="s">
        <v>1869</v>
      </c>
      <c r="G80" s="211"/>
      <c r="H80" s="214" t="s">
        <v>1847</v>
      </c>
      <c r="I80" s="207" t="s">
        <v>241</v>
      </c>
    </row>
    <row r="81" spans="1:9" ht="69.900000000000006" customHeight="1">
      <c r="A81" s="211">
        <v>79</v>
      </c>
      <c r="B81" s="197" t="e">
        <f>VLOOKUP("#"&amp;A81,'1&amp;2항차'!$A$14:$Q$530,3,FALSE)</f>
        <v>#N/A</v>
      </c>
      <c r="C81" s="197" t="e">
        <f>VLOOKUP("#"&amp;A81,'1&amp;2항차'!$A$14:$Q$530,5,FALSE)</f>
        <v>#N/A</v>
      </c>
      <c r="D81" s="212"/>
      <c r="E81" s="213" t="s">
        <v>1845</v>
      </c>
      <c r="F81" s="198" t="s">
        <v>1870</v>
      </c>
      <c r="G81" s="211"/>
      <c r="H81" s="214" t="s">
        <v>1847</v>
      </c>
      <c r="I81" s="207" t="s">
        <v>241</v>
      </c>
    </row>
    <row r="82" spans="1:9" ht="69.900000000000006" customHeight="1">
      <c r="A82" s="211">
        <v>80</v>
      </c>
      <c r="B82" s="197" t="e">
        <f>VLOOKUP("#"&amp;A82,'1&amp;2항차'!$A$14:$Q$530,3,FALSE)</f>
        <v>#N/A</v>
      </c>
      <c r="C82" s="197" t="e">
        <f>VLOOKUP("#"&amp;A82,'1&amp;2항차'!$A$14:$Q$530,5,FALSE)</f>
        <v>#N/A</v>
      </c>
      <c r="D82" s="212"/>
      <c r="E82" s="213" t="s">
        <v>1845</v>
      </c>
      <c r="F82" s="198" t="s">
        <v>1871</v>
      </c>
      <c r="G82" s="211"/>
      <c r="H82" s="214" t="s">
        <v>1847</v>
      </c>
      <c r="I82" s="207" t="s">
        <v>241</v>
      </c>
    </row>
    <row r="83" spans="1:9" ht="69.900000000000006" customHeight="1">
      <c r="A83" s="211">
        <v>81</v>
      </c>
      <c r="B83" s="197" t="e">
        <f>VLOOKUP("#"&amp;A83,'1&amp;2항차'!$A$14:$Q$530,3,FALSE)</f>
        <v>#N/A</v>
      </c>
      <c r="C83" s="197" t="e">
        <f>VLOOKUP("#"&amp;A83,'1&amp;2항차'!$A$14:$Q$530,5,FALSE)</f>
        <v>#N/A</v>
      </c>
      <c r="D83" s="212"/>
      <c r="E83" s="213" t="s">
        <v>1845</v>
      </c>
      <c r="F83" s="198" t="s">
        <v>1872</v>
      </c>
      <c r="G83" s="211"/>
      <c r="H83" s="214" t="s">
        <v>1847</v>
      </c>
      <c r="I83" s="207" t="s">
        <v>241</v>
      </c>
    </row>
    <row r="84" spans="1:9" ht="69.900000000000006" customHeight="1">
      <c r="A84" s="211">
        <v>82</v>
      </c>
      <c r="B84" s="197" t="e">
        <f>VLOOKUP("#"&amp;A84,'1&amp;2항차'!$A$14:$Q$530,3,FALSE)</f>
        <v>#N/A</v>
      </c>
      <c r="C84" s="197" t="e">
        <f>VLOOKUP("#"&amp;A84,'1&amp;2항차'!$A$14:$Q$530,5,FALSE)</f>
        <v>#N/A</v>
      </c>
      <c r="D84" s="212"/>
      <c r="E84" s="213" t="s">
        <v>1845</v>
      </c>
      <c r="F84" s="198" t="s">
        <v>1873</v>
      </c>
      <c r="G84" s="211"/>
      <c r="H84" s="214" t="s">
        <v>1847</v>
      </c>
      <c r="I84" s="207" t="s">
        <v>241</v>
      </c>
    </row>
    <row r="85" spans="1:9" ht="69.900000000000006" customHeight="1">
      <c r="A85" s="211">
        <v>83</v>
      </c>
      <c r="B85" s="197" t="e">
        <f>VLOOKUP("#"&amp;A85,'1&amp;2항차'!$A$14:$Q$530,3,FALSE)</f>
        <v>#N/A</v>
      </c>
      <c r="C85" s="197" t="e">
        <f>VLOOKUP("#"&amp;A85,'1&amp;2항차'!$A$14:$Q$530,5,FALSE)</f>
        <v>#N/A</v>
      </c>
      <c r="D85" s="212"/>
      <c r="E85" s="213" t="s">
        <v>1845</v>
      </c>
      <c r="F85" s="198" t="s">
        <v>1869</v>
      </c>
      <c r="G85" s="211"/>
      <c r="H85" s="214" t="s">
        <v>1847</v>
      </c>
      <c r="I85" s="207" t="s">
        <v>241</v>
      </c>
    </row>
    <row r="86" spans="1:9" ht="69.900000000000006" customHeight="1">
      <c r="A86" s="211">
        <v>84</v>
      </c>
      <c r="B86" s="197" t="e">
        <f>VLOOKUP("#"&amp;A86,'1&amp;2항차'!$A$14:$Q$530,3,FALSE)</f>
        <v>#N/A</v>
      </c>
      <c r="C86" s="197" t="e">
        <f>VLOOKUP("#"&amp;A86,'1&amp;2항차'!$A$14:$Q$530,5,FALSE)</f>
        <v>#N/A</v>
      </c>
      <c r="D86" s="212"/>
      <c r="E86" s="213" t="s">
        <v>1841</v>
      </c>
      <c r="F86" s="198" t="s">
        <v>1874</v>
      </c>
      <c r="G86" s="211"/>
      <c r="H86" s="214" t="s">
        <v>1847</v>
      </c>
      <c r="I86" s="207" t="s">
        <v>241</v>
      </c>
    </row>
    <row r="87" spans="1:9" ht="69.900000000000006" customHeight="1">
      <c r="A87" s="211">
        <v>85</v>
      </c>
      <c r="B87" s="197" t="e">
        <f>VLOOKUP("#"&amp;A87,'1&amp;2항차'!$A$14:$Q$530,3,FALSE)</f>
        <v>#N/A</v>
      </c>
      <c r="C87" s="197" t="e">
        <f>VLOOKUP("#"&amp;A87,'1&amp;2항차'!$A$14:$Q$530,5,FALSE)</f>
        <v>#N/A</v>
      </c>
      <c r="D87" s="212"/>
      <c r="E87" s="213" t="s">
        <v>1841</v>
      </c>
      <c r="F87" s="198" t="s">
        <v>1874</v>
      </c>
      <c r="G87" s="211"/>
      <c r="H87" s="214" t="s">
        <v>1847</v>
      </c>
      <c r="I87" s="207" t="s">
        <v>241</v>
      </c>
    </row>
    <row r="88" spans="1:9" ht="69.900000000000006" customHeight="1">
      <c r="A88" s="211">
        <v>86</v>
      </c>
      <c r="B88" s="197" t="e">
        <f>VLOOKUP("#"&amp;A88,'1&amp;2항차'!$A$14:$Q$530,3,FALSE)</f>
        <v>#N/A</v>
      </c>
      <c r="C88" s="197" t="e">
        <f>VLOOKUP("#"&amp;A88,'1&amp;2항차'!$A$14:$Q$530,5,FALSE)</f>
        <v>#N/A</v>
      </c>
      <c r="D88" s="212"/>
      <c r="E88" s="213" t="s">
        <v>1878</v>
      </c>
      <c r="F88" s="198" t="s">
        <v>1876</v>
      </c>
      <c r="G88" s="211"/>
      <c r="H88" s="214" t="s">
        <v>1877</v>
      </c>
      <c r="I88" s="207" t="s">
        <v>241</v>
      </c>
    </row>
    <row r="89" spans="1:9" ht="69.900000000000006" customHeight="1">
      <c r="A89" s="211">
        <v>87</v>
      </c>
      <c r="B89" s="197" t="e">
        <f>VLOOKUP("#"&amp;A89,'1&amp;2항차'!$A$14:$Q$530,3,FALSE)</f>
        <v>#N/A</v>
      </c>
      <c r="C89" s="197" t="e">
        <f>VLOOKUP("#"&amp;A89,'1&amp;2항차'!$A$14:$Q$530,5,FALSE)</f>
        <v>#N/A</v>
      </c>
      <c r="D89" s="212"/>
      <c r="E89" s="213" t="s">
        <v>1879</v>
      </c>
      <c r="F89" s="198" t="s">
        <v>1880</v>
      </c>
      <c r="G89" s="211"/>
      <c r="H89" s="214" t="s">
        <v>1881</v>
      </c>
      <c r="I89" s="207" t="s">
        <v>241</v>
      </c>
    </row>
    <row r="90" spans="1:9" ht="69.900000000000006" customHeight="1">
      <c r="A90" s="211">
        <v>88</v>
      </c>
      <c r="B90" s="197" t="e">
        <f>VLOOKUP("#"&amp;A90,'1&amp;2항차'!$A$14:$Q$530,3,FALSE)</f>
        <v>#N/A</v>
      </c>
      <c r="C90" s="197" t="e">
        <f>VLOOKUP("#"&amp;A90,'1&amp;2항차'!$A$14:$Q$530,5,FALSE)</f>
        <v>#N/A</v>
      </c>
      <c r="D90" s="212"/>
      <c r="E90" s="213" t="s">
        <v>1879</v>
      </c>
      <c r="F90" s="198" t="s">
        <v>1880</v>
      </c>
      <c r="G90" s="211"/>
      <c r="H90" s="214" t="s">
        <v>1881</v>
      </c>
      <c r="I90" s="207" t="s">
        <v>241</v>
      </c>
    </row>
    <row r="91" spans="1:9" ht="69.900000000000006" customHeight="1">
      <c r="A91" s="211">
        <v>89</v>
      </c>
      <c r="B91" s="197" t="e">
        <f>VLOOKUP("#"&amp;A91,'1&amp;2항차'!$A$14:$Q$530,3,FALSE)</f>
        <v>#N/A</v>
      </c>
      <c r="C91" s="197" t="e">
        <f>VLOOKUP("#"&amp;A91,'1&amp;2항차'!$A$14:$Q$530,5,FALSE)</f>
        <v>#N/A</v>
      </c>
      <c r="D91" s="212"/>
      <c r="E91" s="213" t="s">
        <v>1879</v>
      </c>
      <c r="F91" s="198" t="s">
        <v>1880</v>
      </c>
      <c r="G91" s="211"/>
      <c r="H91" s="214" t="s">
        <v>1881</v>
      </c>
      <c r="I91" s="207" t="s">
        <v>241</v>
      </c>
    </row>
    <row r="92" spans="1:9" ht="69.900000000000006" customHeight="1">
      <c r="A92" s="211">
        <v>90</v>
      </c>
      <c r="B92" s="197" t="e">
        <f>VLOOKUP("#"&amp;A92,'1&amp;2항차'!$A$14:$Q$530,3,FALSE)</f>
        <v>#N/A</v>
      </c>
      <c r="C92" s="197" t="e">
        <f>VLOOKUP("#"&amp;A92,'1&amp;2항차'!$A$14:$Q$530,5,FALSE)</f>
        <v>#N/A</v>
      </c>
      <c r="D92" s="212"/>
      <c r="E92" s="213" t="s">
        <v>1879</v>
      </c>
      <c r="F92" s="198" t="s">
        <v>1880</v>
      </c>
      <c r="G92" s="211"/>
      <c r="H92" s="214" t="s">
        <v>1881</v>
      </c>
      <c r="I92" s="207" t="s">
        <v>241</v>
      </c>
    </row>
    <row r="93" spans="1:9" ht="69.900000000000006" customHeight="1">
      <c r="A93" s="211">
        <v>91</v>
      </c>
      <c r="B93" s="197" t="e">
        <f>VLOOKUP("#"&amp;A93,'1&amp;2항차'!$A$14:$Q$530,3,FALSE)</f>
        <v>#N/A</v>
      </c>
      <c r="C93" s="197" t="e">
        <f>VLOOKUP("#"&amp;A93,'1&amp;2항차'!$A$14:$Q$530,5,FALSE)</f>
        <v>#N/A</v>
      </c>
      <c r="D93" s="212"/>
      <c r="E93" s="213" t="s">
        <v>1879</v>
      </c>
      <c r="F93" s="198" t="s">
        <v>1880</v>
      </c>
      <c r="G93" s="211"/>
      <c r="H93" s="214" t="s">
        <v>1881</v>
      </c>
      <c r="I93" s="207" t="s">
        <v>241</v>
      </c>
    </row>
    <row r="94" spans="1:9" ht="69.900000000000006" customHeight="1">
      <c r="A94" s="211">
        <v>92</v>
      </c>
      <c r="B94" s="197" t="e">
        <f>VLOOKUP("#"&amp;A94,'1&amp;2항차'!$A$14:$Q$530,3,FALSE)</f>
        <v>#N/A</v>
      </c>
      <c r="C94" s="197" t="e">
        <f>VLOOKUP("#"&amp;A94,'1&amp;2항차'!$A$14:$Q$530,5,FALSE)</f>
        <v>#N/A</v>
      </c>
      <c r="D94" s="212"/>
      <c r="E94" s="213" t="s">
        <v>1879</v>
      </c>
      <c r="F94" s="198" t="s">
        <v>1880</v>
      </c>
      <c r="G94" s="211"/>
      <c r="H94" s="214" t="s">
        <v>1881</v>
      </c>
      <c r="I94" s="207" t="s">
        <v>241</v>
      </c>
    </row>
    <row r="95" spans="1:9" ht="69.900000000000006" customHeight="1">
      <c r="A95" s="211">
        <v>93</v>
      </c>
      <c r="B95" s="197" t="e">
        <f>VLOOKUP("#"&amp;A95,'1&amp;2항차'!$A$14:$Q$530,3,FALSE)</f>
        <v>#N/A</v>
      </c>
      <c r="C95" s="197" t="e">
        <f>VLOOKUP("#"&amp;A95,'1&amp;2항차'!$A$14:$Q$530,5,FALSE)</f>
        <v>#N/A</v>
      </c>
      <c r="D95" s="212"/>
      <c r="E95" s="213" t="s">
        <v>1879</v>
      </c>
      <c r="F95" s="198" t="s">
        <v>1880</v>
      </c>
      <c r="G95" s="211"/>
      <c r="H95" s="214" t="s">
        <v>1881</v>
      </c>
      <c r="I95" s="207" t="s">
        <v>241</v>
      </c>
    </row>
    <row r="96" spans="1:9" ht="69.900000000000006" customHeight="1">
      <c r="A96" s="211">
        <v>94</v>
      </c>
      <c r="B96" s="197" t="e">
        <f>VLOOKUP("#"&amp;A96,'1&amp;2항차'!$A$14:$Q$530,3,FALSE)</f>
        <v>#N/A</v>
      </c>
      <c r="C96" s="197" t="e">
        <f>VLOOKUP("#"&amp;A96,'1&amp;2항차'!$A$14:$Q$530,5,FALSE)</f>
        <v>#N/A</v>
      </c>
      <c r="D96" s="212"/>
      <c r="E96" s="213" t="s">
        <v>1879</v>
      </c>
      <c r="F96" s="198" t="s">
        <v>1880</v>
      </c>
      <c r="G96" s="211"/>
      <c r="H96" s="214" t="s">
        <v>1881</v>
      </c>
      <c r="I96" s="207" t="s">
        <v>241</v>
      </c>
    </row>
    <row r="97" spans="1:9" ht="69.900000000000006" customHeight="1">
      <c r="A97" s="211">
        <v>95</v>
      </c>
      <c r="B97" s="197" t="e">
        <f>VLOOKUP("#"&amp;A97,'1&amp;2항차'!$A$14:$Q$530,3,FALSE)</f>
        <v>#N/A</v>
      </c>
      <c r="C97" s="197" t="e">
        <f>VLOOKUP("#"&amp;A97,'1&amp;2항차'!$A$14:$Q$530,5,FALSE)</f>
        <v>#N/A</v>
      </c>
      <c r="D97" s="212"/>
      <c r="E97" s="213" t="s">
        <v>1879</v>
      </c>
      <c r="F97" s="198" t="s">
        <v>1880</v>
      </c>
      <c r="G97" s="211"/>
      <c r="H97" s="214" t="s">
        <v>1881</v>
      </c>
      <c r="I97" s="207" t="s">
        <v>241</v>
      </c>
    </row>
    <row r="98" spans="1:9" ht="69.900000000000006" customHeight="1">
      <c r="A98" s="211">
        <v>96</v>
      </c>
      <c r="B98" s="197" t="e">
        <f>VLOOKUP("#"&amp;A98,'1&amp;2항차'!$A$14:$Q$530,3,FALSE)</f>
        <v>#N/A</v>
      </c>
      <c r="C98" s="197" t="e">
        <f>VLOOKUP("#"&amp;A98,'1&amp;2항차'!$A$14:$Q$530,5,FALSE)</f>
        <v>#N/A</v>
      </c>
      <c r="D98" s="212"/>
      <c r="E98" s="213" t="s">
        <v>1879</v>
      </c>
      <c r="F98" s="198" t="s">
        <v>1880</v>
      </c>
      <c r="G98" s="211"/>
      <c r="H98" s="214" t="s">
        <v>1881</v>
      </c>
      <c r="I98" s="207" t="s">
        <v>241</v>
      </c>
    </row>
    <row r="99" spans="1:9" ht="69.900000000000006" customHeight="1">
      <c r="A99" s="211">
        <v>97</v>
      </c>
      <c r="B99" s="197" t="e">
        <f>VLOOKUP("#"&amp;A99,'1&amp;2항차'!$A$14:$Q$530,3,FALSE)</f>
        <v>#N/A</v>
      </c>
      <c r="C99" s="197" t="e">
        <f>VLOOKUP("#"&amp;A99,'1&amp;2항차'!$A$14:$Q$530,5,FALSE)</f>
        <v>#N/A</v>
      </c>
      <c r="D99" s="212"/>
      <c r="E99" s="213" t="s">
        <v>1879</v>
      </c>
      <c r="F99" s="198" t="s">
        <v>1880</v>
      </c>
      <c r="G99" s="211"/>
      <c r="H99" s="214" t="s">
        <v>1881</v>
      </c>
      <c r="I99" s="207" t="s">
        <v>241</v>
      </c>
    </row>
    <row r="100" spans="1:9" ht="69.900000000000006" customHeight="1">
      <c r="A100" s="211">
        <v>98</v>
      </c>
      <c r="B100" s="197" t="e">
        <f>VLOOKUP("#"&amp;A100,'1&amp;2항차'!$A$14:$Q$530,3,FALSE)</f>
        <v>#N/A</v>
      </c>
      <c r="C100" s="197" t="e">
        <f>VLOOKUP("#"&amp;A100,'1&amp;2항차'!$A$14:$Q$530,5,FALSE)</f>
        <v>#N/A</v>
      </c>
      <c r="D100" s="212"/>
      <c r="E100" s="213" t="s">
        <v>1879</v>
      </c>
      <c r="F100" s="198" t="s">
        <v>1880</v>
      </c>
      <c r="G100" s="211"/>
      <c r="H100" s="214" t="s">
        <v>1881</v>
      </c>
      <c r="I100" s="207" t="s">
        <v>241</v>
      </c>
    </row>
    <row r="101" spans="1:9" ht="69.900000000000006" customHeight="1">
      <c r="A101" s="211">
        <v>99</v>
      </c>
      <c r="B101" s="197" t="e">
        <f>VLOOKUP("#"&amp;A101,'1&amp;2항차'!$A$14:$Q$530,3,FALSE)</f>
        <v>#N/A</v>
      </c>
      <c r="C101" s="197" t="e">
        <f>VLOOKUP("#"&amp;A101,'1&amp;2항차'!$A$14:$Q$530,5,FALSE)</f>
        <v>#N/A</v>
      </c>
      <c r="D101" s="212"/>
      <c r="E101" s="213" t="s">
        <v>1879</v>
      </c>
      <c r="F101" s="198" t="s">
        <v>1880</v>
      </c>
      <c r="G101" s="211"/>
      <c r="H101" s="214" t="s">
        <v>1881</v>
      </c>
      <c r="I101" s="207" t="s">
        <v>241</v>
      </c>
    </row>
    <row r="102" spans="1:9" ht="69.900000000000006" customHeight="1">
      <c r="A102" s="211">
        <v>100</v>
      </c>
      <c r="B102" s="197" t="str">
        <f>VLOOKUP("#"&amp;A102,'1&amp;2항차'!$A$14:$Q$530,3,FALSE)</f>
        <v>BOLT,NUT,WASHER FOR STRUCTURE ASS'Y(BLOCK #1)</v>
      </c>
      <c r="C102" s="197">
        <f>VLOOKUP("#"&amp;A102,'1&amp;2항차'!$A$14:$Q$530,5,FALSE)</f>
        <v>12828</v>
      </c>
      <c r="D102" s="212"/>
      <c r="E102" s="213" t="s">
        <v>1879</v>
      </c>
      <c r="F102" s="198" t="s">
        <v>1880</v>
      </c>
      <c r="G102" s="211"/>
      <c r="H102" s="214" t="s">
        <v>1881</v>
      </c>
      <c r="I102" s="207" t="s">
        <v>241</v>
      </c>
    </row>
    <row r="103" spans="1:9" ht="69.900000000000006" customHeight="1">
      <c r="A103" s="211">
        <v>101</v>
      </c>
      <c r="B103" s="197" t="str">
        <f>VLOOKUP("#"&amp;A103,'1&amp;2항차'!$A$14:$Q$530,3,FALSE)</f>
        <v>BOLT,NUT,WASHER FOR STRUCTURE ASS'Y(BLOCK #2)</v>
      </c>
      <c r="C103" s="197">
        <f>VLOOKUP("#"&amp;A103,'1&amp;2항차'!$A$14:$Q$530,5,FALSE)</f>
        <v>12828</v>
      </c>
      <c r="D103" s="212"/>
      <c r="E103" s="213" t="s">
        <v>1879</v>
      </c>
      <c r="F103" s="198" t="s">
        <v>1880</v>
      </c>
      <c r="G103" s="211"/>
      <c r="H103" s="214" t="s">
        <v>1881</v>
      </c>
      <c r="I103" s="207" t="s">
        <v>241</v>
      </c>
    </row>
    <row r="104" spans="1:9" ht="69.900000000000006" customHeight="1">
      <c r="A104" s="211">
        <v>102</v>
      </c>
      <c r="B104" s="197" t="str">
        <f>VLOOKUP("#"&amp;A104,'1&amp;2항차'!$A$14:$Q$530,3,FALSE)</f>
        <v>SPARE PART(COMMISSIONING)</v>
      </c>
      <c r="C104" s="197">
        <f>VLOOKUP("#"&amp;A104,'1&amp;2항차'!$A$14:$Q$530,5,FALSE)</f>
        <v>2975</v>
      </c>
      <c r="D104" s="212"/>
      <c r="E104" s="213" t="s">
        <v>1879</v>
      </c>
      <c r="F104" s="198" t="s">
        <v>1880</v>
      </c>
      <c r="G104" s="211"/>
      <c r="H104" s="214" t="s">
        <v>1881</v>
      </c>
      <c r="I104" s="207" t="s">
        <v>241</v>
      </c>
    </row>
    <row r="105" spans="1:9" ht="69.900000000000006" customHeight="1">
      <c r="A105" s="211">
        <v>103</v>
      </c>
      <c r="B105" s="197" t="str">
        <f>VLOOKUP("#"&amp;A105,'1&amp;2항차'!$A$14:$Q$530,3,FALSE)</f>
        <v>SPARE PART(COMMISSIONING)</v>
      </c>
      <c r="C105" s="197">
        <f>VLOOKUP("#"&amp;A105,'1&amp;2항차'!$A$14:$Q$530,5,FALSE)</f>
        <v>154</v>
      </c>
      <c r="D105" s="212"/>
      <c r="E105" s="213" t="s">
        <v>1879</v>
      </c>
      <c r="F105" s="198" t="s">
        <v>1880</v>
      </c>
      <c r="G105" s="211"/>
      <c r="H105" s="214" t="s">
        <v>1881</v>
      </c>
      <c r="I105" s="207" t="s">
        <v>241</v>
      </c>
    </row>
    <row r="106" spans="1:9" ht="69.900000000000006" customHeight="1">
      <c r="A106" s="211">
        <v>104</v>
      </c>
      <c r="B106" s="197" t="str">
        <f>VLOOKUP("#"&amp;A106,'1&amp;2항차'!$A$14:$Q$530,3,FALSE)</f>
        <v>SPECIAL TOOL</v>
      </c>
      <c r="C106" s="197">
        <f>VLOOKUP("#"&amp;A106,'1&amp;2항차'!$A$14:$Q$530,5,FALSE)</f>
        <v>1</v>
      </c>
      <c r="D106" s="212"/>
      <c r="E106" s="213" t="s">
        <v>1879</v>
      </c>
      <c r="F106" s="198" t="s">
        <v>1880</v>
      </c>
      <c r="G106" s="211"/>
      <c r="H106" s="214" t="s">
        <v>1881</v>
      </c>
      <c r="I106" s="207" t="s">
        <v>241</v>
      </c>
    </row>
    <row r="107" spans="1:9" ht="69.900000000000006" customHeight="1">
      <c r="A107" s="211">
        <v>105</v>
      </c>
      <c r="B107" s="197" t="e">
        <f>VLOOKUP("#"&amp;A107,'1&amp;2항차'!$A$14:$Q$530,3,FALSE)</f>
        <v>#N/A</v>
      </c>
      <c r="C107" s="197" t="e">
        <f>VLOOKUP("#"&amp;A107,'1&amp;2항차'!$A$14:$Q$530,5,FALSE)</f>
        <v>#N/A</v>
      </c>
      <c r="D107" s="212"/>
      <c r="E107" s="213" t="s">
        <v>1879</v>
      </c>
      <c r="F107" s="198" t="s">
        <v>1880</v>
      </c>
      <c r="G107" s="211"/>
      <c r="H107" s="214" t="s">
        <v>1881</v>
      </c>
      <c r="I107" s="207" t="s">
        <v>241</v>
      </c>
    </row>
    <row r="108" spans="1:9" ht="69.900000000000006" customHeight="1">
      <c r="A108" s="211">
        <v>106</v>
      </c>
      <c r="B108" s="197" t="e">
        <f>VLOOKUP("#"&amp;A108,'1&amp;2항차'!$A$14:$Q$530,3,FALSE)</f>
        <v>#N/A</v>
      </c>
      <c r="C108" s="197" t="e">
        <f>VLOOKUP("#"&amp;A108,'1&amp;2항차'!$A$14:$Q$530,5,FALSE)</f>
        <v>#N/A</v>
      </c>
      <c r="D108" s="212"/>
      <c r="E108" s="213" t="s">
        <v>1879</v>
      </c>
      <c r="F108" s="198" t="s">
        <v>1880</v>
      </c>
      <c r="G108" s="211"/>
      <c r="H108" s="214" t="s">
        <v>1881</v>
      </c>
      <c r="I108" s="207" t="s">
        <v>241</v>
      </c>
    </row>
    <row r="109" spans="1:9" ht="69.900000000000006" customHeight="1">
      <c r="A109" s="211">
        <v>107</v>
      </c>
      <c r="B109" s="197" t="e">
        <f>VLOOKUP("#"&amp;A109,'1&amp;2항차'!$A$14:$Q$530,3,FALSE)</f>
        <v>#N/A</v>
      </c>
      <c r="C109" s="197" t="e">
        <f>VLOOKUP("#"&amp;A109,'1&amp;2항차'!$A$14:$Q$530,5,FALSE)</f>
        <v>#N/A</v>
      </c>
      <c r="D109" s="212"/>
      <c r="E109" s="213" t="s">
        <v>1879</v>
      </c>
      <c r="F109" s="198" t="s">
        <v>1880</v>
      </c>
      <c r="G109" s="211"/>
      <c r="H109" s="214" t="s">
        <v>1881</v>
      </c>
      <c r="I109" s="207" t="s">
        <v>241</v>
      </c>
    </row>
    <row r="110" spans="1:9" ht="69.900000000000006" customHeight="1">
      <c r="A110" s="211">
        <v>108</v>
      </c>
      <c r="B110" s="197" t="e">
        <f>VLOOKUP("#"&amp;A110,'1&amp;2항차'!$A$14:$Q$530,3,FALSE)</f>
        <v>#N/A</v>
      </c>
      <c r="C110" s="197" t="e">
        <f>VLOOKUP("#"&amp;A110,'1&amp;2항차'!$A$14:$Q$530,5,FALSE)</f>
        <v>#N/A</v>
      </c>
      <c r="D110" s="212"/>
      <c r="E110" s="213" t="s">
        <v>1879</v>
      </c>
      <c r="F110" s="198" t="s">
        <v>1880</v>
      </c>
      <c r="G110" s="211"/>
      <c r="H110" s="214" t="s">
        <v>1881</v>
      </c>
      <c r="I110" s="207" t="s">
        <v>241</v>
      </c>
    </row>
    <row r="111" spans="1:9" ht="69.900000000000006" customHeight="1">
      <c r="A111" s="211">
        <v>109</v>
      </c>
      <c r="B111" s="197" t="e">
        <f>VLOOKUP("#"&amp;A111,'1&amp;2항차'!$A$14:$Q$530,3,FALSE)</f>
        <v>#N/A</v>
      </c>
      <c r="C111" s="197" t="e">
        <f>VLOOKUP("#"&amp;A111,'1&amp;2항차'!$A$14:$Q$530,5,FALSE)</f>
        <v>#N/A</v>
      </c>
      <c r="D111" s="212"/>
      <c r="E111" s="213" t="s">
        <v>1879</v>
      </c>
      <c r="F111" s="198" t="s">
        <v>1880</v>
      </c>
      <c r="G111" s="211"/>
      <c r="H111" s="214" t="s">
        <v>1881</v>
      </c>
      <c r="I111" s="207" t="s">
        <v>241</v>
      </c>
    </row>
    <row r="112" spans="1:9" ht="69.900000000000006" customHeight="1">
      <c r="A112" s="211">
        <v>110</v>
      </c>
      <c r="B112" s="197" t="e">
        <f>VLOOKUP("#"&amp;A112,'1&amp;2항차'!$A$14:$Q$530,3,FALSE)</f>
        <v>#N/A</v>
      </c>
      <c r="C112" s="197" t="e">
        <f>VLOOKUP("#"&amp;A112,'1&amp;2항차'!$A$14:$Q$530,5,FALSE)</f>
        <v>#N/A</v>
      </c>
      <c r="D112" s="212"/>
      <c r="E112" s="213" t="s">
        <v>1879</v>
      </c>
      <c r="F112" s="198" t="s">
        <v>1880</v>
      </c>
      <c r="G112" s="211"/>
      <c r="H112" s="214" t="s">
        <v>1881</v>
      </c>
      <c r="I112" s="207" t="s">
        <v>241</v>
      </c>
    </row>
    <row r="113" spans="1:9" ht="69.900000000000006" customHeight="1">
      <c r="A113" s="211">
        <v>111</v>
      </c>
      <c r="B113" s="197" t="e">
        <f>VLOOKUP("#"&amp;A113,'1&amp;2항차'!$A$14:$Q$530,3,FALSE)</f>
        <v>#N/A</v>
      </c>
      <c r="C113" s="197" t="e">
        <f>VLOOKUP("#"&amp;A113,'1&amp;2항차'!$A$14:$Q$530,5,FALSE)</f>
        <v>#N/A</v>
      </c>
      <c r="D113" s="212"/>
      <c r="E113" s="213" t="s">
        <v>1882</v>
      </c>
      <c r="F113" s="198" t="s">
        <v>1882</v>
      </c>
      <c r="G113" s="211"/>
      <c r="H113" s="214" t="s">
        <v>1882</v>
      </c>
      <c r="I113" s="207" t="s">
        <v>241</v>
      </c>
    </row>
    <row r="114" spans="1:9" ht="69.900000000000006" customHeight="1">
      <c r="A114" s="211">
        <v>112</v>
      </c>
      <c r="B114" s="197" t="e">
        <f>VLOOKUP("#"&amp;A114,'1&amp;2항차'!$A$14:$Q$530,3,FALSE)</f>
        <v>#N/A</v>
      </c>
      <c r="C114" s="197" t="e">
        <f>VLOOKUP("#"&amp;A114,'1&amp;2항차'!$A$14:$Q$530,5,FALSE)</f>
        <v>#N/A</v>
      </c>
      <c r="D114" s="212"/>
      <c r="E114" s="213" t="s">
        <v>1882</v>
      </c>
      <c r="F114" s="198" t="s">
        <v>1882</v>
      </c>
      <c r="G114" s="211"/>
      <c r="H114" s="214" t="s">
        <v>1882</v>
      </c>
      <c r="I114" s="207" t="s">
        <v>241</v>
      </c>
    </row>
    <row r="115" spans="1:9" ht="69.75" customHeight="1">
      <c r="A115" s="266">
        <v>113</v>
      </c>
      <c r="B115" s="197" t="e">
        <f>VLOOKUP("#"&amp;A115,'1&amp;2항차'!$A$14:$Q$530,3,FALSE)</f>
        <v>#N/A</v>
      </c>
      <c r="C115" s="197" t="e">
        <f>VLOOKUP("#"&amp;A115,'1&amp;2항차'!$A$14:$Q$530,5,FALSE)</f>
        <v>#N/A</v>
      </c>
      <c r="D115" s="212"/>
      <c r="E115" s="213" t="s">
        <v>1882</v>
      </c>
      <c r="F115" s="198" t="s">
        <v>1882</v>
      </c>
      <c r="G115" s="211"/>
      <c r="H115" s="214" t="s">
        <v>1882</v>
      </c>
      <c r="I115" s="207" t="s">
        <v>241</v>
      </c>
    </row>
    <row r="116" spans="1:9" ht="69.75" customHeight="1">
      <c r="A116" s="266">
        <v>114</v>
      </c>
      <c r="B116" s="197" t="e">
        <f>VLOOKUP("#"&amp;A116,'1&amp;2항차'!$A$14:$Q$530,3,FALSE)</f>
        <v>#N/A</v>
      </c>
      <c r="C116" s="197" t="e">
        <f>VLOOKUP("#"&amp;A116,'1&amp;2항차'!$A$14:$Q$530,5,FALSE)</f>
        <v>#N/A</v>
      </c>
      <c r="D116" s="212"/>
      <c r="E116" s="213" t="s">
        <v>1882</v>
      </c>
      <c r="F116" s="198" t="s">
        <v>1882</v>
      </c>
      <c r="G116" s="211"/>
      <c r="H116" s="214" t="s">
        <v>1882</v>
      </c>
      <c r="I116" s="207" t="s">
        <v>241</v>
      </c>
    </row>
    <row r="119" spans="1:9">
      <c r="B119" s="180"/>
    </row>
  </sheetData>
  <protectedRanges>
    <protectedRange sqref="F3:F116" name="범위1_1"/>
    <protectedRange sqref="B3:C116" name="범위1_1_1"/>
    <protectedRange sqref="I3:I116" name="범위1_1_2"/>
  </protectedRanges>
  <phoneticPr fontId="3" type="noConversion"/>
  <pageMargins left="0.31496062992125984" right="0.31496062992125984" top="0.74803149606299213" bottom="0.74803149606299213" header="0.31496062992125984" footer="0.31496062992125984"/>
  <pageSetup paperSize="9" scale="67" orientation="landscape" r:id="rId1"/>
  <headerFooter>
    <oddFooter xml:space="preserve">&amp;R_x000D_&amp;1#&amp;"Aptos"&amp;8&amp;K000000 중요비(Confidential): sanghwan.bae@doosan.com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479"/>
  <sheetViews>
    <sheetView showGridLines="0" view="pageBreakPreview" topLeftCell="A1905" zoomScale="40" zoomScaleNormal="100" zoomScaleSheetLayoutView="40" workbookViewId="0">
      <selection activeCell="W2036" sqref="W2036"/>
    </sheetView>
  </sheetViews>
  <sheetFormatPr defaultColWidth="9" defaultRowHeight="21"/>
  <cols>
    <col min="1" max="1" width="12.59765625" style="123" customWidth="1"/>
    <col min="2" max="2" width="9" style="123"/>
    <col min="3" max="3" width="14.09765625" style="123" customWidth="1"/>
    <col min="4" max="4" width="1.8984375" style="123" customWidth="1"/>
    <col min="5" max="5" width="9" style="123"/>
    <col min="6" max="6" width="2.3984375" style="124" customWidth="1"/>
    <col min="7" max="7" width="16.8984375" style="124" customWidth="1"/>
    <col min="8" max="8" width="9" style="124" customWidth="1"/>
    <col min="9" max="9" width="12.09765625" style="124" bestFit="1" customWidth="1"/>
    <col min="10" max="10" width="9" style="124" customWidth="1"/>
    <col min="11" max="11" width="14.5" style="124" bestFit="1" customWidth="1"/>
    <col min="12" max="13" width="9" style="124"/>
    <col min="14" max="14" width="59.19921875" style="124" customWidth="1"/>
    <col min="15" max="15" width="3.59765625" style="2" customWidth="1"/>
    <col min="16" max="16384" width="9" style="2"/>
  </cols>
  <sheetData>
    <row r="1" spans="1:16" ht="95.25" customHeight="1" thickBot="1">
      <c r="A1" s="592" t="s">
        <v>1883</v>
      </c>
      <c r="B1" s="593"/>
      <c r="C1" s="593"/>
      <c r="D1" s="593"/>
      <c r="E1" s="593"/>
      <c r="F1" s="593"/>
      <c r="G1" s="593"/>
      <c r="H1" s="593"/>
      <c r="I1" s="593"/>
      <c r="J1" s="593"/>
      <c r="K1" s="593"/>
      <c r="L1" s="593"/>
      <c r="M1" s="593"/>
      <c r="N1" s="594"/>
      <c r="P1" s="3"/>
    </row>
    <row r="2" spans="1:16" s="3" customFormat="1" ht="37.5" customHeight="1">
      <c r="A2" s="134" t="s">
        <v>1884</v>
      </c>
      <c r="B2" s="166"/>
      <c r="C2" s="166"/>
      <c r="D2" s="123"/>
      <c r="E2" s="123"/>
      <c r="F2" s="167" t="s">
        <v>1885</v>
      </c>
      <c r="G2" s="167" t="s">
        <v>1886</v>
      </c>
      <c r="H2" s="167"/>
      <c r="I2" s="167"/>
      <c r="J2" s="167"/>
      <c r="K2" s="167"/>
      <c r="L2" s="167"/>
      <c r="M2" s="167"/>
      <c r="N2" s="152"/>
      <c r="O2" s="201"/>
    </row>
    <row r="3" spans="1:16" s="4" customFormat="1" ht="25.2">
      <c r="A3" s="125" t="s">
        <v>1887</v>
      </c>
      <c r="B3" s="123"/>
      <c r="C3" s="123"/>
      <c r="D3" s="123"/>
      <c r="E3" s="123"/>
      <c r="F3" s="167"/>
      <c r="G3" s="167" t="s">
        <v>1888</v>
      </c>
      <c r="H3" s="167"/>
      <c r="I3" s="167"/>
      <c r="J3" s="167"/>
      <c r="K3" s="167"/>
      <c r="L3" s="167"/>
      <c r="M3" s="167"/>
      <c r="N3" s="152"/>
      <c r="P3" s="3"/>
    </row>
    <row r="4" spans="1:16" s="3" customFormat="1" ht="9.9" customHeight="1">
      <c r="A4" s="125"/>
      <c r="B4" s="123"/>
      <c r="C4" s="123"/>
      <c r="D4" s="123"/>
      <c r="E4" s="123"/>
      <c r="F4" s="167"/>
      <c r="G4" s="123"/>
      <c r="H4" s="123"/>
      <c r="I4" s="123"/>
      <c r="J4" s="123"/>
      <c r="K4" s="123"/>
      <c r="L4" s="123"/>
      <c r="M4" s="123"/>
      <c r="N4" s="126"/>
    </row>
    <row r="5" spans="1:16" s="3" customFormat="1" ht="42.75" customHeight="1">
      <c r="A5" s="125" t="s">
        <v>1889</v>
      </c>
      <c r="B5" s="123"/>
      <c r="C5" s="123"/>
      <c r="D5" s="123"/>
      <c r="E5" s="123"/>
      <c r="F5" s="167" t="s">
        <v>1885</v>
      </c>
      <c r="G5" s="167" t="str">
        <f>PL!$B$13</f>
        <v>Branch of JSC "Doosan Enerbility" in the Turkestan region</v>
      </c>
      <c r="H5" s="123"/>
      <c r="I5" s="123"/>
      <c r="J5" s="123"/>
      <c r="K5" s="123"/>
      <c r="L5" s="123"/>
      <c r="M5" s="123"/>
      <c r="N5" s="126"/>
    </row>
    <row r="6" spans="1:16" s="3" customFormat="1" ht="24" customHeight="1">
      <c r="A6" s="125" t="s">
        <v>1890</v>
      </c>
      <c r="B6" s="123"/>
      <c r="C6" s="123"/>
      <c r="D6" s="123"/>
      <c r="E6" s="123"/>
      <c r="F6" s="168"/>
      <c r="G6" s="167" t="str">
        <f>PL!$B$14</f>
        <v>321 Tauke Khan Avenue, Turkestan region, Turkestan, Kazakhstan, 161200</v>
      </c>
      <c r="H6" s="123"/>
      <c r="I6" s="123"/>
      <c r="J6" s="123"/>
      <c r="K6" s="123"/>
      <c r="L6" s="123"/>
      <c r="M6" s="123"/>
      <c r="N6" s="126"/>
    </row>
    <row r="7" spans="1:16" s="4" customFormat="1" ht="25.2">
      <c r="A7" s="125"/>
      <c r="B7" s="123"/>
      <c r="C7" s="123"/>
      <c r="D7" s="123"/>
      <c r="E7" s="123"/>
      <c r="F7" s="168"/>
      <c r="G7" s="167" t="str">
        <f>PL!$B$15</f>
        <v>BIN: 230741006561</v>
      </c>
      <c r="H7" s="123"/>
      <c r="I7" s="123"/>
      <c r="J7" s="123"/>
      <c r="K7" s="123"/>
      <c r="L7" s="123"/>
      <c r="M7" s="123"/>
      <c r="N7" s="126"/>
      <c r="P7" s="3"/>
    </row>
    <row r="8" spans="1:16" s="3" customFormat="1" ht="9.9" customHeight="1">
      <c r="A8" s="125"/>
      <c r="B8" s="123"/>
      <c r="C8" s="123"/>
      <c r="D8" s="123"/>
      <c r="E8" s="123"/>
      <c r="F8" s="169"/>
      <c r="G8" s="169"/>
      <c r="H8" s="123"/>
      <c r="I8" s="123"/>
      <c r="J8" s="123"/>
      <c r="K8" s="123"/>
      <c r="L8" s="123"/>
      <c r="M8" s="123"/>
      <c r="N8" s="126"/>
    </row>
    <row r="9" spans="1:16" s="3" customFormat="1" ht="25.2">
      <c r="A9" s="125" t="s">
        <v>1891</v>
      </c>
      <c r="B9" s="123"/>
      <c r="C9" s="123"/>
      <c r="D9" s="123"/>
      <c r="E9" s="123"/>
      <c r="F9" s="167" t="s">
        <v>1892</v>
      </c>
      <c r="G9" s="123"/>
      <c r="H9" s="123"/>
      <c r="I9" s="123"/>
      <c r="J9" s="123"/>
      <c r="K9" s="123"/>
      <c r="L9" s="123"/>
      <c r="M9" s="123"/>
      <c r="N9" s="126"/>
    </row>
    <row r="10" spans="1:16" s="4" customFormat="1" ht="25.2">
      <c r="A10" s="125" t="s">
        <v>1893</v>
      </c>
      <c r="B10" s="123"/>
      <c r="C10" s="123"/>
      <c r="D10" s="123"/>
      <c r="E10" s="123"/>
      <c r="F10" s="167" t="s">
        <v>1894</v>
      </c>
      <c r="G10" s="123"/>
      <c r="H10" s="123"/>
      <c r="I10" s="123"/>
      <c r="J10" s="123"/>
      <c r="K10" s="123"/>
      <c r="L10" s="123"/>
      <c r="M10" s="123"/>
      <c r="N10" s="126"/>
      <c r="P10" s="3"/>
    </row>
    <row r="11" spans="1:16" s="3" customFormat="1" ht="9.9" customHeight="1">
      <c r="A11" s="125"/>
      <c r="B11" s="123"/>
      <c r="C11" s="123"/>
      <c r="D11" s="123"/>
      <c r="E11" s="123"/>
      <c r="F11" s="167"/>
      <c r="G11" s="123"/>
      <c r="H11" s="123"/>
      <c r="I11" s="123"/>
      <c r="J11" s="123"/>
      <c r="K11" s="123"/>
      <c r="L11" s="123"/>
      <c r="M11" s="123"/>
      <c r="N11" s="126"/>
    </row>
    <row r="12" spans="1:16" s="3" customFormat="1" ht="25.2">
      <c r="A12" s="125" t="s">
        <v>1895</v>
      </c>
      <c r="B12" s="123"/>
      <c r="C12" s="123"/>
      <c r="D12" s="123"/>
      <c r="E12" s="123"/>
      <c r="F12" s="167" t="s">
        <v>1896</v>
      </c>
      <c r="G12" s="167" t="str">
        <f>PL!$V$8</f>
        <v>PGU-DE-0139-001</v>
      </c>
      <c r="H12" s="123"/>
      <c r="I12" s="123"/>
      <c r="J12" s="123"/>
      <c r="K12" s="123"/>
      <c r="L12" s="123"/>
      <c r="M12" s="123"/>
      <c r="N12" s="126"/>
    </row>
    <row r="13" spans="1:16" s="3" customFormat="1" ht="25.2">
      <c r="A13" s="125" t="s">
        <v>1897</v>
      </c>
      <c r="B13" s="123"/>
      <c r="C13" s="123"/>
      <c r="D13" s="123"/>
      <c r="E13" s="123"/>
      <c r="F13" s="167"/>
      <c r="G13" s="123"/>
      <c r="H13" s="123"/>
      <c r="I13" s="123"/>
      <c r="J13" s="123"/>
      <c r="K13" s="123"/>
      <c r="L13" s="123"/>
      <c r="M13" s="123"/>
      <c r="N13" s="126"/>
    </row>
    <row r="14" spans="1:16" s="3" customFormat="1" ht="9.9" customHeight="1">
      <c r="A14" s="125"/>
      <c r="B14" s="123"/>
      <c r="C14" s="123"/>
      <c r="D14" s="123"/>
      <c r="E14" s="123"/>
      <c r="F14" s="167"/>
      <c r="G14" s="123"/>
      <c r="H14" s="123"/>
      <c r="I14" s="123"/>
      <c r="J14" s="123"/>
      <c r="K14" s="123"/>
      <c r="L14" s="123"/>
      <c r="M14" s="123"/>
      <c r="N14" s="126"/>
    </row>
    <row r="15" spans="1:16" s="3" customFormat="1" ht="31.2" customHeight="1">
      <c r="A15" s="127" t="s">
        <v>1898</v>
      </c>
      <c r="B15" s="170"/>
      <c r="C15" s="170"/>
      <c r="D15" s="170"/>
      <c r="E15" s="170"/>
      <c r="F15" s="171" t="s">
        <v>1885</v>
      </c>
      <c r="G15" s="597" t="e">
        <f>VLOOKUP(G18, 'Detail PL'!$B$14:$Q$799,2)</f>
        <v>#N/A</v>
      </c>
      <c r="H15" s="597"/>
      <c r="I15" s="597"/>
      <c r="J15" s="597"/>
      <c r="K15" s="597"/>
      <c r="L15" s="597"/>
      <c r="M15" s="597"/>
      <c r="N15" s="128"/>
    </row>
    <row r="16" spans="1:16" s="3" customFormat="1" ht="25.2">
      <c r="A16" s="127" t="s">
        <v>1899</v>
      </c>
      <c r="B16" s="170"/>
      <c r="C16" s="170"/>
      <c r="D16" s="170"/>
      <c r="E16" s="170"/>
      <c r="F16" s="171"/>
      <c r="G16" s="170"/>
      <c r="H16" s="170"/>
      <c r="I16" s="170"/>
      <c r="J16" s="170"/>
      <c r="K16" s="170"/>
      <c r="L16" s="170"/>
      <c r="M16" s="170"/>
      <c r="N16" s="128"/>
    </row>
    <row r="17" spans="1:20" s="3" customFormat="1" ht="9.9" customHeight="1">
      <c r="A17" s="125"/>
      <c r="B17" s="123"/>
      <c r="C17" s="123"/>
      <c r="D17" s="123"/>
      <c r="E17" s="123"/>
      <c r="F17" s="167"/>
      <c r="G17" s="123"/>
      <c r="H17" s="123"/>
      <c r="I17" s="123"/>
      <c r="J17" s="123"/>
      <c r="K17" s="123"/>
      <c r="L17" s="123"/>
      <c r="M17" s="123"/>
      <c r="N17" s="126"/>
    </row>
    <row r="18" spans="1:20" s="3" customFormat="1" ht="25.2">
      <c r="A18" s="125" t="s">
        <v>1900</v>
      </c>
      <c r="B18" s="123"/>
      <c r="C18" s="123"/>
      <c r="D18" s="123"/>
      <c r="E18" s="123"/>
      <c r="F18" s="171" t="s">
        <v>1901</v>
      </c>
      <c r="G18" s="604">
        <v>1</v>
      </c>
      <c r="H18" s="604"/>
      <c r="I18" s="604"/>
      <c r="J18" s="604"/>
      <c r="K18" s="604"/>
      <c r="L18" s="123"/>
      <c r="M18" s="123"/>
      <c r="N18" s="126"/>
      <c r="P18" s="267" t="s">
        <v>1902</v>
      </c>
      <c r="S18" s="268"/>
      <c r="T18" s="268"/>
    </row>
    <row r="19" spans="1:20" s="4" customFormat="1" ht="25.2">
      <c r="A19" s="125" t="s">
        <v>1903</v>
      </c>
      <c r="B19" s="123"/>
      <c r="C19" s="123"/>
      <c r="D19" s="123"/>
      <c r="E19" s="123"/>
      <c r="F19" s="167"/>
      <c r="G19" s="167"/>
      <c r="H19" s="123"/>
      <c r="I19" s="123"/>
      <c r="J19" s="123"/>
      <c r="K19" s="123"/>
      <c r="L19" s="123"/>
      <c r="M19" s="123"/>
      <c r="N19" s="126"/>
      <c r="P19" s="3"/>
    </row>
    <row r="20" spans="1:20" s="3" customFormat="1" ht="9.9" customHeight="1">
      <c r="A20" s="125"/>
      <c r="B20" s="123"/>
      <c r="C20" s="123"/>
      <c r="D20" s="123"/>
      <c r="E20" s="123"/>
      <c r="F20" s="167"/>
      <c r="G20" s="167"/>
      <c r="H20" s="123"/>
      <c r="I20" s="123"/>
      <c r="J20" s="123"/>
      <c r="K20" s="123"/>
      <c r="L20" s="123"/>
      <c r="M20" s="123"/>
      <c r="N20" s="126"/>
    </row>
    <row r="21" spans="1:20" s="3" customFormat="1" ht="25.2">
      <c r="A21" s="125" t="s">
        <v>1904</v>
      </c>
      <c r="B21" s="123"/>
      <c r="C21" s="123"/>
      <c r="D21" s="123"/>
      <c r="E21" s="123"/>
      <c r="F21" s="167" t="s">
        <v>1896</v>
      </c>
      <c r="G21" s="204" t="e">
        <f>VLOOKUP(G18, 'Detail PL'!$B$14:$Q$799, 10)</f>
        <v>#N/A</v>
      </c>
      <c r="H21" s="204" t="s">
        <v>1905</v>
      </c>
      <c r="I21" s="204"/>
      <c r="J21" s="204"/>
      <c r="K21" s="123"/>
      <c r="L21" s="123"/>
      <c r="M21" s="123"/>
      <c r="N21" s="126"/>
    </row>
    <row r="22" spans="1:20" s="4" customFormat="1" ht="25.2">
      <c r="A22" s="125" t="s">
        <v>1906</v>
      </c>
      <c r="B22" s="123"/>
      <c r="C22" s="123"/>
      <c r="D22" s="123"/>
      <c r="E22" s="123"/>
      <c r="F22" s="167"/>
      <c r="G22" s="167"/>
      <c r="H22" s="167"/>
      <c r="I22" s="123"/>
      <c r="J22" s="123"/>
      <c r="K22" s="123"/>
      <c r="L22" s="123"/>
      <c r="M22" s="123"/>
      <c r="N22" s="126"/>
      <c r="P22" s="3"/>
    </row>
    <row r="23" spans="1:20" s="3" customFormat="1" ht="9.9" customHeight="1">
      <c r="A23" s="125"/>
      <c r="B23" s="123"/>
      <c r="C23" s="123"/>
      <c r="D23" s="123"/>
      <c r="E23" s="123"/>
      <c r="F23" s="167"/>
      <c r="G23" s="167"/>
      <c r="H23" s="167"/>
      <c r="I23" s="123"/>
      <c r="J23" s="123"/>
      <c r="K23" s="123"/>
      <c r="L23" s="123"/>
      <c r="M23" s="123"/>
      <c r="N23" s="126"/>
    </row>
    <row r="24" spans="1:20" s="3" customFormat="1" ht="25.2">
      <c r="A24" s="125" t="s">
        <v>1907</v>
      </c>
      <c r="B24" s="123"/>
      <c r="C24" s="123"/>
      <c r="D24" s="123"/>
      <c r="E24" s="123"/>
      <c r="F24" s="167" t="s">
        <v>1896</v>
      </c>
      <c r="G24" s="204" t="e">
        <f>VLOOKUP(G18, 'Detail PL'!$B$14:$Q$799, 11)</f>
        <v>#N/A</v>
      </c>
      <c r="H24" s="204" t="s">
        <v>1905</v>
      </c>
      <c r="I24" s="204"/>
      <c r="J24" s="204"/>
      <c r="K24" s="123"/>
      <c r="L24" s="123"/>
      <c r="M24" s="123"/>
      <c r="N24" s="126"/>
    </row>
    <row r="25" spans="1:20" s="4" customFormat="1" ht="25.2">
      <c r="A25" s="125" t="s">
        <v>1908</v>
      </c>
      <c r="B25" s="123"/>
      <c r="C25" s="123"/>
      <c r="D25" s="123"/>
      <c r="E25" s="123"/>
      <c r="F25" s="167"/>
      <c r="G25" s="167"/>
      <c r="H25" s="123"/>
      <c r="I25" s="123"/>
      <c r="J25" s="123"/>
      <c r="K25" s="123"/>
      <c r="L25" s="123"/>
      <c r="M25" s="123"/>
      <c r="N25" s="126"/>
      <c r="P25" s="3"/>
    </row>
    <row r="26" spans="1:20" s="3" customFormat="1" ht="9.9" customHeight="1">
      <c r="A26" s="125"/>
      <c r="B26" s="123"/>
      <c r="C26" s="123"/>
      <c r="D26" s="123"/>
      <c r="E26" s="123"/>
      <c r="F26" s="167"/>
      <c r="G26" s="167"/>
      <c r="H26" s="123"/>
      <c r="I26" s="123"/>
      <c r="J26" s="123"/>
      <c r="K26" s="123"/>
      <c r="L26" s="123"/>
      <c r="M26" s="123"/>
      <c r="N26" s="126"/>
    </row>
    <row r="27" spans="1:20" s="3" customFormat="1" ht="25.2">
      <c r="A27" s="129" t="s">
        <v>1909</v>
      </c>
      <c r="B27" s="123"/>
      <c r="C27" s="123"/>
      <c r="D27" s="123"/>
      <c r="E27" s="123"/>
      <c r="F27" s="167" t="s">
        <v>1896</v>
      </c>
      <c r="G27" s="204" t="e">
        <f>VLOOKUP(G18, 'Detail PL'!$B$14:$Q$799, 9)</f>
        <v>#N/A</v>
      </c>
      <c r="H27" s="205" t="s">
        <v>1910</v>
      </c>
      <c r="I27" s="203"/>
      <c r="J27" s="203"/>
      <c r="K27" s="172"/>
      <c r="L27" s="123"/>
      <c r="M27" s="123"/>
      <c r="N27" s="126"/>
    </row>
    <row r="28" spans="1:20" s="4" customFormat="1" ht="25.2">
      <c r="A28" s="125" t="s">
        <v>1911</v>
      </c>
      <c r="B28" s="123"/>
      <c r="C28" s="123"/>
      <c r="D28" s="123"/>
      <c r="E28" s="123"/>
      <c r="F28" s="167"/>
      <c r="G28" s="167"/>
      <c r="H28" s="123"/>
      <c r="I28" s="123"/>
      <c r="J28" s="123"/>
      <c r="K28" s="123"/>
      <c r="L28" s="123"/>
      <c r="M28" s="123"/>
      <c r="N28" s="126"/>
      <c r="P28" s="3"/>
    </row>
    <row r="29" spans="1:20" s="3" customFormat="1" ht="9.9" customHeight="1">
      <c r="A29" s="125"/>
      <c r="B29" s="123"/>
      <c r="C29" s="123"/>
      <c r="D29" s="123"/>
      <c r="E29" s="123"/>
      <c r="F29" s="167"/>
      <c r="G29" s="167"/>
      <c r="H29" s="123"/>
      <c r="I29" s="123"/>
      <c r="J29" s="123"/>
      <c r="K29" s="123"/>
      <c r="L29" s="123"/>
      <c r="M29" s="123"/>
      <c r="N29" s="126"/>
    </row>
    <row r="30" spans="1:20" s="3" customFormat="1" ht="42">
      <c r="A30" s="125" t="s">
        <v>1912</v>
      </c>
      <c r="B30" s="123"/>
      <c r="C30" s="123"/>
      <c r="D30" s="123"/>
      <c r="E30" s="123"/>
      <c r="F30" s="166" t="s">
        <v>1913</v>
      </c>
      <c r="G30" s="595" t="s">
        <v>1914</v>
      </c>
      <c r="H30" s="595"/>
      <c r="I30" s="595"/>
      <c r="J30" s="595"/>
      <c r="K30" s="595"/>
      <c r="L30" s="595"/>
      <c r="M30" s="595"/>
      <c r="N30" s="596"/>
    </row>
    <row r="31" spans="1:20" s="4" customFormat="1" ht="25.8" thickBot="1">
      <c r="A31" s="125" t="s">
        <v>1915</v>
      </c>
      <c r="B31" s="123"/>
      <c r="C31" s="123"/>
      <c r="D31" s="123"/>
      <c r="E31" s="123"/>
      <c r="F31" s="167"/>
      <c r="G31" s="167"/>
      <c r="H31" s="123"/>
      <c r="I31" s="123"/>
      <c r="J31" s="123"/>
      <c r="K31" s="123"/>
      <c r="L31" s="123"/>
      <c r="M31" s="123"/>
      <c r="N31" s="126"/>
      <c r="P31" s="3"/>
    </row>
    <row r="32" spans="1:20" ht="21" customHeight="1">
      <c r="A32" s="598" t="s">
        <v>1916</v>
      </c>
      <c r="B32" s="599"/>
      <c r="C32" s="599"/>
      <c r="D32" s="599"/>
      <c r="E32" s="599"/>
      <c r="F32" s="599"/>
      <c r="G32" s="599"/>
      <c r="H32" s="599"/>
      <c r="I32" s="599"/>
      <c r="J32" s="599"/>
      <c r="K32" s="599"/>
      <c r="L32" s="599"/>
      <c r="M32" s="599"/>
      <c r="N32" s="600"/>
      <c r="P32" s="3"/>
    </row>
    <row r="33" spans="1:16" ht="25.5" customHeight="1" thickBot="1">
      <c r="A33" s="601"/>
      <c r="B33" s="602"/>
      <c r="C33" s="602"/>
      <c r="D33" s="602"/>
      <c r="E33" s="602"/>
      <c r="F33" s="602"/>
      <c r="G33" s="602"/>
      <c r="H33" s="602"/>
      <c r="I33" s="602"/>
      <c r="J33" s="602"/>
      <c r="K33" s="602"/>
      <c r="L33" s="602"/>
      <c r="M33" s="602"/>
      <c r="N33" s="603"/>
      <c r="P33" s="3"/>
    </row>
    <row r="34" spans="1:16" ht="25.5" customHeight="1">
      <c r="E34" s="206"/>
      <c r="F34" s="206"/>
      <c r="G34" s="206"/>
      <c r="H34" s="206"/>
      <c r="I34" s="206"/>
      <c r="J34" s="206"/>
      <c r="K34" s="206"/>
      <c r="P34" s="3"/>
    </row>
    <row r="35" spans="1:16" ht="21.75" customHeight="1" thickBot="1">
      <c r="P35" s="3"/>
    </row>
    <row r="36" spans="1:16" ht="95.25" customHeight="1" thickBot="1">
      <c r="A36" s="592" t="s">
        <v>1883</v>
      </c>
      <c r="B36" s="593"/>
      <c r="C36" s="593"/>
      <c r="D36" s="593"/>
      <c r="E36" s="593"/>
      <c r="F36" s="593"/>
      <c r="G36" s="593"/>
      <c r="H36" s="593"/>
      <c r="I36" s="593"/>
      <c r="J36" s="593"/>
      <c r="K36" s="593"/>
      <c r="L36" s="593"/>
      <c r="M36" s="593"/>
      <c r="N36" s="594"/>
    </row>
    <row r="37" spans="1:16" s="3" customFormat="1" ht="37.5" customHeight="1">
      <c r="A37" s="134" t="s">
        <v>1884</v>
      </c>
      <c r="B37" s="166"/>
      <c r="C37" s="166"/>
      <c r="D37" s="123"/>
      <c r="E37" s="123"/>
      <c r="F37" s="167" t="s">
        <v>1885</v>
      </c>
      <c r="G37" s="167" t="s">
        <v>1886</v>
      </c>
      <c r="H37" s="167"/>
      <c r="I37" s="167"/>
      <c r="J37" s="167"/>
      <c r="K37" s="167"/>
      <c r="L37" s="167"/>
      <c r="M37" s="167"/>
      <c r="N37" s="152"/>
      <c r="O37" s="201"/>
    </row>
    <row r="38" spans="1:16" s="4" customFormat="1" ht="25.2">
      <c r="A38" s="125" t="s">
        <v>1887</v>
      </c>
      <c r="B38" s="123"/>
      <c r="C38" s="123"/>
      <c r="D38" s="123"/>
      <c r="E38" s="123"/>
      <c r="F38" s="167"/>
      <c r="G38" s="167" t="s">
        <v>1888</v>
      </c>
      <c r="H38" s="167"/>
      <c r="I38" s="167"/>
      <c r="J38" s="167"/>
      <c r="K38" s="167"/>
      <c r="L38" s="167"/>
      <c r="M38" s="167"/>
      <c r="N38" s="152"/>
    </row>
    <row r="39" spans="1:16" s="3" customFormat="1" ht="9.9" customHeight="1">
      <c r="A39" s="125"/>
      <c r="B39" s="123"/>
      <c r="C39" s="123"/>
      <c r="D39" s="123"/>
      <c r="E39" s="123"/>
      <c r="F39" s="167"/>
      <c r="G39" s="123"/>
      <c r="H39" s="123"/>
      <c r="I39" s="123"/>
      <c r="J39" s="123"/>
      <c r="K39" s="123"/>
      <c r="L39" s="123"/>
      <c r="M39" s="123"/>
      <c r="N39" s="126"/>
    </row>
    <row r="40" spans="1:16" s="3" customFormat="1" ht="42.75" customHeight="1">
      <c r="A40" s="125" t="s">
        <v>1889</v>
      </c>
      <c r="B40" s="123"/>
      <c r="C40" s="123"/>
      <c r="D40" s="123"/>
      <c r="E40" s="123"/>
      <c r="F40" s="167" t="s">
        <v>1885</v>
      </c>
      <c r="G40" s="167" t="str">
        <f>PL!$B$13</f>
        <v>Branch of JSC "Doosan Enerbility" in the Turkestan region</v>
      </c>
      <c r="H40" s="123"/>
      <c r="I40" s="123"/>
      <c r="J40" s="123"/>
      <c r="K40" s="123"/>
      <c r="L40" s="123"/>
      <c r="M40" s="123"/>
      <c r="N40" s="126"/>
    </row>
    <row r="41" spans="1:16" s="3" customFormat="1" ht="24" customHeight="1">
      <c r="A41" s="125" t="s">
        <v>1890</v>
      </c>
      <c r="B41" s="123"/>
      <c r="C41" s="123"/>
      <c r="D41" s="123"/>
      <c r="E41" s="123"/>
      <c r="F41" s="168"/>
      <c r="G41" s="167" t="str">
        <f>PL!$B$14</f>
        <v>321 Tauke Khan Avenue, Turkestan region, Turkestan, Kazakhstan, 161200</v>
      </c>
      <c r="H41" s="123"/>
      <c r="I41" s="123"/>
      <c r="J41" s="123"/>
      <c r="K41" s="123"/>
      <c r="L41" s="123"/>
      <c r="M41" s="123"/>
      <c r="N41" s="126"/>
    </row>
    <row r="42" spans="1:16" s="4" customFormat="1" ht="25.2">
      <c r="A42" s="125"/>
      <c r="B42" s="123"/>
      <c r="C42" s="123"/>
      <c r="D42" s="123"/>
      <c r="E42" s="123"/>
      <c r="F42" s="168"/>
      <c r="G42" s="167" t="str">
        <f>PL!$B$15</f>
        <v>BIN: 230741006561</v>
      </c>
      <c r="H42" s="123"/>
      <c r="I42" s="123"/>
      <c r="J42" s="123"/>
      <c r="K42" s="123"/>
      <c r="L42" s="123"/>
      <c r="M42" s="123"/>
      <c r="N42" s="126"/>
    </row>
    <row r="43" spans="1:16" s="3" customFormat="1" ht="9.9" customHeight="1">
      <c r="A43" s="125"/>
      <c r="B43" s="123"/>
      <c r="C43" s="123"/>
      <c r="D43" s="123"/>
      <c r="E43" s="123"/>
      <c r="F43" s="169"/>
      <c r="G43" s="169"/>
      <c r="H43" s="123"/>
      <c r="I43" s="123"/>
      <c r="J43" s="123"/>
      <c r="K43" s="123"/>
      <c r="L43" s="123"/>
      <c r="M43" s="123"/>
      <c r="N43" s="126"/>
    </row>
    <row r="44" spans="1:16" s="3" customFormat="1" ht="25.2">
      <c r="A44" s="125" t="s">
        <v>1891</v>
      </c>
      <c r="B44" s="123"/>
      <c r="C44" s="123"/>
      <c r="D44" s="123"/>
      <c r="E44" s="123"/>
      <c r="F44" s="167" t="s">
        <v>1892</v>
      </c>
      <c r="G44" s="123"/>
      <c r="H44" s="123"/>
      <c r="I44" s="123"/>
      <c r="J44" s="123"/>
      <c r="K44" s="123"/>
      <c r="L44" s="123"/>
      <c r="M44" s="123"/>
      <c r="N44" s="126"/>
    </row>
    <row r="45" spans="1:16" s="4" customFormat="1" ht="25.2">
      <c r="A45" s="125" t="s">
        <v>1893</v>
      </c>
      <c r="B45" s="123"/>
      <c r="C45" s="123"/>
      <c r="D45" s="123"/>
      <c r="E45" s="123"/>
      <c r="F45" s="167" t="s">
        <v>1894</v>
      </c>
      <c r="G45" s="123"/>
      <c r="H45" s="123"/>
      <c r="I45" s="123"/>
      <c r="J45" s="123"/>
      <c r="K45" s="123"/>
      <c r="L45" s="123"/>
      <c r="M45" s="123"/>
      <c r="N45" s="126"/>
    </row>
    <row r="46" spans="1:16" s="3" customFormat="1" ht="9.9" customHeight="1">
      <c r="A46" s="125"/>
      <c r="B46" s="123"/>
      <c r="C46" s="123"/>
      <c r="D46" s="123"/>
      <c r="E46" s="123"/>
      <c r="F46" s="167"/>
      <c r="G46" s="123"/>
      <c r="H46" s="123"/>
      <c r="I46" s="123"/>
      <c r="J46" s="123"/>
      <c r="K46" s="123"/>
      <c r="L46" s="123"/>
      <c r="M46" s="123"/>
      <c r="N46" s="126"/>
    </row>
    <row r="47" spans="1:16" s="3" customFormat="1" ht="25.2">
      <c r="A47" s="125" t="s">
        <v>1895</v>
      </c>
      <c r="B47" s="123"/>
      <c r="C47" s="123"/>
      <c r="D47" s="123"/>
      <c r="E47" s="123"/>
      <c r="F47" s="167" t="s">
        <v>1896</v>
      </c>
      <c r="G47" s="167" t="str">
        <f>PL!$V$8</f>
        <v>PGU-DE-0139-001</v>
      </c>
      <c r="H47" s="123"/>
      <c r="I47" s="123"/>
      <c r="J47" s="123"/>
      <c r="K47" s="123"/>
      <c r="L47" s="123"/>
      <c r="M47" s="123"/>
      <c r="N47" s="126"/>
    </row>
    <row r="48" spans="1:16" s="3" customFormat="1" ht="25.2">
      <c r="A48" s="125" t="s">
        <v>1897</v>
      </c>
      <c r="B48" s="123"/>
      <c r="C48" s="123"/>
      <c r="D48" s="123"/>
      <c r="E48" s="123"/>
      <c r="F48" s="167"/>
      <c r="G48" s="123"/>
      <c r="H48" s="123"/>
      <c r="I48" s="123"/>
      <c r="J48" s="123"/>
      <c r="K48" s="123"/>
      <c r="L48" s="123"/>
      <c r="M48" s="123"/>
      <c r="N48" s="126"/>
    </row>
    <row r="49" spans="1:14" s="3" customFormat="1" ht="9.9" customHeight="1">
      <c r="A49" s="125"/>
      <c r="B49" s="123"/>
      <c r="C49" s="123"/>
      <c r="D49" s="123"/>
      <c r="E49" s="123"/>
      <c r="F49" s="167"/>
      <c r="G49" s="123"/>
      <c r="H49" s="123"/>
      <c r="I49" s="123"/>
      <c r="J49" s="123"/>
      <c r="K49" s="123"/>
      <c r="L49" s="123"/>
      <c r="M49" s="123"/>
      <c r="N49" s="126"/>
    </row>
    <row r="50" spans="1:14" s="3" customFormat="1" ht="31.2" customHeight="1">
      <c r="A50" s="127" t="s">
        <v>1898</v>
      </c>
      <c r="B50" s="170"/>
      <c r="C50" s="170"/>
      <c r="D50" s="170"/>
      <c r="E50" s="170"/>
      <c r="F50" s="171" t="s">
        <v>1885</v>
      </c>
      <c r="G50" s="597" t="e">
        <f>VLOOKUP(G53, 'Detail PL'!$B$14:$Q$799,2)</f>
        <v>#N/A</v>
      </c>
      <c r="H50" s="597"/>
      <c r="I50" s="597"/>
      <c r="J50" s="597"/>
      <c r="K50" s="597"/>
      <c r="L50" s="597"/>
      <c r="M50" s="597"/>
      <c r="N50" s="128"/>
    </row>
    <row r="51" spans="1:14" s="3" customFormat="1" ht="25.2">
      <c r="A51" s="127" t="s">
        <v>1899</v>
      </c>
      <c r="B51" s="170"/>
      <c r="C51" s="170"/>
      <c r="D51" s="170"/>
      <c r="E51" s="170"/>
      <c r="F51" s="171"/>
      <c r="G51" s="170"/>
      <c r="H51" s="170"/>
      <c r="I51" s="170"/>
      <c r="J51" s="170"/>
      <c r="K51" s="170"/>
      <c r="L51" s="170"/>
      <c r="M51" s="170"/>
      <c r="N51" s="128"/>
    </row>
    <row r="52" spans="1:14" s="3" customFormat="1" ht="9.9" customHeight="1">
      <c r="A52" s="125"/>
      <c r="B52" s="123"/>
      <c r="C52" s="123"/>
      <c r="D52" s="123"/>
      <c r="E52" s="123"/>
      <c r="F52" s="167"/>
      <c r="G52" s="123"/>
      <c r="H52" s="123"/>
      <c r="I52" s="123"/>
      <c r="J52" s="123"/>
      <c r="K52" s="123"/>
      <c r="L52" s="123"/>
      <c r="M52" s="123"/>
      <c r="N52" s="126"/>
    </row>
    <row r="53" spans="1:14" s="3" customFormat="1" ht="25.2">
      <c r="A53" s="125" t="s">
        <v>1900</v>
      </c>
      <c r="B53" s="123"/>
      <c r="C53" s="123"/>
      <c r="D53" s="123"/>
      <c r="E53" s="123"/>
      <c r="F53" s="171" t="s">
        <v>1901</v>
      </c>
      <c r="G53" s="604">
        <f>G18+1</f>
        <v>2</v>
      </c>
      <c r="H53" s="604"/>
      <c r="I53" s="604"/>
      <c r="J53" s="604"/>
      <c r="K53" s="604"/>
      <c r="L53" s="123"/>
      <c r="M53" s="123"/>
      <c r="N53" s="126"/>
    </row>
    <row r="54" spans="1:14" s="4" customFormat="1" ht="25.2">
      <c r="A54" s="125" t="s">
        <v>1903</v>
      </c>
      <c r="B54" s="123"/>
      <c r="C54" s="123"/>
      <c r="D54" s="123"/>
      <c r="E54" s="123"/>
      <c r="F54" s="167"/>
      <c r="G54" s="167"/>
      <c r="H54" s="123"/>
      <c r="I54" s="123"/>
      <c r="J54" s="123"/>
      <c r="K54" s="123"/>
      <c r="L54" s="123"/>
      <c r="M54" s="123"/>
      <c r="N54" s="126"/>
    </row>
    <row r="55" spans="1:14" s="3" customFormat="1" ht="9.9" customHeight="1">
      <c r="A55" s="125"/>
      <c r="B55" s="123"/>
      <c r="C55" s="123"/>
      <c r="D55" s="123"/>
      <c r="E55" s="123"/>
      <c r="F55" s="167"/>
      <c r="G55" s="167"/>
      <c r="H55" s="123"/>
      <c r="I55" s="123"/>
      <c r="J55" s="123"/>
      <c r="K55" s="123"/>
      <c r="L55" s="123"/>
      <c r="M55" s="123"/>
      <c r="N55" s="126"/>
    </row>
    <row r="56" spans="1:14" s="3" customFormat="1" ht="25.2">
      <c r="A56" s="125" t="s">
        <v>1904</v>
      </c>
      <c r="B56" s="123"/>
      <c r="C56" s="123"/>
      <c r="D56" s="123"/>
      <c r="E56" s="123"/>
      <c r="F56" s="167" t="s">
        <v>1896</v>
      </c>
      <c r="G56" s="204" t="e">
        <f>VLOOKUP(G53, 'Detail PL'!$B$14:$Q$799, 10)</f>
        <v>#N/A</v>
      </c>
      <c r="H56" s="204" t="s">
        <v>1905</v>
      </c>
      <c r="I56" s="204"/>
      <c r="J56" s="204"/>
      <c r="K56" s="123"/>
      <c r="L56" s="123"/>
      <c r="M56" s="123"/>
      <c r="N56" s="126"/>
    </row>
    <row r="57" spans="1:14" s="4" customFormat="1" ht="25.2">
      <c r="A57" s="125" t="s">
        <v>1906</v>
      </c>
      <c r="B57" s="123"/>
      <c r="C57" s="123"/>
      <c r="D57" s="123"/>
      <c r="E57" s="123"/>
      <c r="F57" s="167"/>
      <c r="G57" s="167"/>
      <c r="H57" s="167"/>
      <c r="I57" s="123"/>
      <c r="J57" s="123"/>
      <c r="K57" s="123"/>
      <c r="L57" s="123"/>
      <c r="M57" s="123"/>
      <c r="N57" s="126"/>
    </row>
    <row r="58" spans="1:14" s="3" customFormat="1" ht="9.9" customHeight="1">
      <c r="A58" s="125"/>
      <c r="B58" s="123"/>
      <c r="C58" s="123"/>
      <c r="D58" s="123"/>
      <c r="E58" s="123"/>
      <c r="F58" s="167"/>
      <c r="G58" s="167"/>
      <c r="H58" s="167"/>
      <c r="I58" s="123"/>
      <c r="J58" s="123"/>
      <c r="K58" s="123"/>
      <c r="L58" s="123"/>
      <c r="M58" s="123"/>
      <c r="N58" s="126"/>
    </row>
    <row r="59" spans="1:14" s="3" customFormat="1" ht="25.2">
      <c r="A59" s="125" t="s">
        <v>1907</v>
      </c>
      <c r="B59" s="123"/>
      <c r="C59" s="123"/>
      <c r="D59" s="123"/>
      <c r="E59" s="123"/>
      <c r="F59" s="167" t="s">
        <v>1896</v>
      </c>
      <c r="G59" s="204" t="e">
        <f>VLOOKUP(G53, 'Detail PL'!$B$14:$Q$799, 11)</f>
        <v>#N/A</v>
      </c>
      <c r="H59" s="204" t="s">
        <v>1905</v>
      </c>
      <c r="I59" s="204"/>
      <c r="J59" s="204"/>
      <c r="K59" s="123"/>
      <c r="L59" s="123"/>
      <c r="M59" s="123"/>
      <c r="N59" s="126"/>
    </row>
    <row r="60" spans="1:14" s="4" customFormat="1" ht="25.2">
      <c r="A60" s="125" t="s">
        <v>1908</v>
      </c>
      <c r="B60" s="123"/>
      <c r="C60" s="123"/>
      <c r="D60" s="123"/>
      <c r="E60" s="123"/>
      <c r="F60" s="167"/>
      <c r="G60" s="167"/>
      <c r="H60" s="123"/>
      <c r="I60" s="123"/>
      <c r="J60" s="123"/>
      <c r="K60" s="123"/>
      <c r="L60" s="123"/>
      <c r="M60" s="123"/>
      <c r="N60" s="126"/>
    </row>
    <row r="61" spans="1:14" s="3" customFormat="1" ht="9.9" customHeight="1">
      <c r="A61" s="125"/>
      <c r="B61" s="123"/>
      <c r="C61" s="123"/>
      <c r="D61" s="123"/>
      <c r="E61" s="123"/>
      <c r="F61" s="167"/>
      <c r="G61" s="167"/>
      <c r="H61" s="123"/>
      <c r="I61" s="123"/>
      <c r="J61" s="123"/>
      <c r="K61" s="123"/>
      <c r="L61" s="123"/>
      <c r="M61" s="123"/>
      <c r="N61" s="126"/>
    </row>
    <row r="62" spans="1:14" s="3" customFormat="1" ht="25.2">
      <c r="A62" s="129" t="s">
        <v>1909</v>
      </c>
      <c r="B62" s="123"/>
      <c r="C62" s="123"/>
      <c r="D62" s="123"/>
      <c r="E62" s="123"/>
      <c r="F62" s="167" t="s">
        <v>1896</v>
      </c>
      <c r="G62" s="204" t="e">
        <f>VLOOKUP(G53, 'Detail PL'!$B$14:$Q$799, 9)</f>
        <v>#N/A</v>
      </c>
      <c r="H62" s="205" t="s">
        <v>1910</v>
      </c>
      <c r="I62" s="203"/>
      <c r="J62" s="203"/>
      <c r="K62" s="172"/>
      <c r="L62" s="123"/>
      <c r="M62" s="123"/>
      <c r="N62" s="126"/>
    </row>
    <row r="63" spans="1:14" s="4" customFormat="1" ht="25.2">
      <c r="A63" s="125" t="s">
        <v>1911</v>
      </c>
      <c r="B63" s="123"/>
      <c r="C63" s="123"/>
      <c r="D63" s="123"/>
      <c r="E63" s="123"/>
      <c r="F63" s="167"/>
      <c r="G63" s="167"/>
      <c r="H63" s="123"/>
      <c r="I63" s="123"/>
      <c r="J63" s="123"/>
      <c r="K63" s="123"/>
      <c r="L63" s="123"/>
      <c r="M63" s="123"/>
      <c r="N63" s="126"/>
    </row>
    <row r="64" spans="1:14" s="3" customFormat="1" ht="9.9" customHeight="1">
      <c r="A64" s="125"/>
      <c r="B64" s="123"/>
      <c r="C64" s="123"/>
      <c r="D64" s="123"/>
      <c r="E64" s="123"/>
      <c r="F64" s="167"/>
      <c r="G64" s="167"/>
      <c r="H64" s="123"/>
      <c r="I64" s="123"/>
      <c r="J64" s="123"/>
      <c r="K64" s="123"/>
      <c r="L64" s="123"/>
      <c r="M64" s="123"/>
      <c r="N64" s="126"/>
    </row>
    <row r="65" spans="1:15" s="3" customFormat="1" ht="42" customHeight="1">
      <c r="A65" s="125" t="s">
        <v>1912</v>
      </c>
      <c r="B65" s="123"/>
      <c r="C65" s="123"/>
      <c r="D65" s="123"/>
      <c r="E65" s="123"/>
      <c r="F65" s="166" t="s">
        <v>1913</v>
      </c>
      <c r="G65" s="595" t="s">
        <v>1914</v>
      </c>
      <c r="H65" s="595"/>
      <c r="I65" s="595"/>
      <c r="J65" s="595"/>
      <c r="K65" s="595"/>
      <c r="L65" s="595"/>
      <c r="M65" s="595"/>
      <c r="N65" s="596"/>
    </row>
    <row r="66" spans="1:15" s="4" customFormat="1" ht="25.8" thickBot="1">
      <c r="A66" s="125" t="s">
        <v>1915</v>
      </c>
      <c r="B66" s="123"/>
      <c r="C66" s="123"/>
      <c r="D66" s="123"/>
      <c r="E66" s="123"/>
      <c r="F66" s="167"/>
      <c r="G66" s="167"/>
      <c r="H66" s="123"/>
      <c r="I66" s="123"/>
      <c r="J66" s="123"/>
      <c r="K66" s="123"/>
      <c r="L66" s="123"/>
      <c r="M66" s="123"/>
      <c r="N66" s="126"/>
    </row>
    <row r="67" spans="1:15" ht="21" customHeight="1">
      <c r="A67" s="598" t="s">
        <v>1916</v>
      </c>
      <c r="B67" s="599"/>
      <c r="C67" s="599"/>
      <c r="D67" s="599"/>
      <c r="E67" s="599"/>
      <c r="F67" s="599"/>
      <c r="G67" s="599"/>
      <c r="H67" s="599"/>
      <c r="I67" s="599"/>
      <c r="J67" s="599"/>
      <c r="K67" s="599"/>
      <c r="L67" s="599"/>
      <c r="M67" s="599"/>
      <c r="N67" s="600"/>
    </row>
    <row r="68" spans="1:15" ht="25.5" customHeight="1" thickBot="1">
      <c r="A68" s="601"/>
      <c r="B68" s="602"/>
      <c r="C68" s="602"/>
      <c r="D68" s="602"/>
      <c r="E68" s="602"/>
      <c r="F68" s="602"/>
      <c r="G68" s="602"/>
      <c r="H68" s="602"/>
      <c r="I68" s="602"/>
      <c r="J68" s="602"/>
      <c r="K68" s="602"/>
      <c r="L68" s="602"/>
      <c r="M68" s="602"/>
      <c r="N68" s="603"/>
    </row>
    <row r="69" spans="1:15" ht="25.5" customHeight="1">
      <c r="E69" s="206"/>
      <c r="F69" s="206"/>
      <c r="G69" s="206"/>
      <c r="H69" s="206"/>
      <c r="I69" s="206"/>
      <c r="J69" s="206"/>
      <c r="K69" s="206"/>
    </row>
    <row r="70" spans="1:15" ht="21.6" thickBot="1"/>
    <row r="71" spans="1:15" ht="95.25" customHeight="1" thickBot="1">
      <c r="A71" s="592" t="s">
        <v>1883</v>
      </c>
      <c r="B71" s="593"/>
      <c r="C71" s="593"/>
      <c r="D71" s="593"/>
      <c r="E71" s="593"/>
      <c r="F71" s="593"/>
      <c r="G71" s="593"/>
      <c r="H71" s="593"/>
      <c r="I71" s="593"/>
      <c r="J71" s="593"/>
      <c r="K71" s="593"/>
      <c r="L71" s="593"/>
      <c r="M71" s="593"/>
      <c r="N71" s="594"/>
    </row>
    <row r="72" spans="1:15" s="3" customFormat="1" ht="37.5" customHeight="1">
      <c r="A72" s="134" t="s">
        <v>1884</v>
      </c>
      <c r="B72" s="166"/>
      <c r="C72" s="166"/>
      <c r="D72" s="123"/>
      <c r="E72" s="123"/>
      <c r="F72" s="167" t="s">
        <v>1885</v>
      </c>
      <c r="G72" s="167" t="s">
        <v>1886</v>
      </c>
      <c r="H72" s="167"/>
      <c r="I72" s="167"/>
      <c r="J72" s="167"/>
      <c r="K72" s="167"/>
      <c r="L72" s="167"/>
      <c r="M72" s="167"/>
      <c r="N72" s="152"/>
      <c r="O72" s="201"/>
    </row>
    <row r="73" spans="1:15" s="4" customFormat="1" ht="25.2">
      <c r="A73" s="125" t="s">
        <v>1887</v>
      </c>
      <c r="B73" s="123"/>
      <c r="C73" s="123"/>
      <c r="D73" s="123"/>
      <c r="E73" s="123"/>
      <c r="F73" s="167"/>
      <c r="G73" s="167" t="s">
        <v>1888</v>
      </c>
      <c r="H73" s="167"/>
      <c r="I73" s="167"/>
      <c r="J73" s="167"/>
      <c r="K73" s="167"/>
      <c r="L73" s="167"/>
      <c r="M73" s="167"/>
      <c r="N73" s="152"/>
    </row>
    <row r="74" spans="1:15" s="3" customFormat="1" ht="9.9" customHeight="1">
      <c r="A74" s="125"/>
      <c r="B74" s="123"/>
      <c r="C74" s="123"/>
      <c r="D74" s="123"/>
      <c r="E74" s="123"/>
      <c r="F74" s="167"/>
      <c r="G74" s="123"/>
      <c r="H74" s="123"/>
      <c r="I74" s="123"/>
      <c r="J74" s="123"/>
      <c r="K74" s="123"/>
      <c r="L74" s="123"/>
      <c r="M74" s="123"/>
      <c r="N74" s="126"/>
    </row>
    <row r="75" spans="1:15" s="3" customFormat="1" ht="42.75" customHeight="1">
      <c r="A75" s="125" t="s">
        <v>1889</v>
      </c>
      <c r="B75" s="123"/>
      <c r="C75" s="123"/>
      <c r="D75" s="123"/>
      <c r="E75" s="123"/>
      <c r="F75" s="167" t="s">
        <v>1885</v>
      </c>
      <c r="G75" s="167" t="str">
        <f>PL!$B$13</f>
        <v>Branch of JSC "Doosan Enerbility" in the Turkestan region</v>
      </c>
      <c r="H75" s="123"/>
      <c r="I75" s="123"/>
      <c r="J75" s="123"/>
      <c r="K75" s="123"/>
      <c r="L75" s="123"/>
      <c r="M75" s="123"/>
      <c r="N75" s="126"/>
    </row>
    <row r="76" spans="1:15" s="3" customFormat="1" ht="24" customHeight="1">
      <c r="A76" s="125" t="s">
        <v>1890</v>
      </c>
      <c r="B76" s="123"/>
      <c r="C76" s="123"/>
      <c r="D76" s="123"/>
      <c r="E76" s="123"/>
      <c r="F76" s="168"/>
      <c r="G76" s="167" t="str">
        <f>PL!$B$14</f>
        <v>321 Tauke Khan Avenue, Turkestan region, Turkestan, Kazakhstan, 161200</v>
      </c>
      <c r="H76" s="123"/>
      <c r="I76" s="123"/>
      <c r="J76" s="123"/>
      <c r="K76" s="123"/>
      <c r="L76" s="123"/>
      <c r="M76" s="123"/>
      <c r="N76" s="126"/>
    </row>
    <row r="77" spans="1:15" s="4" customFormat="1" ht="25.2">
      <c r="A77" s="125"/>
      <c r="B77" s="123"/>
      <c r="C77" s="123"/>
      <c r="D77" s="123"/>
      <c r="E77" s="123"/>
      <c r="F77" s="168"/>
      <c r="G77" s="167" t="str">
        <f>PL!$B$15</f>
        <v>BIN: 230741006561</v>
      </c>
      <c r="H77" s="123"/>
      <c r="I77" s="123"/>
      <c r="J77" s="123"/>
      <c r="K77" s="123"/>
      <c r="L77" s="123"/>
      <c r="M77" s="123"/>
      <c r="N77" s="126"/>
    </row>
    <row r="78" spans="1:15" s="3" customFormat="1" ht="9.9" customHeight="1">
      <c r="A78" s="125"/>
      <c r="B78" s="123"/>
      <c r="C78" s="123"/>
      <c r="D78" s="123"/>
      <c r="E78" s="123"/>
      <c r="F78" s="169"/>
      <c r="G78" s="169"/>
      <c r="H78" s="123"/>
      <c r="I78" s="123"/>
      <c r="J78" s="123"/>
      <c r="K78" s="123"/>
      <c r="L78" s="123"/>
      <c r="M78" s="123"/>
      <c r="N78" s="126"/>
    </row>
    <row r="79" spans="1:15" s="3" customFormat="1" ht="25.2">
      <c r="A79" s="125" t="s">
        <v>1891</v>
      </c>
      <c r="B79" s="123"/>
      <c r="C79" s="123"/>
      <c r="D79" s="123"/>
      <c r="E79" s="123"/>
      <c r="F79" s="167" t="s">
        <v>1892</v>
      </c>
      <c r="G79" s="123"/>
      <c r="H79" s="123"/>
      <c r="I79" s="123"/>
      <c r="J79" s="123"/>
      <c r="K79" s="123"/>
      <c r="L79" s="123"/>
      <c r="M79" s="123"/>
      <c r="N79" s="126"/>
    </row>
    <row r="80" spans="1:15" s="4" customFormat="1" ht="25.2">
      <c r="A80" s="125" t="s">
        <v>1893</v>
      </c>
      <c r="B80" s="123"/>
      <c r="C80" s="123"/>
      <c r="D80" s="123"/>
      <c r="E80" s="123"/>
      <c r="F80" s="167" t="s">
        <v>1894</v>
      </c>
      <c r="G80" s="123"/>
      <c r="H80" s="123"/>
      <c r="I80" s="123"/>
      <c r="J80" s="123"/>
      <c r="K80" s="123"/>
      <c r="L80" s="123"/>
      <c r="M80" s="123"/>
      <c r="N80" s="126"/>
    </row>
    <row r="81" spans="1:14" s="3" customFormat="1" ht="9.9" customHeight="1">
      <c r="A81" s="125"/>
      <c r="B81" s="123"/>
      <c r="C81" s="123"/>
      <c r="D81" s="123"/>
      <c r="E81" s="123"/>
      <c r="F81" s="167"/>
      <c r="G81" s="123"/>
      <c r="H81" s="123"/>
      <c r="I81" s="123"/>
      <c r="J81" s="123"/>
      <c r="K81" s="123"/>
      <c r="L81" s="123"/>
      <c r="M81" s="123"/>
      <c r="N81" s="126"/>
    </row>
    <row r="82" spans="1:14" s="3" customFormat="1" ht="25.2">
      <c r="A82" s="125" t="s">
        <v>1895</v>
      </c>
      <c r="B82" s="123"/>
      <c r="C82" s="123"/>
      <c r="D82" s="123"/>
      <c r="E82" s="123"/>
      <c r="F82" s="167" t="s">
        <v>1896</v>
      </c>
      <c r="G82" s="167" t="str">
        <f>PL!$V$8</f>
        <v>PGU-DE-0139-001</v>
      </c>
      <c r="H82" s="123"/>
      <c r="I82" s="123"/>
      <c r="J82" s="123"/>
      <c r="K82" s="123"/>
      <c r="L82" s="123"/>
      <c r="M82" s="123"/>
      <c r="N82" s="126"/>
    </row>
    <row r="83" spans="1:14" s="3" customFormat="1" ht="25.2">
      <c r="A83" s="125" t="s">
        <v>1897</v>
      </c>
      <c r="B83" s="123"/>
      <c r="C83" s="123"/>
      <c r="D83" s="123"/>
      <c r="E83" s="123"/>
      <c r="F83" s="167"/>
      <c r="G83" s="123"/>
      <c r="H83" s="123"/>
      <c r="I83" s="123"/>
      <c r="J83" s="123"/>
      <c r="K83" s="123"/>
      <c r="L83" s="123"/>
      <c r="M83" s="123"/>
      <c r="N83" s="126"/>
    </row>
    <row r="84" spans="1:14" s="3" customFormat="1" ht="9.9" customHeight="1">
      <c r="A84" s="125"/>
      <c r="B84" s="123"/>
      <c r="C84" s="123"/>
      <c r="D84" s="123"/>
      <c r="E84" s="123"/>
      <c r="F84" s="167"/>
      <c r="G84" s="123"/>
      <c r="H84" s="123"/>
      <c r="I84" s="123"/>
      <c r="J84" s="123"/>
      <c r="K84" s="123"/>
      <c r="L84" s="123"/>
      <c r="M84" s="123"/>
      <c r="N84" s="126"/>
    </row>
    <row r="85" spans="1:14" s="3" customFormat="1" ht="31.2" customHeight="1">
      <c r="A85" s="127" t="s">
        <v>1898</v>
      </c>
      <c r="B85" s="170"/>
      <c r="C85" s="170"/>
      <c r="D85" s="170"/>
      <c r="E85" s="170"/>
      <c r="F85" s="171" t="s">
        <v>1885</v>
      </c>
      <c r="G85" s="597" t="e">
        <f>VLOOKUP(G88, 'Detail PL'!$B$14:$Q$799,2)</f>
        <v>#N/A</v>
      </c>
      <c r="H85" s="597"/>
      <c r="I85" s="597"/>
      <c r="J85" s="597"/>
      <c r="K85" s="597"/>
      <c r="L85" s="597"/>
      <c r="M85" s="597"/>
      <c r="N85" s="128"/>
    </row>
    <row r="86" spans="1:14" s="3" customFormat="1" ht="25.2">
      <c r="A86" s="127" t="s">
        <v>1899</v>
      </c>
      <c r="B86" s="170"/>
      <c r="C86" s="170"/>
      <c r="D86" s="170"/>
      <c r="E86" s="170"/>
      <c r="F86" s="171"/>
      <c r="G86" s="170"/>
      <c r="H86" s="170"/>
      <c r="I86" s="170"/>
      <c r="J86" s="170"/>
      <c r="K86" s="170"/>
      <c r="L86" s="170"/>
      <c r="M86" s="170"/>
      <c r="N86" s="128"/>
    </row>
    <row r="87" spans="1:14" s="3" customFormat="1" ht="9.9" customHeight="1">
      <c r="A87" s="125"/>
      <c r="B87" s="123"/>
      <c r="C87" s="123"/>
      <c r="D87" s="123"/>
      <c r="E87" s="123"/>
      <c r="F87" s="167"/>
      <c r="G87" s="123"/>
      <c r="H87" s="123"/>
      <c r="I87" s="123"/>
      <c r="J87" s="123"/>
      <c r="K87" s="123"/>
      <c r="L87" s="123"/>
      <c r="M87" s="123"/>
      <c r="N87" s="126"/>
    </row>
    <row r="88" spans="1:14" s="3" customFormat="1" ht="25.2">
      <c r="A88" s="125" t="s">
        <v>1900</v>
      </c>
      <c r="B88" s="123"/>
      <c r="C88" s="123"/>
      <c r="D88" s="123"/>
      <c r="E88" s="123"/>
      <c r="F88" s="171" t="s">
        <v>1901</v>
      </c>
      <c r="G88" s="604">
        <f t="shared" ref="G88" si="0">G53+1</f>
        <v>3</v>
      </c>
      <c r="H88" s="604"/>
      <c r="I88" s="604"/>
      <c r="J88" s="604"/>
      <c r="K88" s="604"/>
      <c r="L88" s="123"/>
      <c r="M88" s="123"/>
      <c r="N88" s="126"/>
    </row>
    <row r="89" spans="1:14" s="4" customFormat="1" ht="25.2">
      <c r="A89" s="125" t="s">
        <v>1903</v>
      </c>
      <c r="B89" s="123"/>
      <c r="C89" s="123"/>
      <c r="D89" s="123"/>
      <c r="E89" s="123"/>
      <c r="F89" s="167"/>
      <c r="G89" s="167"/>
      <c r="H89" s="123"/>
      <c r="I89" s="123"/>
      <c r="J89" s="123"/>
      <c r="K89" s="123"/>
      <c r="L89" s="123"/>
      <c r="M89" s="123"/>
      <c r="N89" s="126"/>
    </row>
    <row r="90" spans="1:14" s="3" customFormat="1" ht="9.9" customHeight="1">
      <c r="A90" s="125"/>
      <c r="B90" s="123"/>
      <c r="C90" s="123"/>
      <c r="D90" s="123"/>
      <c r="E90" s="123"/>
      <c r="F90" s="167"/>
      <c r="G90" s="167"/>
      <c r="H90" s="123"/>
      <c r="I90" s="123"/>
      <c r="J90" s="123"/>
      <c r="K90" s="123"/>
      <c r="L90" s="123"/>
      <c r="M90" s="123"/>
      <c r="N90" s="126"/>
    </row>
    <row r="91" spans="1:14" s="3" customFormat="1" ht="25.2">
      <c r="A91" s="125" t="s">
        <v>1904</v>
      </c>
      <c r="B91" s="123"/>
      <c r="C91" s="123"/>
      <c r="D91" s="123"/>
      <c r="E91" s="123"/>
      <c r="F91" s="167" t="s">
        <v>1896</v>
      </c>
      <c r="G91" s="204" t="e">
        <f>VLOOKUP(G88, 'Detail PL'!$B$14:$Q$799, 10)</f>
        <v>#N/A</v>
      </c>
      <c r="H91" s="204" t="s">
        <v>1905</v>
      </c>
      <c r="I91" s="204"/>
      <c r="J91" s="204"/>
      <c r="K91" s="123"/>
      <c r="L91" s="123"/>
      <c r="M91" s="123"/>
      <c r="N91" s="126"/>
    </row>
    <row r="92" spans="1:14" s="4" customFormat="1" ht="25.2">
      <c r="A92" s="125" t="s">
        <v>1906</v>
      </c>
      <c r="B92" s="123"/>
      <c r="C92" s="123"/>
      <c r="D92" s="123"/>
      <c r="E92" s="123"/>
      <c r="F92" s="167"/>
      <c r="G92" s="167"/>
      <c r="H92" s="167"/>
      <c r="I92" s="123"/>
      <c r="J92" s="123"/>
      <c r="K92" s="123"/>
      <c r="L92" s="123"/>
      <c r="M92" s="123"/>
      <c r="N92" s="126"/>
    </row>
    <row r="93" spans="1:14" s="3" customFormat="1" ht="9.9" customHeight="1">
      <c r="A93" s="125"/>
      <c r="B93" s="123"/>
      <c r="C93" s="123"/>
      <c r="D93" s="123"/>
      <c r="E93" s="123"/>
      <c r="F93" s="167"/>
      <c r="G93" s="167"/>
      <c r="H93" s="167"/>
      <c r="I93" s="123"/>
      <c r="J93" s="123"/>
      <c r="K93" s="123"/>
      <c r="L93" s="123"/>
      <c r="M93" s="123"/>
      <c r="N93" s="126"/>
    </row>
    <row r="94" spans="1:14" s="3" customFormat="1" ht="25.2">
      <c r="A94" s="125" t="s">
        <v>1907</v>
      </c>
      <c r="B94" s="123"/>
      <c r="C94" s="123"/>
      <c r="D94" s="123"/>
      <c r="E94" s="123"/>
      <c r="F94" s="167" t="s">
        <v>1896</v>
      </c>
      <c r="G94" s="204" t="e">
        <f>VLOOKUP(G88, 'Detail PL'!$B$14:$Q$799, 11)</f>
        <v>#N/A</v>
      </c>
      <c r="H94" s="204" t="s">
        <v>1905</v>
      </c>
      <c r="I94" s="204"/>
      <c r="J94" s="204"/>
      <c r="K94" s="123"/>
      <c r="L94" s="123"/>
      <c r="M94" s="123"/>
      <c r="N94" s="126"/>
    </row>
    <row r="95" spans="1:14" s="4" customFormat="1" ht="25.2">
      <c r="A95" s="125" t="s">
        <v>1908</v>
      </c>
      <c r="B95" s="123"/>
      <c r="C95" s="123"/>
      <c r="D95" s="123"/>
      <c r="E95" s="123"/>
      <c r="F95" s="167"/>
      <c r="G95" s="167"/>
      <c r="H95" s="123"/>
      <c r="I95" s="123"/>
      <c r="J95" s="123"/>
      <c r="K95" s="123"/>
      <c r="L95" s="123"/>
      <c r="M95" s="123"/>
      <c r="N95" s="126"/>
    </row>
    <row r="96" spans="1:14" s="3" customFormat="1" ht="9.9" customHeight="1">
      <c r="A96" s="125"/>
      <c r="B96" s="123"/>
      <c r="C96" s="123"/>
      <c r="D96" s="123"/>
      <c r="E96" s="123"/>
      <c r="F96" s="167"/>
      <c r="G96" s="167"/>
      <c r="H96" s="123"/>
      <c r="I96" s="123"/>
      <c r="J96" s="123"/>
      <c r="K96" s="123"/>
      <c r="L96" s="123"/>
      <c r="M96" s="123"/>
      <c r="N96" s="126"/>
    </row>
    <row r="97" spans="1:15" s="3" customFormat="1" ht="25.2">
      <c r="A97" s="129" t="s">
        <v>1909</v>
      </c>
      <c r="B97" s="123"/>
      <c r="C97" s="123"/>
      <c r="D97" s="123"/>
      <c r="E97" s="123"/>
      <c r="F97" s="167" t="s">
        <v>1896</v>
      </c>
      <c r="G97" s="204" t="e">
        <f>VLOOKUP(G88, 'Detail PL'!$B$14:$Q$799, 9)</f>
        <v>#N/A</v>
      </c>
      <c r="H97" s="205" t="s">
        <v>1910</v>
      </c>
      <c r="I97" s="203"/>
      <c r="J97" s="203"/>
      <c r="K97" s="172"/>
      <c r="L97" s="123"/>
      <c r="M97" s="123"/>
      <c r="N97" s="126"/>
    </row>
    <row r="98" spans="1:15" s="4" customFormat="1" ht="25.2">
      <c r="A98" s="125" t="s">
        <v>1911</v>
      </c>
      <c r="B98" s="123"/>
      <c r="C98" s="123"/>
      <c r="D98" s="123"/>
      <c r="E98" s="123"/>
      <c r="F98" s="167"/>
      <c r="G98" s="167"/>
      <c r="H98" s="123"/>
      <c r="I98" s="123"/>
      <c r="J98" s="123"/>
      <c r="K98" s="123"/>
      <c r="L98" s="123"/>
      <c r="M98" s="123"/>
      <c r="N98" s="126"/>
    </row>
    <row r="99" spans="1:15" s="3" customFormat="1" ht="9.9" customHeight="1">
      <c r="A99" s="125"/>
      <c r="B99" s="123"/>
      <c r="C99" s="123"/>
      <c r="D99" s="123"/>
      <c r="E99" s="123"/>
      <c r="F99" s="167"/>
      <c r="G99" s="167"/>
      <c r="H99" s="123"/>
      <c r="I99" s="123"/>
      <c r="J99" s="123"/>
      <c r="K99" s="123"/>
      <c r="L99" s="123"/>
      <c r="M99" s="123"/>
      <c r="N99" s="126"/>
    </row>
    <row r="100" spans="1:15" s="3" customFormat="1" ht="42" customHeight="1">
      <c r="A100" s="125" t="s">
        <v>1912</v>
      </c>
      <c r="B100" s="123"/>
      <c r="C100" s="123"/>
      <c r="D100" s="123"/>
      <c r="E100" s="123"/>
      <c r="F100" s="166" t="s">
        <v>1913</v>
      </c>
      <c r="G100" s="595" t="s">
        <v>1914</v>
      </c>
      <c r="H100" s="595"/>
      <c r="I100" s="595"/>
      <c r="J100" s="595"/>
      <c r="K100" s="595"/>
      <c r="L100" s="595"/>
      <c r="M100" s="595"/>
      <c r="N100" s="596"/>
    </row>
    <row r="101" spans="1:15" s="4" customFormat="1" ht="25.8" thickBot="1">
      <c r="A101" s="125" t="s">
        <v>1915</v>
      </c>
      <c r="B101" s="123"/>
      <c r="C101" s="123"/>
      <c r="D101" s="123"/>
      <c r="E101" s="123"/>
      <c r="F101" s="167"/>
      <c r="G101" s="167"/>
      <c r="H101" s="123"/>
      <c r="I101" s="123"/>
      <c r="J101" s="123"/>
      <c r="K101" s="123"/>
      <c r="L101" s="123"/>
      <c r="M101" s="123"/>
      <c r="N101" s="126"/>
    </row>
    <row r="102" spans="1:15" ht="21" customHeight="1">
      <c r="A102" s="598" t="s">
        <v>1916</v>
      </c>
      <c r="B102" s="599"/>
      <c r="C102" s="599"/>
      <c r="D102" s="599"/>
      <c r="E102" s="599"/>
      <c r="F102" s="599"/>
      <c r="G102" s="599"/>
      <c r="H102" s="599"/>
      <c r="I102" s="599"/>
      <c r="J102" s="599"/>
      <c r="K102" s="599"/>
      <c r="L102" s="599"/>
      <c r="M102" s="599"/>
      <c r="N102" s="600"/>
    </row>
    <row r="103" spans="1:15" ht="25.5" customHeight="1" thickBot="1">
      <c r="A103" s="601"/>
      <c r="B103" s="602"/>
      <c r="C103" s="602"/>
      <c r="D103" s="602"/>
      <c r="E103" s="602"/>
      <c r="F103" s="602"/>
      <c r="G103" s="602"/>
      <c r="H103" s="602"/>
      <c r="I103" s="602"/>
      <c r="J103" s="602"/>
      <c r="K103" s="602"/>
      <c r="L103" s="602"/>
      <c r="M103" s="602"/>
      <c r="N103" s="603"/>
    </row>
    <row r="104" spans="1:15" ht="25.5" customHeight="1">
      <c r="E104" s="206"/>
      <c r="F104" s="206"/>
      <c r="G104" s="206"/>
      <c r="H104" s="206"/>
      <c r="I104" s="206"/>
      <c r="J104" s="206"/>
      <c r="K104" s="206"/>
    </row>
    <row r="105" spans="1:15" ht="21.6" thickBot="1"/>
    <row r="106" spans="1:15" ht="95.25" customHeight="1" thickBot="1">
      <c r="A106" s="592" t="s">
        <v>1883</v>
      </c>
      <c r="B106" s="593"/>
      <c r="C106" s="593"/>
      <c r="D106" s="593"/>
      <c r="E106" s="593"/>
      <c r="F106" s="593"/>
      <c r="G106" s="593"/>
      <c r="H106" s="593"/>
      <c r="I106" s="593"/>
      <c r="J106" s="593"/>
      <c r="K106" s="593"/>
      <c r="L106" s="593"/>
      <c r="M106" s="593"/>
      <c r="N106" s="594"/>
    </row>
    <row r="107" spans="1:15" s="3" customFormat="1" ht="37.5" customHeight="1">
      <c r="A107" s="134" t="s">
        <v>1884</v>
      </c>
      <c r="B107" s="166"/>
      <c r="C107" s="166"/>
      <c r="D107" s="123"/>
      <c r="E107" s="123"/>
      <c r="F107" s="167" t="s">
        <v>1885</v>
      </c>
      <c r="G107" s="167" t="s">
        <v>1886</v>
      </c>
      <c r="H107" s="167"/>
      <c r="I107" s="167"/>
      <c r="J107" s="167"/>
      <c r="K107" s="167"/>
      <c r="L107" s="167"/>
      <c r="M107" s="167"/>
      <c r="N107" s="152"/>
      <c r="O107" s="201"/>
    </row>
    <row r="108" spans="1:15" s="4" customFormat="1" ht="25.2">
      <c r="A108" s="125" t="s">
        <v>1887</v>
      </c>
      <c r="B108" s="123"/>
      <c r="C108" s="123"/>
      <c r="D108" s="123"/>
      <c r="E108" s="123"/>
      <c r="F108" s="167"/>
      <c r="G108" s="167" t="s">
        <v>1888</v>
      </c>
      <c r="H108" s="167"/>
      <c r="I108" s="167"/>
      <c r="J108" s="167"/>
      <c r="K108" s="167"/>
      <c r="L108" s="167"/>
      <c r="M108" s="167"/>
      <c r="N108" s="152"/>
    </row>
    <row r="109" spans="1:15" s="3" customFormat="1" ht="9.9" customHeight="1">
      <c r="A109" s="125"/>
      <c r="B109" s="123"/>
      <c r="C109" s="123"/>
      <c r="D109" s="123"/>
      <c r="E109" s="123"/>
      <c r="F109" s="167"/>
      <c r="G109" s="123"/>
      <c r="H109" s="123"/>
      <c r="I109" s="123"/>
      <c r="J109" s="123"/>
      <c r="K109" s="123"/>
      <c r="L109" s="123"/>
      <c r="M109" s="123"/>
      <c r="N109" s="126"/>
    </row>
    <row r="110" spans="1:15" s="3" customFormat="1" ht="42.75" customHeight="1">
      <c r="A110" s="125" t="s">
        <v>1889</v>
      </c>
      <c r="B110" s="123"/>
      <c r="C110" s="123"/>
      <c r="D110" s="123"/>
      <c r="E110" s="123"/>
      <c r="F110" s="167" t="s">
        <v>1885</v>
      </c>
      <c r="G110" s="167" t="str">
        <f>PL!$B$13</f>
        <v>Branch of JSC "Doosan Enerbility" in the Turkestan region</v>
      </c>
      <c r="H110" s="123"/>
      <c r="I110" s="123"/>
      <c r="J110" s="123"/>
      <c r="K110" s="123"/>
      <c r="L110" s="123"/>
      <c r="M110" s="123"/>
      <c r="N110" s="126"/>
    </row>
    <row r="111" spans="1:15" s="3" customFormat="1" ht="24" customHeight="1">
      <c r="A111" s="125" t="s">
        <v>1890</v>
      </c>
      <c r="B111" s="123"/>
      <c r="C111" s="123"/>
      <c r="D111" s="123"/>
      <c r="E111" s="123"/>
      <c r="F111" s="168"/>
      <c r="G111" s="167" t="str">
        <f>PL!$B$14</f>
        <v>321 Tauke Khan Avenue, Turkestan region, Turkestan, Kazakhstan, 161200</v>
      </c>
      <c r="H111" s="123"/>
      <c r="I111" s="123"/>
      <c r="J111" s="123"/>
      <c r="K111" s="123"/>
      <c r="L111" s="123"/>
      <c r="M111" s="123"/>
      <c r="N111" s="126"/>
    </row>
    <row r="112" spans="1:15" s="4" customFormat="1" ht="25.2">
      <c r="A112" s="125"/>
      <c r="B112" s="123"/>
      <c r="C112" s="123"/>
      <c r="D112" s="123"/>
      <c r="E112" s="123"/>
      <c r="F112" s="168"/>
      <c r="G112" s="167" t="str">
        <f>PL!$B$15</f>
        <v>BIN: 230741006561</v>
      </c>
      <c r="H112" s="123"/>
      <c r="I112" s="123"/>
      <c r="J112" s="123"/>
      <c r="K112" s="123"/>
      <c r="L112" s="123"/>
      <c r="M112" s="123"/>
      <c r="N112" s="126"/>
    </row>
    <row r="113" spans="1:14" s="3" customFormat="1" ht="9.9" customHeight="1">
      <c r="A113" s="125"/>
      <c r="B113" s="123"/>
      <c r="C113" s="123"/>
      <c r="D113" s="123"/>
      <c r="E113" s="123"/>
      <c r="F113" s="169"/>
      <c r="G113" s="169"/>
      <c r="H113" s="123"/>
      <c r="I113" s="123"/>
      <c r="J113" s="123"/>
      <c r="K113" s="123"/>
      <c r="L113" s="123"/>
      <c r="M113" s="123"/>
      <c r="N113" s="126"/>
    </row>
    <row r="114" spans="1:14" s="3" customFormat="1" ht="25.2">
      <c r="A114" s="125" t="s">
        <v>1891</v>
      </c>
      <c r="B114" s="123"/>
      <c r="C114" s="123"/>
      <c r="D114" s="123"/>
      <c r="E114" s="123"/>
      <c r="F114" s="167" t="s">
        <v>1892</v>
      </c>
      <c r="G114" s="123"/>
      <c r="H114" s="123"/>
      <c r="I114" s="123"/>
      <c r="J114" s="123"/>
      <c r="K114" s="123"/>
      <c r="L114" s="123"/>
      <c r="M114" s="123"/>
      <c r="N114" s="126"/>
    </row>
    <row r="115" spans="1:14" s="4" customFormat="1" ht="25.2">
      <c r="A115" s="125" t="s">
        <v>1893</v>
      </c>
      <c r="B115" s="123"/>
      <c r="C115" s="123"/>
      <c r="D115" s="123"/>
      <c r="E115" s="123"/>
      <c r="F115" s="167" t="s">
        <v>1894</v>
      </c>
      <c r="G115" s="123"/>
      <c r="H115" s="123"/>
      <c r="I115" s="123"/>
      <c r="J115" s="123"/>
      <c r="K115" s="123"/>
      <c r="L115" s="123"/>
      <c r="M115" s="123"/>
      <c r="N115" s="126"/>
    </row>
    <row r="116" spans="1:14" s="3" customFormat="1" ht="9.9" customHeight="1">
      <c r="A116" s="125"/>
      <c r="B116" s="123"/>
      <c r="C116" s="123"/>
      <c r="D116" s="123"/>
      <c r="E116" s="123"/>
      <c r="F116" s="167"/>
      <c r="G116" s="123"/>
      <c r="H116" s="123"/>
      <c r="I116" s="123"/>
      <c r="J116" s="123"/>
      <c r="K116" s="123"/>
      <c r="L116" s="123"/>
      <c r="M116" s="123"/>
      <c r="N116" s="126"/>
    </row>
    <row r="117" spans="1:14" s="3" customFormat="1" ht="25.2">
      <c r="A117" s="125" t="s">
        <v>1895</v>
      </c>
      <c r="B117" s="123"/>
      <c r="C117" s="123"/>
      <c r="D117" s="123"/>
      <c r="E117" s="123"/>
      <c r="F117" s="167" t="s">
        <v>1896</v>
      </c>
      <c r="G117" s="167" t="str">
        <f>PL!$V$8</f>
        <v>PGU-DE-0139-001</v>
      </c>
      <c r="H117" s="123"/>
      <c r="I117" s="123"/>
      <c r="J117" s="123"/>
      <c r="K117" s="123"/>
      <c r="L117" s="123"/>
      <c r="M117" s="123"/>
      <c r="N117" s="126"/>
    </row>
    <row r="118" spans="1:14" s="3" customFormat="1" ht="25.2">
      <c r="A118" s="125" t="s">
        <v>1897</v>
      </c>
      <c r="B118" s="123"/>
      <c r="C118" s="123"/>
      <c r="D118" s="123"/>
      <c r="E118" s="123"/>
      <c r="F118" s="167"/>
      <c r="G118" s="123"/>
      <c r="H118" s="123"/>
      <c r="I118" s="123"/>
      <c r="J118" s="123"/>
      <c r="K118" s="123"/>
      <c r="L118" s="123"/>
      <c r="M118" s="123"/>
      <c r="N118" s="126"/>
    </row>
    <row r="119" spans="1:14" s="3" customFormat="1" ht="9.9" customHeight="1">
      <c r="A119" s="125"/>
      <c r="B119" s="123"/>
      <c r="C119" s="123"/>
      <c r="D119" s="123"/>
      <c r="E119" s="123"/>
      <c r="F119" s="167"/>
      <c r="G119" s="123"/>
      <c r="H119" s="123"/>
      <c r="I119" s="123"/>
      <c r="J119" s="123"/>
      <c r="K119" s="123"/>
      <c r="L119" s="123"/>
      <c r="M119" s="123"/>
      <c r="N119" s="126"/>
    </row>
    <row r="120" spans="1:14" s="3" customFormat="1" ht="31.2" customHeight="1">
      <c r="A120" s="127" t="s">
        <v>1898</v>
      </c>
      <c r="B120" s="170"/>
      <c r="C120" s="170"/>
      <c r="D120" s="170"/>
      <c r="E120" s="170"/>
      <c r="F120" s="171" t="s">
        <v>1885</v>
      </c>
      <c r="G120" s="597" t="e">
        <f>VLOOKUP(G123, 'Detail PL'!$B$14:$Q$799,2)</f>
        <v>#N/A</v>
      </c>
      <c r="H120" s="597"/>
      <c r="I120" s="597"/>
      <c r="J120" s="597"/>
      <c r="K120" s="597"/>
      <c r="L120" s="597"/>
      <c r="M120" s="597"/>
      <c r="N120" s="128"/>
    </row>
    <row r="121" spans="1:14" s="3" customFormat="1" ht="25.2">
      <c r="A121" s="127" t="s">
        <v>1899</v>
      </c>
      <c r="B121" s="170"/>
      <c r="C121" s="170"/>
      <c r="D121" s="170"/>
      <c r="E121" s="170"/>
      <c r="F121" s="171"/>
      <c r="G121" s="170"/>
      <c r="H121" s="170"/>
      <c r="I121" s="170"/>
      <c r="J121" s="170"/>
      <c r="K121" s="170"/>
      <c r="L121" s="170"/>
      <c r="M121" s="170"/>
      <c r="N121" s="128"/>
    </row>
    <row r="122" spans="1:14" s="3" customFormat="1" ht="9.9" customHeight="1">
      <c r="A122" s="125"/>
      <c r="B122" s="123"/>
      <c r="C122" s="123"/>
      <c r="D122" s="123"/>
      <c r="E122" s="123"/>
      <c r="F122" s="167"/>
      <c r="G122" s="123"/>
      <c r="H122" s="123"/>
      <c r="I122" s="123"/>
      <c r="J122" s="123"/>
      <c r="K122" s="123"/>
      <c r="L122" s="123"/>
      <c r="M122" s="123"/>
      <c r="N122" s="126"/>
    </row>
    <row r="123" spans="1:14" s="3" customFormat="1" ht="25.2">
      <c r="A123" s="125" t="s">
        <v>1900</v>
      </c>
      <c r="B123" s="123"/>
      <c r="C123" s="123"/>
      <c r="D123" s="123"/>
      <c r="E123" s="123"/>
      <c r="F123" s="171" t="s">
        <v>1901</v>
      </c>
      <c r="G123" s="604">
        <f t="shared" ref="G123" si="1">G88+1</f>
        <v>4</v>
      </c>
      <c r="H123" s="604"/>
      <c r="I123" s="604"/>
      <c r="J123" s="604"/>
      <c r="K123" s="604"/>
      <c r="L123" s="123"/>
      <c r="M123" s="123"/>
      <c r="N123" s="126"/>
    </row>
    <row r="124" spans="1:14" s="4" customFormat="1" ht="25.2">
      <c r="A124" s="125" t="s">
        <v>1903</v>
      </c>
      <c r="B124" s="123"/>
      <c r="C124" s="123"/>
      <c r="D124" s="123"/>
      <c r="E124" s="123"/>
      <c r="F124" s="167"/>
      <c r="G124" s="167"/>
      <c r="H124" s="123"/>
      <c r="I124" s="123"/>
      <c r="J124" s="123"/>
      <c r="K124" s="123"/>
      <c r="L124" s="123"/>
      <c r="M124" s="123"/>
      <c r="N124" s="126"/>
    </row>
    <row r="125" spans="1:14" s="3" customFormat="1" ht="9.9" customHeight="1">
      <c r="A125" s="125"/>
      <c r="B125" s="123"/>
      <c r="C125" s="123"/>
      <c r="D125" s="123"/>
      <c r="E125" s="123"/>
      <c r="F125" s="167"/>
      <c r="G125" s="167"/>
      <c r="H125" s="123"/>
      <c r="I125" s="123"/>
      <c r="J125" s="123"/>
      <c r="K125" s="123"/>
      <c r="L125" s="123"/>
      <c r="M125" s="123"/>
      <c r="N125" s="126"/>
    </row>
    <row r="126" spans="1:14" s="3" customFormat="1" ht="25.2">
      <c r="A126" s="125" t="s">
        <v>1904</v>
      </c>
      <c r="B126" s="123"/>
      <c r="C126" s="123"/>
      <c r="D126" s="123"/>
      <c r="E126" s="123"/>
      <c r="F126" s="167" t="s">
        <v>1896</v>
      </c>
      <c r="G126" s="204" t="e">
        <f>VLOOKUP(G123, 'Detail PL'!$B$14:$Q$799, 10)</f>
        <v>#N/A</v>
      </c>
      <c r="H126" s="204" t="s">
        <v>1905</v>
      </c>
      <c r="I126" s="204"/>
      <c r="J126" s="204"/>
      <c r="K126" s="123"/>
      <c r="L126" s="123"/>
      <c r="M126" s="123"/>
      <c r="N126" s="126"/>
    </row>
    <row r="127" spans="1:14" s="4" customFormat="1" ht="25.2">
      <c r="A127" s="125" t="s">
        <v>1906</v>
      </c>
      <c r="B127" s="123"/>
      <c r="C127" s="123"/>
      <c r="D127" s="123"/>
      <c r="E127" s="123"/>
      <c r="F127" s="167"/>
      <c r="G127" s="167"/>
      <c r="H127" s="167"/>
      <c r="I127" s="123"/>
      <c r="J127" s="123"/>
      <c r="K127" s="123"/>
      <c r="L127" s="123"/>
      <c r="M127" s="123"/>
      <c r="N127" s="126"/>
    </row>
    <row r="128" spans="1:14" s="3" customFormat="1" ht="9.9" customHeight="1">
      <c r="A128" s="125"/>
      <c r="B128" s="123"/>
      <c r="C128" s="123"/>
      <c r="D128" s="123"/>
      <c r="E128" s="123"/>
      <c r="F128" s="167"/>
      <c r="G128" s="167"/>
      <c r="H128" s="167"/>
      <c r="I128" s="123"/>
      <c r="J128" s="123"/>
      <c r="K128" s="123"/>
      <c r="L128" s="123"/>
      <c r="M128" s="123"/>
      <c r="N128" s="126"/>
    </row>
    <row r="129" spans="1:15" s="3" customFormat="1" ht="25.2">
      <c r="A129" s="125" t="s">
        <v>1907</v>
      </c>
      <c r="B129" s="123"/>
      <c r="C129" s="123"/>
      <c r="D129" s="123"/>
      <c r="E129" s="123"/>
      <c r="F129" s="167" t="s">
        <v>1896</v>
      </c>
      <c r="G129" s="204" t="e">
        <f>VLOOKUP(G123, 'Detail PL'!$B$14:$Q$799, 11)</f>
        <v>#N/A</v>
      </c>
      <c r="H129" s="204" t="s">
        <v>1905</v>
      </c>
      <c r="I129" s="204"/>
      <c r="J129" s="204"/>
      <c r="K129" s="123"/>
      <c r="L129" s="123"/>
      <c r="M129" s="123"/>
      <c r="N129" s="126"/>
    </row>
    <row r="130" spans="1:15" s="4" customFormat="1" ht="25.2">
      <c r="A130" s="125" t="s">
        <v>1908</v>
      </c>
      <c r="B130" s="123"/>
      <c r="C130" s="123"/>
      <c r="D130" s="123"/>
      <c r="E130" s="123"/>
      <c r="F130" s="167"/>
      <c r="G130" s="167"/>
      <c r="H130" s="123"/>
      <c r="I130" s="123"/>
      <c r="J130" s="123"/>
      <c r="K130" s="123"/>
      <c r="L130" s="123"/>
      <c r="M130" s="123"/>
      <c r="N130" s="126"/>
    </row>
    <row r="131" spans="1:15" s="3" customFormat="1" ht="9.9" customHeight="1">
      <c r="A131" s="125"/>
      <c r="B131" s="123"/>
      <c r="C131" s="123"/>
      <c r="D131" s="123"/>
      <c r="E131" s="123"/>
      <c r="F131" s="167"/>
      <c r="G131" s="167"/>
      <c r="H131" s="123"/>
      <c r="I131" s="123"/>
      <c r="J131" s="123"/>
      <c r="K131" s="123"/>
      <c r="L131" s="123"/>
      <c r="M131" s="123"/>
      <c r="N131" s="126"/>
    </row>
    <row r="132" spans="1:15" s="3" customFormat="1" ht="25.2">
      <c r="A132" s="129" t="s">
        <v>1909</v>
      </c>
      <c r="B132" s="123"/>
      <c r="C132" s="123"/>
      <c r="D132" s="123"/>
      <c r="E132" s="123"/>
      <c r="F132" s="167" t="s">
        <v>1896</v>
      </c>
      <c r="G132" s="204" t="e">
        <f>VLOOKUP(G123, 'Detail PL'!$B$14:$Q$799, 9)</f>
        <v>#N/A</v>
      </c>
      <c r="H132" s="205" t="s">
        <v>1910</v>
      </c>
      <c r="I132" s="203"/>
      <c r="J132" s="203"/>
      <c r="K132" s="172"/>
      <c r="L132" s="123"/>
      <c r="M132" s="123"/>
      <c r="N132" s="126"/>
    </row>
    <row r="133" spans="1:15" s="4" customFormat="1" ht="25.2">
      <c r="A133" s="125" t="s">
        <v>1911</v>
      </c>
      <c r="B133" s="123"/>
      <c r="C133" s="123"/>
      <c r="D133" s="123"/>
      <c r="E133" s="123"/>
      <c r="F133" s="167"/>
      <c r="G133" s="167"/>
      <c r="H133" s="123"/>
      <c r="I133" s="123"/>
      <c r="J133" s="123"/>
      <c r="K133" s="123"/>
      <c r="L133" s="123"/>
      <c r="M133" s="123"/>
      <c r="N133" s="126"/>
    </row>
    <row r="134" spans="1:15" s="3" customFormat="1" ht="9.9" customHeight="1">
      <c r="A134" s="125"/>
      <c r="B134" s="123"/>
      <c r="C134" s="123"/>
      <c r="D134" s="123"/>
      <c r="E134" s="123"/>
      <c r="F134" s="167"/>
      <c r="G134" s="167"/>
      <c r="H134" s="123"/>
      <c r="I134" s="123"/>
      <c r="J134" s="123"/>
      <c r="K134" s="123"/>
      <c r="L134" s="123"/>
      <c r="M134" s="123"/>
      <c r="N134" s="126"/>
    </row>
    <row r="135" spans="1:15" s="3" customFormat="1" ht="42" customHeight="1">
      <c r="A135" s="125" t="s">
        <v>1912</v>
      </c>
      <c r="B135" s="123"/>
      <c r="C135" s="123"/>
      <c r="D135" s="123"/>
      <c r="E135" s="123"/>
      <c r="F135" s="166" t="s">
        <v>1913</v>
      </c>
      <c r="G135" s="595" t="s">
        <v>1914</v>
      </c>
      <c r="H135" s="595"/>
      <c r="I135" s="595"/>
      <c r="J135" s="595"/>
      <c r="K135" s="595"/>
      <c r="L135" s="595"/>
      <c r="M135" s="595"/>
      <c r="N135" s="596"/>
    </row>
    <row r="136" spans="1:15" s="4" customFormat="1" ht="25.8" thickBot="1">
      <c r="A136" s="125" t="s">
        <v>1915</v>
      </c>
      <c r="B136" s="123"/>
      <c r="C136" s="123"/>
      <c r="D136" s="123"/>
      <c r="E136" s="123"/>
      <c r="F136" s="167"/>
      <c r="G136" s="167"/>
      <c r="H136" s="123"/>
      <c r="I136" s="123"/>
      <c r="J136" s="123"/>
      <c r="K136" s="123"/>
      <c r="L136" s="123"/>
      <c r="M136" s="123"/>
      <c r="N136" s="126"/>
    </row>
    <row r="137" spans="1:15" ht="21" customHeight="1">
      <c r="A137" s="598" t="s">
        <v>1916</v>
      </c>
      <c r="B137" s="599"/>
      <c r="C137" s="599"/>
      <c r="D137" s="599"/>
      <c r="E137" s="599"/>
      <c r="F137" s="599"/>
      <c r="G137" s="599"/>
      <c r="H137" s="599"/>
      <c r="I137" s="599"/>
      <c r="J137" s="599"/>
      <c r="K137" s="599"/>
      <c r="L137" s="599"/>
      <c r="M137" s="599"/>
      <c r="N137" s="600"/>
    </row>
    <row r="138" spans="1:15" ht="25.5" customHeight="1" thickBot="1">
      <c r="A138" s="601"/>
      <c r="B138" s="602"/>
      <c r="C138" s="602"/>
      <c r="D138" s="602"/>
      <c r="E138" s="602"/>
      <c r="F138" s="602"/>
      <c r="G138" s="602"/>
      <c r="H138" s="602"/>
      <c r="I138" s="602"/>
      <c r="J138" s="602"/>
      <c r="K138" s="602"/>
      <c r="L138" s="602"/>
      <c r="M138" s="602"/>
      <c r="N138" s="603"/>
    </row>
    <row r="139" spans="1:15" ht="25.5" customHeight="1">
      <c r="E139" s="206"/>
      <c r="F139" s="206"/>
      <c r="G139" s="206"/>
      <c r="H139" s="206"/>
      <c r="I139" s="206"/>
      <c r="J139" s="206"/>
      <c r="K139" s="206"/>
    </row>
    <row r="140" spans="1:15" ht="21.6" thickBot="1"/>
    <row r="141" spans="1:15" ht="95.25" customHeight="1" thickBot="1">
      <c r="A141" s="592" t="s">
        <v>1883</v>
      </c>
      <c r="B141" s="593"/>
      <c r="C141" s="593"/>
      <c r="D141" s="593"/>
      <c r="E141" s="593"/>
      <c r="F141" s="593"/>
      <c r="G141" s="593"/>
      <c r="H141" s="593"/>
      <c r="I141" s="593"/>
      <c r="J141" s="593"/>
      <c r="K141" s="593"/>
      <c r="L141" s="593"/>
      <c r="M141" s="593"/>
      <c r="N141" s="594"/>
    </row>
    <row r="142" spans="1:15" s="3" customFormat="1" ht="37.5" customHeight="1">
      <c r="A142" s="134" t="s">
        <v>1884</v>
      </c>
      <c r="B142" s="166"/>
      <c r="C142" s="166"/>
      <c r="D142" s="123"/>
      <c r="E142" s="123"/>
      <c r="F142" s="167" t="s">
        <v>1885</v>
      </c>
      <c r="G142" s="167" t="s">
        <v>1886</v>
      </c>
      <c r="H142" s="167"/>
      <c r="I142" s="167"/>
      <c r="J142" s="167"/>
      <c r="K142" s="167"/>
      <c r="L142" s="167"/>
      <c r="M142" s="167"/>
      <c r="N142" s="152"/>
      <c r="O142" s="201"/>
    </row>
    <row r="143" spans="1:15" s="4" customFormat="1" ht="25.2">
      <c r="A143" s="125" t="s">
        <v>1887</v>
      </c>
      <c r="B143" s="123"/>
      <c r="C143" s="123"/>
      <c r="D143" s="123"/>
      <c r="E143" s="123"/>
      <c r="F143" s="167"/>
      <c r="G143" s="167" t="s">
        <v>1888</v>
      </c>
      <c r="H143" s="167"/>
      <c r="I143" s="167"/>
      <c r="J143" s="167"/>
      <c r="K143" s="167"/>
      <c r="L143" s="167"/>
      <c r="M143" s="167"/>
      <c r="N143" s="152"/>
    </row>
    <row r="144" spans="1:15" s="3" customFormat="1" ht="9.9" customHeight="1">
      <c r="A144" s="125"/>
      <c r="B144" s="123"/>
      <c r="C144" s="123"/>
      <c r="D144" s="123"/>
      <c r="E144" s="123"/>
      <c r="F144" s="167"/>
      <c r="G144" s="123"/>
      <c r="H144" s="123"/>
      <c r="I144" s="123"/>
      <c r="J144" s="123"/>
      <c r="K144" s="123"/>
      <c r="L144" s="123"/>
      <c r="M144" s="123"/>
      <c r="N144" s="126"/>
    </row>
    <row r="145" spans="1:14" s="3" customFormat="1" ht="42.75" customHeight="1">
      <c r="A145" s="125" t="s">
        <v>1889</v>
      </c>
      <c r="B145" s="123"/>
      <c r="C145" s="123"/>
      <c r="D145" s="123"/>
      <c r="E145" s="123"/>
      <c r="F145" s="167" t="s">
        <v>1885</v>
      </c>
      <c r="G145" s="167" t="str">
        <f>PL!$B$13</f>
        <v>Branch of JSC "Doosan Enerbility" in the Turkestan region</v>
      </c>
      <c r="H145" s="123"/>
      <c r="I145" s="123"/>
      <c r="J145" s="123"/>
      <c r="K145" s="123"/>
      <c r="L145" s="123"/>
      <c r="M145" s="123"/>
      <c r="N145" s="126"/>
    </row>
    <row r="146" spans="1:14" s="3" customFormat="1" ht="24" customHeight="1">
      <c r="A146" s="125" t="s">
        <v>1890</v>
      </c>
      <c r="B146" s="123"/>
      <c r="C146" s="123"/>
      <c r="D146" s="123"/>
      <c r="E146" s="123"/>
      <c r="F146" s="168"/>
      <c r="G146" s="167" t="str">
        <f>PL!$B$14</f>
        <v>321 Tauke Khan Avenue, Turkestan region, Turkestan, Kazakhstan, 161200</v>
      </c>
      <c r="H146" s="123"/>
      <c r="I146" s="123"/>
      <c r="J146" s="123"/>
      <c r="K146" s="123"/>
      <c r="L146" s="123"/>
      <c r="M146" s="123"/>
      <c r="N146" s="126"/>
    </row>
    <row r="147" spans="1:14" s="4" customFormat="1" ht="25.2">
      <c r="A147" s="125"/>
      <c r="B147" s="123"/>
      <c r="C147" s="123"/>
      <c r="D147" s="123"/>
      <c r="E147" s="123"/>
      <c r="F147" s="168"/>
      <c r="G147" s="167" t="str">
        <f>PL!$B$15</f>
        <v>BIN: 230741006561</v>
      </c>
      <c r="H147" s="123"/>
      <c r="I147" s="123"/>
      <c r="J147" s="123"/>
      <c r="K147" s="123"/>
      <c r="L147" s="123"/>
      <c r="M147" s="123"/>
      <c r="N147" s="126"/>
    </row>
    <row r="148" spans="1:14" s="3" customFormat="1" ht="9.9" customHeight="1">
      <c r="A148" s="125"/>
      <c r="B148" s="123"/>
      <c r="C148" s="123"/>
      <c r="D148" s="123"/>
      <c r="E148" s="123"/>
      <c r="F148" s="169"/>
      <c r="G148" s="169"/>
      <c r="H148" s="123"/>
      <c r="I148" s="123"/>
      <c r="J148" s="123"/>
      <c r="K148" s="123"/>
      <c r="L148" s="123"/>
      <c r="M148" s="123"/>
      <c r="N148" s="126"/>
    </row>
    <row r="149" spans="1:14" s="3" customFormat="1" ht="25.2">
      <c r="A149" s="125" t="s">
        <v>1891</v>
      </c>
      <c r="B149" s="123"/>
      <c r="C149" s="123"/>
      <c r="D149" s="123"/>
      <c r="E149" s="123"/>
      <c r="F149" s="167" t="s">
        <v>1892</v>
      </c>
      <c r="G149" s="123"/>
      <c r="H149" s="123"/>
      <c r="I149" s="123"/>
      <c r="J149" s="123"/>
      <c r="K149" s="123"/>
      <c r="L149" s="123"/>
      <c r="M149" s="123"/>
      <c r="N149" s="126"/>
    </row>
    <row r="150" spans="1:14" s="4" customFormat="1" ht="25.2">
      <c r="A150" s="125" t="s">
        <v>1893</v>
      </c>
      <c r="B150" s="123"/>
      <c r="C150" s="123"/>
      <c r="D150" s="123"/>
      <c r="E150" s="123"/>
      <c r="F150" s="167" t="s">
        <v>1894</v>
      </c>
      <c r="G150" s="123"/>
      <c r="H150" s="123"/>
      <c r="I150" s="123"/>
      <c r="J150" s="123"/>
      <c r="K150" s="123"/>
      <c r="L150" s="123"/>
      <c r="M150" s="123"/>
      <c r="N150" s="126"/>
    </row>
    <row r="151" spans="1:14" s="3" customFormat="1" ht="9.9" customHeight="1">
      <c r="A151" s="125"/>
      <c r="B151" s="123"/>
      <c r="C151" s="123"/>
      <c r="D151" s="123"/>
      <c r="E151" s="123"/>
      <c r="F151" s="167"/>
      <c r="G151" s="123"/>
      <c r="H151" s="123"/>
      <c r="I151" s="123"/>
      <c r="J151" s="123"/>
      <c r="K151" s="123"/>
      <c r="L151" s="123"/>
      <c r="M151" s="123"/>
      <c r="N151" s="126"/>
    </row>
    <row r="152" spans="1:14" s="3" customFormat="1" ht="25.2">
      <c r="A152" s="125" t="s">
        <v>1895</v>
      </c>
      <c r="B152" s="123"/>
      <c r="C152" s="123"/>
      <c r="D152" s="123"/>
      <c r="E152" s="123"/>
      <c r="F152" s="167" t="s">
        <v>1896</v>
      </c>
      <c r="G152" s="167" t="str">
        <f>PL!$V$8</f>
        <v>PGU-DE-0139-001</v>
      </c>
      <c r="H152" s="123"/>
      <c r="I152" s="123"/>
      <c r="J152" s="123"/>
      <c r="K152" s="123"/>
      <c r="L152" s="123"/>
      <c r="M152" s="123"/>
      <c r="N152" s="126"/>
    </row>
    <row r="153" spans="1:14" s="3" customFormat="1" ht="25.2">
      <c r="A153" s="125" t="s">
        <v>1897</v>
      </c>
      <c r="B153" s="123"/>
      <c r="C153" s="123"/>
      <c r="D153" s="123"/>
      <c r="E153" s="123"/>
      <c r="F153" s="167"/>
      <c r="G153" s="123"/>
      <c r="H153" s="123"/>
      <c r="I153" s="123"/>
      <c r="J153" s="123"/>
      <c r="K153" s="123"/>
      <c r="L153" s="123"/>
      <c r="M153" s="123"/>
      <c r="N153" s="126"/>
    </row>
    <row r="154" spans="1:14" s="3" customFormat="1" ht="9.9" customHeight="1">
      <c r="A154" s="125"/>
      <c r="B154" s="123"/>
      <c r="C154" s="123"/>
      <c r="D154" s="123"/>
      <c r="E154" s="123"/>
      <c r="F154" s="167"/>
      <c r="G154" s="123"/>
      <c r="H154" s="123"/>
      <c r="I154" s="123"/>
      <c r="J154" s="123"/>
      <c r="K154" s="123"/>
      <c r="L154" s="123"/>
      <c r="M154" s="123"/>
      <c r="N154" s="126"/>
    </row>
    <row r="155" spans="1:14" s="3" customFormat="1" ht="31.2" customHeight="1">
      <c r="A155" s="127" t="s">
        <v>1898</v>
      </c>
      <c r="B155" s="170"/>
      <c r="C155" s="170"/>
      <c r="D155" s="170"/>
      <c r="E155" s="170"/>
      <c r="F155" s="171" t="s">
        <v>1885</v>
      </c>
      <c r="G155" s="597" t="e">
        <f>VLOOKUP(G158, 'Detail PL'!$B$14:$Q$799,2)</f>
        <v>#N/A</v>
      </c>
      <c r="H155" s="597"/>
      <c r="I155" s="597"/>
      <c r="J155" s="597"/>
      <c r="K155" s="597"/>
      <c r="L155" s="597"/>
      <c r="M155" s="597"/>
      <c r="N155" s="128"/>
    </row>
    <row r="156" spans="1:14" s="3" customFormat="1" ht="25.2">
      <c r="A156" s="127" t="s">
        <v>1899</v>
      </c>
      <c r="B156" s="170"/>
      <c r="C156" s="170"/>
      <c r="D156" s="170"/>
      <c r="E156" s="170"/>
      <c r="F156" s="171"/>
      <c r="G156" s="170"/>
      <c r="H156" s="170"/>
      <c r="I156" s="170"/>
      <c r="J156" s="170"/>
      <c r="K156" s="170"/>
      <c r="L156" s="170"/>
      <c r="M156" s="170"/>
      <c r="N156" s="128"/>
    </row>
    <row r="157" spans="1:14" s="3" customFormat="1" ht="9.9" customHeight="1">
      <c r="A157" s="125"/>
      <c r="B157" s="123"/>
      <c r="C157" s="123"/>
      <c r="D157" s="123"/>
      <c r="E157" s="123"/>
      <c r="F157" s="167"/>
      <c r="G157" s="123"/>
      <c r="H157" s="123"/>
      <c r="I157" s="123"/>
      <c r="J157" s="123"/>
      <c r="K157" s="123"/>
      <c r="L157" s="123"/>
      <c r="M157" s="123"/>
      <c r="N157" s="126"/>
    </row>
    <row r="158" spans="1:14" s="3" customFormat="1" ht="25.2">
      <c r="A158" s="125" t="s">
        <v>1900</v>
      </c>
      <c r="B158" s="123"/>
      <c r="C158" s="123"/>
      <c r="D158" s="123"/>
      <c r="E158" s="123"/>
      <c r="F158" s="171" t="s">
        <v>1901</v>
      </c>
      <c r="G158" s="604">
        <f t="shared" ref="G158" si="2">G123+1</f>
        <v>5</v>
      </c>
      <c r="H158" s="604"/>
      <c r="I158" s="604"/>
      <c r="J158" s="604"/>
      <c r="K158" s="604"/>
      <c r="L158" s="123"/>
      <c r="M158" s="123"/>
      <c r="N158" s="126"/>
    </row>
    <row r="159" spans="1:14" s="4" customFormat="1" ht="25.2">
      <c r="A159" s="125" t="s">
        <v>1903</v>
      </c>
      <c r="B159" s="123"/>
      <c r="C159" s="123"/>
      <c r="D159" s="123"/>
      <c r="E159" s="123"/>
      <c r="F159" s="167"/>
      <c r="G159" s="167"/>
      <c r="H159" s="123"/>
      <c r="I159" s="123"/>
      <c r="J159" s="123"/>
      <c r="K159" s="123"/>
      <c r="L159" s="123"/>
      <c r="M159" s="123"/>
      <c r="N159" s="126"/>
    </row>
    <row r="160" spans="1:14" s="3" customFormat="1" ht="9.9" customHeight="1">
      <c r="A160" s="125"/>
      <c r="B160" s="123"/>
      <c r="C160" s="123"/>
      <c r="D160" s="123"/>
      <c r="E160" s="123"/>
      <c r="F160" s="167"/>
      <c r="G160" s="167"/>
      <c r="H160" s="123"/>
      <c r="I160" s="123"/>
      <c r="J160" s="123"/>
      <c r="K160" s="123"/>
      <c r="L160" s="123"/>
      <c r="M160" s="123"/>
      <c r="N160" s="126"/>
    </row>
    <row r="161" spans="1:14" s="3" customFormat="1" ht="25.2">
      <c r="A161" s="125" t="s">
        <v>1904</v>
      </c>
      <c r="B161" s="123"/>
      <c r="C161" s="123"/>
      <c r="D161" s="123"/>
      <c r="E161" s="123"/>
      <c r="F161" s="167" t="s">
        <v>1896</v>
      </c>
      <c r="G161" s="204" t="e">
        <f>VLOOKUP(G158, 'Detail PL'!$B$14:$Q$799, 10)</f>
        <v>#N/A</v>
      </c>
      <c r="H161" s="204" t="s">
        <v>1905</v>
      </c>
      <c r="I161" s="204"/>
      <c r="J161" s="204"/>
      <c r="K161" s="123"/>
      <c r="L161" s="123"/>
      <c r="M161" s="123"/>
      <c r="N161" s="126"/>
    </row>
    <row r="162" spans="1:14" s="4" customFormat="1" ht="25.2">
      <c r="A162" s="125" t="s">
        <v>1906</v>
      </c>
      <c r="B162" s="123"/>
      <c r="C162" s="123"/>
      <c r="D162" s="123"/>
      <c r="E162" s="123"/>
      <c r="F162" s="167"/>
      <c r="G162" s="167"/>
      <c r="H162" s="167"/>
      <c r="I162" s="123"/>
      <c r="J162" s="123"/>
      <c r="K162" s="123"/>
      <c r="L162" s="123"/>
      <c r="M162" s="123"/>
      <c r="N162" s="126"/>
    </row>
    <row r="163" spans="1:14" s="3" customFormat="1" ht="9.9" customHeight="1">
      <c r="A163" s="125"/>
      <c r="B163" s="123"/>
      <c r="C163" s="123"/>
      <c r="D163" s="123"/>
      <c r="E163" s="123"/>
      <c r="F163" s="167"/>
      <c r="G163" s="167"/>
      <c r="H163" s="167"/>
      <c r="I163" s="123"/>
      <c r="J163" s="123"/>
      <c r="K163" s="123"/>
      <c r="L163" s="123"/>
      <c r="M163" s="123"/>
      <c r="N163" s="126"/>
    </row>
    <row r="164" spans="1:14" s="3" customFormat="1" ht="25.2">
      <c r="A164" s="125" t="s">
        <v>1907</v>
      </c>
      <c r="B164" s="123"/>
      <c r="C164" s="123"/>
      <c r="D164" s="123"/>
      <c r="E164" s="123"/>
      <c r="F164" s="167" t="s">
        <v>1896</v>
      </c>
      <c r="G164" s="204" t="e">
        <f>VLOOKUP(G158, 'Detail PL'!$B$14:$Q$799, 11)</f>
        <v>#N/A</v>
      </c>
      <c r="H164" s="204" t="s">
        <v>1905</v>
      </c>
      <c r="I164" s="204"/>
      <c r="J164" s="204"/>
      <c r="K164" s="123"/>
      <c r="L164" s="123"/>
      <c r="M164" s="123"/>
      <c r="N164" s="126"/>
    </row>
    <row r="165" spans="1:14" s="4" customFormat="1" ht="25.2">
      <c r="A165" s="125" t="s">
        <v>1908</v>
      </c>
      <c r="B165" s="123"/>
      <c r="C165" s="123"/>
      <c r="D165" s="123"/>
      <c r="E165" s="123"/>
      <c r="F165" s="167"/>
      <c r="G165" s="167"/>
      <c r="H165" s="123"/>
      <c r="I165" s="123"/>
      <c r="J165" s="123"/>
      <c r="K165" s="123"/>
      <c r="L165" s="123"/>
      <c r="M165" s="123"/>
      <c r="N165" s="126"/>
    </row>
    <row r="166" spans="1:14" s="3" customFormat="1" ht="9.9" customHeight="1">
      <c r="A166" s="125"/>
      <c r="B166" s="123"/>
      <c r="C166" s="123"/>
      <c r="D166" s="123"/>
      <c r="E166" s="123"/>
      <c r="F166" s="167"/>
      <c r="G166" s="167"/>
      <c r="H166" s="123"/>
      <c r="I166" s="123"/>
      <c r="J166" s="123"/>
      <c r="K166" s="123"/>
      <c r="L166" s="123"/>
      <c r="M166" s="123"/>
      <c r="N166" s="126"/>
    </row>
    <row r="167" spans="1:14" s="3" customFormat="1" ht="25.2">
      <c r="A167" s="129" t="s">
        <v>1909</v>
      </c>
      <c r="B167" s="123"/>
      <c r="C167" s="123"/>
      <c r="D167" s="123"/>
      <c r="E167" s="123"/>
      <c r="F167" s="167" t="s">
        <v>1896</v>
      </c>
      <c r="G167" s="204" t="e">
        <f>VLOOKUP(G158, 'Detail PL'!$B$14:$Q$799, 9)</f>
        <v>#N/A</v>
      </c>
      <c r="H167" s="205" t="s">
        <v>1910</v>
      </c>
      <c r="I167" s="203"/>
      <c r="J167" s="203"/>
      <c r="K167" s="172"/>
      <c r="L167" s="123"/>
      <c r="M167" s="123"/>
      <c r="N167" s="126"/>
    </row>
    <row r="168" spans="1:14" s="4" customFormat="1" ht="25.2">
      <c r="A168" s="125" t="s">
        <v>1911</v>
      </c>
      <c r="B168" s="123"/>
      <c r="C168" s="123"/>
      <c r="D168" s="123"/>
      <c r="E168" s="123"/>
      <c r="F168" s="167"/>
      <c r="G168" s="167"/>
      <c r="H168" s="123"/>
      <c r="I168" s="123"/>
      <c r="J168" s="123"/>
      <c r="K168" s="123"/>
      <c r="L168" s="123"/>
      <c r="M168" s="123"/>
      <c r="N168" s="126"/>
    </row>
    <row r="169" spans="1:14" s="3" customFormat="1" ht="9.9" customHeight="1">
      <c r="A169" s="125"/>
      <c r="B169" s="123"/>
      <c r="C169" s="123"/>
      <c r="D169" s="123"/>
      <c r="E169" s="123"/>
      <c r="F169" s="167"/>
      <c r="G169" s="167"/>
      <c r="H169" s="123"/>
      <c r="I169" s="123"/>
      <c r="J169" s="123"/>
      <c r="K169" s="123"/>
      <c r="L169" s="123"/>
      <c r="M169" s="123"/>
      <c r="N169" s="126"/>
    </row>
    <row r="170" spans="1:14" s="3" customFormat="1" ht="42" customHeight="1">
      <c r="A170" s="125" t="s">
        <v>1912</v>
      </c>
      <c r="B170" s="123"/>
      <c r="C170" s="123"/>
      <c r="D170" s="123"/>
      <c r="E170" s="123"/>
      <c r="F170" s="166" t="s">
        <v>1913</v>
      </c>
      <c r="G170" s="595" t="s">
        <v>1914</v>
      </c>
      <c r="H170" s="595"/>
      <c r="I170" s="595"/>
      <c r="J170" s="595"/>
      <c r="K170" s="595"/>
      <c r="L170" s="595"/>
      <c r="M170" s="595"/>
      <c r="N170" s="596"/>
    </row>
    <row r="171" spans="1:14" s="4" customFormat="1" ht="25.8" thickBot="1">
      <c r="A171" s="125" t="s">
        <v>1915</v>
      </c>
      <c r="B171" s="123"/>
      <c r="C171" s="123"/>
      <c r="D171" s="123"/>
      <c r="E171" s="123"/>
      <c r="F171" s="167"/>
      <c r="G171" s="167"/>
      <c r="H171" s="123"/>
      <c r="I171" s="123"/>
      <c r="J171" s="123"/>
      <c r="K171" s="123"/>
      <c r="L171" s="123"/>
      <c r="M171" s="123"/>
      <c r="N171" s="126"/>
    </row>
    <row r="172" spans="1:14" ht="21" customHeight="1">
      <c r="A172" s="598" t="s">
        <v>1916</v>
      </c>
      <c r="B172" s="599"/>
      <c r="C172" s="599"/>
      <c r="D172" s="599"/>
      <c r="E172" s="599"/>
      <c r="F172" s="599"/>
      <c r="G172" s="599"/>
      <c r="H172" s="599"/>
      <c r="I172" s="599"/>
      <c r="J172" s="599"/>
      <c r="K172" s="599"/>
      <c r="L172" s="599"/>
      <c r="M172" s="599"/>
      <c r="N172" s="600"/>
    </row>
    <row r="173" spans="1:14" ht="25.5" customHeight="1" thickBot="1">
      <c r="A173" s="601"/>
      <c r="B173" s="602"/>
      <c r="C173" s="602"/>
      <c r="D173" s="602"/>
      <c r="E173" s="602"/>
      <c r="F173" s="602"/>
      <c r="G173" s="602"/>
      <c r="H173" s="602"/>
      <c r="I173" s="602"/>
      <c r="J173" s="602"/>
      <c r="K173" s="602"/>
      <c r="L173" s="602"/>
      <c r="M173" s="602"/>
      <c r="N173" s="603"/>
    </row>
    <row r="174" spans="1:14" ht="25.5" customHeight="1">
      <c r="E174" s="206"/>
      <c r="F174" s="206"/>
      <c r="G174" s="206"/>
      <c r="H174" s="206"/>
      <c r="I174" s="206"/>
      <c r="J174" s="206"/>
      <c r="K174" s="206"/>
    </row>
    <row r="175" spans="1:14" ht="21.6" thickBot="1"/>
    <row r="176" spans="1:14" ht="95.25" customHeight="1" thickBot="1">
      <c r="A176" s="592" t="s">
        <v>1883</v>
      </c>
      <c r="B176" s="593"/>
      <c r="C176" s="593"/>
      <c r="D176" s="593"/>
      <c r="E176" s="593"/>
      <c r="F176" s="593"/>
      <c r="G176" s="593"/>
      <c r="H176" s="593"/>
      <c r="I176" s="593"/>
      <c r="J176" s="593"/>
      <c r="K176" s="593"/>
      <c r="L176" s="593"/>
      <c r="M176" s="593"/>
      <c r="N176" s="594"/>
    </row>
    <row r="177" spans="1:15" s="3" customFormat="1" ht="37.5" customHeight="1">
      <c r="A177" s="134" t="s">
        <v>1884</v>
      </c>
      <c r="B177" s="166"/>
      <c r="C177" s="166"/>
      <c r="D177" s="123"/>
      <c r="E177" s="123"/>
      <c r="F177" s="167" t="s">
        <v>1885</v>
      </c>
      <c r="G177" s="167" t="s">
        <v>1886</v>
      </c>
      <c r="H177" s="167"/>
      <c r="I177" s="167"/>
      <c r="J177" s="167"/>
      <c r="K177" s="167"/>
      <c r="L177" s="167"/>
      <c r="M177" s="167"/>
      <c r="N177" s="152"/>
      <c r="O177" s="201"/>
    </row>
    <row r="178" spans="1:15" s="4" customFormat="1" ht="25.2">
      <c r="A178" s="125" t="s">
        <v>1887</v>
      </c>
      <c r="B178" s="123"/>
      <c r="C178" s="123"/>
      <c r="D178" s="123"/>
      <c r="E178" s="123"/>
      <c r="F178" s="167"/>
      <c r="G178" s="167" t="s">
        <v>1888</v>
      </c>
      <c r="H178" s="167"/>
      <c r="I178" s="167"/>
      <c r="J178" s="167"/>
      <c r="K178" s="167"/>
      <c r="L178" s="167"/>
      <c r="M178" s="167"/>
      <c r="N178" s="152"/>
    </row>
    <row r="179" spans="1:15" s="3" customFormat="1" ht="9.9" customHeight="1">
      <c r="A179" s="125"/>
      <c r="B179" s="123"/>
      <c r="C179" s="123"/>
      <c r="D179" s="123"/>
      <c r="E179" s="123"/>
      <c r="F179" s="167"/>
      <c r="G179" s="123"/>
      <c r="H179" s="123"/>
      <c r="I179" s="123"/>
      <c r="J179" s="123"/>
      <c r="K179" s="123"/>
      <c r="L179" s="123"/>
      <c r="M179" s="123"/>
      <c r="N179" s="126"/>
    </row>
    <row r="180" spans="1:15" s="3" customFormat="1" ht="42.75" customHeight="1">
      <c r="A180" s="125" t="s">
        <v>1889</v>
      </c>
      <c r="B180" s="123"/>
      <c r="C180" s="123"/>
      <c r="D180" s="123"/>
      <c r="E180" s="123"/>
      <c r="F180" s="167" t="s">
        <v>1885</v>
      </c>
      <c r="G180" s="167" t="str">
        <f>PL!$B$13</f>
        <v>Branch of JSC "Doosan Enerbility" in the Turkestan region</v>
      </c>
      <c r="H180" s="123"/>
      <c r="I180" s="123"/>
      <c r="J180" s="123"/>
      <c r="K180" s="123"/>
      <c r="L180" s="123"/>
      <c r="M180" s="123"/>
      <c r="N180" s="126"/>
    </row>
    <row r="181" spans="1:15" s="3" customFormat="1" ht="24" customHeight="1">
      <c r="A181" s="125" t="s">
        <v>1890</v>
      </c>
      <c r="B181" s="123"/>
      <c r="C181" s="123"/>
      <c r="D181" s="123"/>
      <c r="E181" s="123"/>
      <c r="F181" s="168"/>
      <c r="G181" s="167" t="str">
        <f>PL!$B$14</f>
        <v>321 Tauke Khan Avenue, Turkestan region, Turkestan, Kazakhstan, 161200</v>
      </c>
      <c r="H181" s="123"/>
      <c r="I181" s="123"/>
      <c r="J181" s="123"/>
      <c r="K181" s="123"/>
      <c r="L181" s="123"/>
      <c r="M181" s="123"/>
      <c r="N181" s="126"/>
    </row>
    <row r="182" spans="1:15" s="4" customFormat="1" ht="25.2">
      <c r="A182" s="125"/>
      <c r="B182" s="123"/>
      <c r="C182" s="123"/>
      <c r="D182" s="123"/>
      <c r="E182" s="123"/>
      <c r="F182" s="168"/>
      <c r="G182" s="167" t="str">
        <f>PL!$B$15</f>
        <v>BIN: 230741006561</v>
      </c>
      <c r="H182" s="123"/>
      <c r="I182" s="123"/>
      <c r="J182" s="123"/>
      <c r="K182" s="123"/>
      <c r="L182" s="123"/>
      <c r="M182" s="123"/>
      <c r="N182" s="126"/>
    </row>
    <row r="183" spans="1:15" s="3" customFormat="1" ht="9.9" customHeight="1">
      <c r="A183" s="125"/>
      <c r="B183" s="123"/>
      <c r="C183" s="123"/>
      <c r="D183" s="123"/>
      <c r="E183" s="123"/>
      <c r="F183" s="169"/>
      <c r="G183" s="169"/>
      <c r="H183" s="123"/>
      <c r="I183" s="123"/>
      <c r="J183" s="123"/>
      <c r="K183" s="123"/>
      <c r="L183" s="123"/>
      <c r="M183" s="123"/>
      <c r="N183" s="126"/>
    </row>
    <row r="184" spans="1:15" s="3" customFormat="1" ht="25.2">
      <c r="A184" s="125" t="s">
        <v>1891</v>
      </c>
      <c r="B184" s="123"/>
      <c r="C184" s="123"/>
      <c r="D184" s="123"/>
      <c r="E184" s="123"/>
      <c r="F184" s="167" t="s">
        <v>1892</v>
      </c>
      <c r="G184" s="123"/>
      <c r="H184" s="123"/>
      <c r="I184" s="123"/>
      <c r="J184" s="123"/>
      <c r="K184" s="123"/>
      <c r="L184" s="123"/>
      <c r="M184" s="123"/>
      <c r="N184" s="126"/>
    </row>
    <row r="185" spans="1:15" s="4" customFormat="1" ht="25.2">
      <c r="A185" s="125" t="s">
        <v>1893</v>
      </c>
      <c r="B185" s="123"/>
      <c r="C185" s="123"/>
      <c r="D185" s="123"/>
      <c r="E185" s="123"/>
      <c r="F185" s="167" t="s">
        <v>1894</v>
      </c>
      <c r="G185" s="123"/>
      <c r="H185" s="123"/>
      <c r="I185" s="123"/>
      <c r="J185" s="123"/>
      <c r="K185" s="123"/>
      <c r="L185" s="123"/>
      <c r="M185" s="123"/>
      <c r="N185" s="126"/>
    </row>
    <row r="186" spans="1:15" s="3" customFormat="1" ht="9.9" customHeight="1">
      <c r="A186" s="125"/>
      <c r="B186" s="123"/>
      <c r="C186" s="123"/>
      <c r="D186" s="123"/>
      <c r="E186" s="123"/>
      <c r="F186" s="167"/>
      <c r="G186" s="123"/>
      <c r="H186" s="123"/>
      <c r="I186" s="123"/>
      <c r="J186" s="123"/>
      <c r="K186" s="123"/>
      <c r="L186" s="123"/>
      <c r="M186" s="123"/>
      <c r="N186" s="126"/>
    </row>
    <row r="187" spans="1:15" s="3" customFormat="1" ht="25.2">
      <c r="A187" s="125" t="s">
        <v>1895</v>
      </c>
      <c r="B187" s="123"/>
      <c r="C187" s="123"/>
      <c r="D187" s="123"/>
      <c r="E187" s="123"/>
      <c r="F187" s="167" t="s">
        <v>1896</v>
      </c>
      <c r="G187" s="167" t="str">
        <f>PL!$V$8</f>
        <v>PGU-DE-0139-001</v>
      </c>
      <c r="H187" s="123"/>
      <c r="I187" s="123"/>
      <c r="J187" s="123"/>
      <c r="K187" s="123"/>
      <c r="L187" s="123"/>
      <c r="M187" s="123"/>
      <c r="N187" s="126"/>
    </row>
    <row r="188" spans="1:15" s="3" customFormat="1" ht="25.2">
      <c r="A188" s="125" t="s">
        <v>1897</v>
      </c>
      <c r="B188" s="123"/>
      <c r="C188" s="123"/>
      <c r="D188" s="123"/>
      <c r="E188" s="123"/>
      <c r="F188" s="167"/>
      <c r="G188" s="123"/>
      <c r="H188" s="123"/>
      <c r="I188" s="123"/>
      <c r="J188" s="123"/>
      <c r="K188" s="123"/>
      <c r="L188" s="123"/>
      <c r="M188" s="123"/>
      <c r="N188" s="126"/>
    </row>
    <row r="189" spans="1:15" s="3" customFormat="1" ht="9.9" customHeight="1">
      <c r="A189" s="125"/>
      <c r="B189" s="123"/>
      <c r="C189" s="123"/>
      <c r="D189" s="123"/>
      <c r="E189" s="123"/>
      <c r="F189" s="167"/>
      <c r="G189" s="123"/>
      <c r="H189" s="123"/>
      <c r="I189" s="123"/>
      <c r="J189" s="123"/>
      <c r="K189" s="123"/>
      <c r="L189" s="123"/>
      <c r="M189" s="123"/>
      <c r="N189" s="126"/>
    </row>
    <row r="190" spans="1:15" s="3" customFormat="1" ht="31.2" customHeight="1">
      <c r="A190" s="127" t="s">
        <v>1898</v>
      </c>
      <c r="B190" s="170"/>
      <c r="C190" s="170"/>
      <c r="D190" s="170"/>
      <c r="E190" s="170"/>
      <c r="F190" s="171" t="s">
        <v>1885</v>
      </c>
      <c r="G190" s="597" t="e">
        <f>VLOOKUP(G193, 'Detail PL'!$B$14:$Q$799,2)</f>
        <v>#N/A</v>
      </c>
      <c r="H190" s="597"/>
      <c r="I190" s="597"/>
      <c r="J190" s="597"/>
      <c r="K190" s="597"/>
      <c r="L190" s="597"/>
      <c r="M190" s="597"/>
      <c r="N190" s="128"/>
    </row>
    <row r="191" spans="1:15" s="3" customFormat="1" ht="25.2">
      <c r="A191" s="127" t="s">
        <v>1899</v>
      </c>
      <c r="B191" s="170"/>
      <c r="C191" s="170"/>
      <c r="D191" s="170"/>
      <c r="E191" s="170"/>
      <c r="F191" s="171"/>
      <c r="G191" s="170"/>
      <c r="H191" s="170"/>
      <c r="I191" s="170"/>
      <c r="J191" s="170"/>
      <c r="K191" s="170"/>
      <c r="L191" s="170"/>
      <c r="M191" s="170"/>
      <c r="N191" s="128"/>
    </row>
    <row r="192" spans="1:15" s="3" customFormat="1" ht="9.9" customHeight="1">
      <c r="A192" s="125"/>
      <c r="B192" s="123"/>
      <c r="C192" s="123"/>
      <c r="D192" s="123"/>
      <c r="E192" s="123"/>
      <c r="F192" s="167"/>
      <c r="G192" s="123"/>
      <c r="H192" s="123"/>
      <c r="I192" s="123"/>
      <c r="J192" s="123"/>
      <c r="K192" s="123"/>
      <c r="L192" s="123"/>
      <c r="M192" s="123"/>
      <c r="N192" s="126"/>
    </row>
    <row r="193" spans="1:14" s="3" customFormat="1" ht="25.2">
      <c r="A193" s="125" t="s">
        <v>1900</v>
      </c>
      <c r="B193" s="123"/>
      <c r="C193" s="123"/>
      <c r="D193" s="123"/>
      <c r="E193" s="123"/>
      <c r="F193" s="171" t="s">
        <v>1901</v>
      </c>
      <c r="G193" s="604">
        <f t="shared" ref="G193" si="3">G158+1</f>
        <v>6</v>
      </c>
      <c r="H193" s="604"/>
      <c r="I193" s="604"/>
      <c r="J193" s="604"/>
      <c r="K193" s="604"/>
      <c r="L193" s="123"/>
      <c r="M193" s="123"/>
      <c r="N193" s="126"/>
    </row>
    <row r="194" spans="1:14" s="4" customFormat="1" ht="25.2">
      <c r="A194" s="125" t="s">
        <v>1903</v>
      </c>
      <c r="B194" s="123"/>
      <c r="C194" s="123"/>
      <c r="D194" s="123"/>
      <c r="E194" s="123"/>
      <c r="F194" s="167"/>
      <c r="G194" s="167"/>
      <c r="H194" s="123"/>
      <c r="I194" s="123"/>
      <c r="J194" s="123"/>
      <c r="K194" s="123"/>
      <c r="L194" s="123"/>
      <c r="M194" s="123"/>
      <c r="N194" s="126"/>
    </row>
    <row r="195" spans="1:14" s="3" customFormat="1" ht="9.9" customHeight="1">
      <c r="A195" s="125"/>
      <c r="B195" s="123"/>
      <c r="C195" s="123"/>
      <c r="D195" s="123"/>
      <c r="E195" s="123"/>
      <c r="F195" s="167"/>
      <c r="G195" s="167"/>
      <c r="H195" s="123"/>
      <c r="I195" s="123"/>
      <c r="J195" s="123"/>
      <c r="K195" s="123"/>
      <c r="L195" s="123"/>
      <c r="M195" s="123"/>
      <c r="N195" s="126"/>
    </row>
    <row r="196" spans="1:14" s="3" customFormat="1" ht="25.2">
      <c r="A196" s="125" t="s">
        <v>1904</v>
      </c>
      <c r="B196" s="123"/>
      <c r="C196" s="123"/>
      <c r="D196" s="123"/>
      <c r="E196" s="123"/>
      <c r="F196" s="167" t="s">
        <v>1896</v>
      </c>
      <c r="G196" s="204" t="e">
        <f>VLOOKUP(G193, 'Detail PL'!$B$14:$Q$799, 10)</f>
        <v>#N/A</v>
      </c>
      <c r="H196" s="204" t="s">
        <v>1905</v>
      </c>
      <c r="I196" s="204"/>
      <c r="J196" s="204"/>
      <c r="K196" s="123"/>
      <c r="L196" s="123"/>
      <c r="M196" s="123"/>
      <c r="N196" s="126"/>
    </row>
    <row r="197" spans="1:14" s="4" customFormat="1" ht="25.2">
      <c r="A197" s="125" t="s">
        <v>1906</v>
      </c>
      <c r="B197" s="123"/>
      <c r="C197" s="123"/>
      <c r="D197" s="123"/>
      <c r="E197" s="123"/>
      <c r="F197" s="167"/>
      <c r="G197" s="167"/>
      <c r="H197" s="167"/>
      <c r="I197" s="123"/>
      <c r="J197" s="123"/>
      <c r="K197" s="123"/>
      <c r="L197" s="123"/>
      <c r="M197" s="123"/>
      <c r="N197" s="126"/>
    </row>
    <row r="198" spans="1:14" s="3" customFormat="1" ht="9.9" customHeight="1">
      <c r="A198" s="125"/>
      <c r="B198" s="123"/>
      <c r="C198" s="123"/>
      <c r="D198" s="123"/>
      <c r="E198" s="123"/>
      <c r="F198" s="167"/>
      <c r="G198" s="167"/>
      <c r="H198" s="167"/>
      <c r="I198" s="123"/>
      <c r="J198" s="123"/>
      <c r="K198" s="123"/>
      <c r="L198" s="123"/>
      <c r="M198" s="123"/>
      <c r="N198" s="126"/>
    </row>
    <row r="199" spans="1:14" s="3" customFormat="1" ht="25.2">
      <c r="A199" s="125" t="s">
        <v>1907</v>
      </c>
      <c r="B199" s="123"/>
      <c r="C199" s="123"/>
      <c r="D199" s="123"/>
      <c r="E199" s="123"/>
      <c r="F199" s="167" t="s">
        <v>1896</v>
      </c>
      <c r="G199" s="204" t="e">
        <f>VLOOKUP(G193, 'Detail PL'!$B$14:$Q$799, 11)</f>
        <v>#N/A</v>
      </c>
      <c r="H199" s="204" t="s">
        <v>1905</v>
      </c>
      <c r="I199" s="204"/>
      <c r="J199" s="204"/>
      <c r="K199" s="123"/>
      <c r="L199" s="123"/>
      <c r="M199" s="123"/>
      <c r="N199" s="126"/>
    </row>
    <row r="200" spans="1:14" s="4" customFormat="1" ht="25.2">
      <c r="A200" s="125" t="s">
        <v>1908</v>
      </c>
      <c r="B200" s="123"/>
      <c r="C200" s="123"/>
      <c r="D200" s="123"/>
      <c r="E200" s="123"/>
      <c r="F200" s="167"/>
      <c r="G200" s="167"/>
      <c r="H200" s="123"/>
      <c r="I200" s="123"/>
      <c r="J200" s="123"/>
      <c r="K200" s="123"/>
      <c r="L200" s="123"/>
      <c r="M200" s="123"/>
      <c r="N200" s="126"/>
    </row>
    <row r="201" spans="1:14" s="3" customFormat="1" ht="9.9" customHeight="1">
      <c r="A201" s="125"/>
      <c r="B201" s="123"/>
      <c r="C201" s="123"/>
      <c r="D201" s="123"/>
      <c r="E201" s="123"/>
      <c r="F201" s="167"/>
      <c r="G201" s="167"/>
      <c r="H201" s="123"/>
      <c r="I201" s="123"/>
      <c r="J201" s="123"/>
      <c r="K201" s="123"/>
      <c r="L201" s="123"/>
      <c r="M201" s="123"/>
      <c r="N201" s="126"/>
    </row>
    <row r="202" spans="1:14" s="3" customFormat="1" ht="25.2">
      <c r="A202" s="129" t="s">
        <v>1909</v>
      </c>
      <c r="B202" s="123"/>
      <c r="C202" s="123"/>
      <c r="D202" s="123"/>
      <c r="E202" s="123"/>
      <c r="F202" s="167" t="s">
        <v>1896</v>
      </c>
      <c r="G202" s="204" t="e">
        <f>VLOOKUP(G193, 'Detail PL'!$B$14:$Q$799, 9)</f>
        <v>#N/A</v>
      </c>
      <c r="H202" s="205" t="s">
        <v>1910</v>
      </c>
      <c r="I202" s="203"/>
      <c r="J202" s="203"/>
      <c r="K202" s="172"/>
      <c r="L202" s="123"/>
      <c r="M202" s="123"/>
      <c r="N202" s="126"/>
    </row>
    <row r="203" spans="1:14" s="4" customFormat="1" ht="25.2">
      <c r="A203" s="125" t="s">
        <v>1911</v>
      </c>
      <c r="B203" s="123"/>
      <c r="C203" s="123"/>
      <c r="D203" s="123"/>
      <c r="E203" s="123"/>
      <c r="F203" s="167"/>
      <c r="G203" s="167"/>
      <c r="H203" s="123"/>
      <c r="I203" s="123"/>
      <c r="J203" s="123"/>
      <c r="K203" s="123"/>
      <c r="L203" s="123"/>
      <c r="M203" s="123"/>
      <c r="N203" s="126"/>
    </row>
    <row r="204" spans="1:14" s="3" customFormat="1" ht="9.9" customHeight="1">
      <c r="A204" s="125"/>
      <c r="B204" s="123"/>
      <c r="C204" s="123"/>
      <c r="D204" s="123"/>
      <c r="E204" s="123"/>
      <c r="F204" s="167"/>
      <c r="G204" s="167"/>
      <c r="H204" s="123"/>
      <c r="I204" s="123"/>
      <c r="J204" s="123"/>
      <c r="K204" s="123"/>
      <c r="L204" s="123"/>
      <c r="M204" s="123"/>
      <c r="N204" s="126"/>
    </row>
    <row r="205" spans="1:14" s="3" customFormat="1" ht="42" customHeight="1">
      <c r="A205" s="125" t="s">
        <v>1912</v>
      </c>
      <c r="B205" s="123"/>
      <c r="C205" s="123"/>
      <c r="D205" s="123"/>
      <c r="E205" s="123"/>
      <c r="F205" s="166" t="s">
        <v>1913</v>
      </c>
      <c r="G205" s="595" t="s">
        <v>1914</v>
      </c>
      <c r="H205" s="595"/>
      <c r="I205" s="595"/>
      <c r="J205" s="595"/>
      <c r="K205" s="595"/>
      <c r="L205" s="595"/>
      <c r="M205" s="595"/>
      <c r="N205" s="596"/>
    </row>
    <row r="206" spans="1:14" s="4" customFormat="1" ht="25.8" thickBot="1">
      <c r="A206" s="125" t="s">
        <v>1915</v>
      </c>
      <c r="B206" s="123"/>
      <c r="C206" s="123"/>
      <c r="D206" s="123"/>
      <c r="E206" s="123"/>
      <c r="F206" s="167"/>
      <c r="G206" s="167"/>
      <c r="H206" s="123"/>
      <c r="I206" s="123"/>
      <c r="J206" s="123"/>
      <c r="K206" s="123"/>
      <c r="L206" s="123"/>
      <c r="M206" s="123"/>
      <c r="N206" s="126"/>
    </row>
    <row r="207" spans="1:14" ht="21" customHeight="1">
      <c r="A207" s="598" t="s">
        <v>1916</v>
      </c>
      <c r="B207" s="599"/>
      <c r="C207" s="599"/>
      <c r="D207" s="599"/>
      <c r="E207" s="599"/>
      <c r="F207" s="599"/>
      <c r="G207" s="599"/>
      <c r="H207" s="599"/>
      <c r="I207" s="599"/>
      <c r="J207" s="599"/>
      <c r="K207" s="599"/>
      <c r="L207" s="599"/>
      <c r="M207" s="599"/>
      <c r="N207" s="600"/>
    </row>
    <row r="208" spans="1:14" ht="25.5" customHeight="1" thickBot="1">
      <c r="A208" s="601"/>
      <c r="B208" s="602"/>
      <c r="C208" s="602"/>
      <c r="D208" s="602"/>
      <c r="E208" s="602"/>
      <c r="F208" s="602"/>
      <c r="G208" s="602"/>
      <c r="H208" s="602"/>
      <c r="I208" s="602"/>
      <c r="J208" s="602"/>
      <c r="K208" s="602"/>
      <c r="L208" s="602"/>
      <c r="M208" s="602"/>
      <c r="N208" s="603"/>
    </row>
    <row r="209" spans="1:15" ht="25.5" customHeight="1">
      <c r="E209" s="206"/>
      <c r="F209" s="206"/>
      <c r="G209" s="206"/>
      <c r="H209" s="206"/>
      <c r="I209" s="206"/>
      <c r="J209" s="206"/>
      <c r="K209" s="206"/>
    </row>
    <row r="210" spans="1:15" ht="21.6" thickBot="1"/>
    <row r="211" spans="1:15" ht="95.25" customHeight="1" thickBot="1">
      <c r="A211" s="592" t="s">
        <v>1883</v>
      </c>
      <c r="B211" s="593"/>
      <c r="C211" s="593"/>
      <c r="D211" s="593"/>
      <c r="E211" s="593"/>
      <c r="F211" s="593"/>
      <c r="G211" s="593"/>
      <c r="H211" s="593"/>
      <c r="I211" s="593"/>
      <c r="J211" s="593"/>
      <c r="K211" s="593"/>
      <c r="L211" s="593"/>
      <c r="M211" s="593"/>
      <c r="N211" s="594"/>
    </row>
    <row r="212" spans="1:15" s="3" customFormat="1" ht="37.5" customHeight="1">
      <c r="A212" s="134" t="s">
        <v>1884</v>
      </c>
      <c r="B212" s="166"/>
      <c r="C212" s="166"/>
      <c r="D212" s="123"/>
      <c r="E212" s="123"/>
      <c r="F212" s="167" t="s">
        <v>1885</v>
      </c>
      <c r="G212" s="167" t="s">
        <v>1886</v>
      </c>
      <c r="H212" s="167"/>
      <c r="I212" s="167"/>
      <c r="J212" s="167"/>
      <c r="K212" s="167"/>
      <c r="L212" s="167"/>
      <c r="M212" s="167"/>
      <c r="N212" s="152"/>
      <c r="O212" s="201"/>
    </row>
    <row r="213" spans="1:15" s="4" customFormat="1" ht="25.2">
      <c r="A213" s="125" t="s">
        <v>1887</v>
      </c>
      <c r="B213" s="123"/>
      <c r="C213" s="123"/>
      <c r="D213" s="123"/>
      <c r="E213" s="123"/>
      <c r="F213" s="167"/>
      <c r="G213" s="167" t="s">
        <v>1888</v>
      </c>
      <c r="H213" s="167"/>
      <c r="I213" s="167"/>
      <c r="J213" s="167"/>
      <c r="K213" s="167"/>
      <c r="L213" s="167"/>
      <c r="M213" s="167"/>
      <c r="N213" s="152"/>
    </row>
    <row r="214" spans="1:15" s="3" customFormat="1" ht="9.9" customHeight="1">
      <c r="A214" s="125"/>
      <c r="B214" s="123"/>
      <c r="C214" s="123"/>
      <c r="D214" s="123"/>
      <c r="E214" s="123"/>
      <c r="F214" s="167"/>
      <c r="G214" s="123"/>
      <c r="H214" s="123"/>
      <c r="I214" s="123"/>
      <c r="J214" s="123"/>
      <c r="K214" s="123"/>
      <c r="L214" s="123"/>
      <c r="M214" s="123"/>
      <c r="N214" s="126"/>
    </row>
    <row r="215" spans="1:15" s="3" customFormat="1" ht="42.75" customHeight="1">
      <c r="A215" s="125" t="s">
        <v>1889</v>
      </c>
      <c r="B215" s="123"/>
      <c r="C215" s="123"/>
      <c r="D215" s="123"/>
      <c r="E215" s="123"/>
      <c r="F215" s="167" t="s">
        <v>1885</v>
      </c>
      <c r="G215" s="167" t="str">
        <f>PL!$B$13</f>
        <v>Branch of JSC "Doosan Enerbility" in the Turkestan region</v>
      </c>
      <c r="H215" s="123"/>
      <c r="I215" s="123"/>
      <c r="J215" s="123"/>
      <c r="K215" s="123"/>
      <c r="L215" s="123"/>
      <c r="M215" s="123"/>
      <c r="N215" s="126"/>
    </row>
    <row r="216" spans="1:15" s="3" customFormat="1" ht="24" customHeight="1">
      <c r="A216" s="125" t="s">
        <v>1890</v>
      </c>
      <c r="B216" s="123"/>
      <c r="C216" s="123"/>
      <c r="D216" s="123"/>
      <c r="E216" s="123"/>
      <c r="F216" s="168"/>
      <c r="G216" s="167" t="str">
        <f>PL!$B$14</f>
        <v>321 Tauke Khan Avenue, Turkestan region, Turkestan, Kazakhstan, 161200</v>
      </c>
      <c r="H216" s="123"/>
      <c r="I216" s="123"/>
      <c r="J216" s="123"/>
      <c r="K216" s="123"/>
      <c r="L216" s="123"/>
      <c r="M216" s="123"/>
      <c r="N216" s="126"/>
    </row>
    <row r="217" spans="1:15" s="4" customFormat="1" ht="25.2">
      <c r="A217" s="125"/>
      <c r="B217" s="123"/>
      <c r="C217" s="123"/>
      <c r="D217" s="123"/>
      <c r="E217" s="123"/>
      <c r="F217" s="168"/>
      <c r="G217" s="167" t="str">
        <f>PL!$B$15</f>
        <v>BIN: 230741006561</v>
      </c>
      <c r="H217" s="123"/>
      <c r="I217" s="123"/>
      <c r="J217" s="123"/>
      <c r="K217" s="123"/>
      <c r="L217" s="123"/>
      <c r="M217" s="123"/>
      <c r="N217" s="126"/>
    </row>
    <row r="218" spans="1:15" s="3" customFormat="1" ht="9.9" customHeight="1">
      <c r="A218" s="125"/>
      <c r="B218" s="123"/>
      <c r="C218" s="123"/>
      <c r="D218" s="123"/>
      <c r="E218" s="123"/>
      <c r="F218" s="169"/>
      <c r="G218" s="169"/>
      <c r="H218" s="123"/>
      <c r="I218" s="123"/>
      <c r="J218" s="123"/>
      <c r="K218" s="123"/>
      <c r="L218" s="123"/>
      <c r="M218" s="123"/>
      <c r="N218" s="126"/>
    </row>
    <row r="219" spans="1:15" s="3" customFormat="1" ht="25.2">
      <c r="A219" s="125" t="s">
        <v>1891</v>
      </c>
      <c r="B219" s="123"/>
      <c r="C219" s="123"/>
      <c r="D219" s="123"/>
      <c r="E219" s="123"/>
      <c r="F219" s="167" t="s">
        <v>1892</v>
      </c>
      <c r="G219" s="123"/>
      <c r="H219" s="123"/>
      <c r="I219" s="123"/>
      <c r="J219" s="123"/>
      <c r="K219" s="123"/>
      <c r="L219" s="123"/>
      <c r="M219" s="123"/>
      <c r="N219" s="126"/>
    </row>
    <row r="220" spans="1:15" s="4" customFormat="1" ht="25.2">
      <c r="A220" s="125" t="s">
        <v>1893</v>
      </c>
      <c r="B220" s="123"/>
      <c r="C220" s="123"/>
      <c r="D220" s="123"/>
      <c r="E220" s="123"/>
      <c r="F220" s="167" t="s">
        <v>1894</v>
      </c>
      <c r="G220" s="123"/>
      <c r="H220" s="123"/>
      <c r="I220" s="123"/>
      <c r="J220" s="123"/>
      <c r="K220" s="123"/>
      <c r="L220" s="123"/>
      <c r="M220" s="123"/>
      <c r="N220" s="126"/>
    </row>
    <row r="221" spans="1:15" s="3" customFormat="1" ht="9.9" customHeight="1">
      <c r="A221" s="125"/>
      <c r="B221" s="123"/>
      <c r="C221" s="123"/>
      <c r="D221" s="123"/>
      <c r="E221" s="123"/>
      <c r="F221" s="167"/>
      <c r="G221" s="123"/>
      <c r="H221" s="123"/>
      <c r="I221" s="123"/>
      <c r="J221" s="123"/>
      <c r="K221" s="123"/>
      <c r="L221" s="123"/>
      <c r="M221" s="123"/>
      <c r="N221" s="126"/>
    </row>
    <row r="222" spans="1:15" s="3" customFormat="1" ht="25.2">
      <c r="A222" s="125" t="s">
        <v>1895</v>
      </c>
      <c r="B222" s="123"/>
      <c r="C222" s="123"/>
      <c r="D222" s="123"/>
      <c r="E222" s="123"/>
      <c r="F222" s="167" t="s">
        <v>1896</v>
      </c>
      <c r="G222" s="167" t="str">
        <f>PL!$V$8</f>
        <v>PGU-DE-0139-001</v>
      </c>
      <c r="H222" s="123"/>
      <c r="I222" s="123"/>
      <c r="J222" s="123"/>
      <c r="K222" s="123"/>
      <c r="L222" s="123"/>
      <c r="M222" s="123"/>
      <c r="N222" s="126"/>
    </row>
    <row r="223" spans="1:15" s="3" customFormat="1" ht="25.2">
      <c r="A223" s="125" t="s">
        <v>1897</v>
      </c>
      <c r="B223" s="123"/>
      <c r="C223" s="123"/>
      <c r="D223" s="123"/>
      <c r="E223" s="123"/>
      <c r="F223" s="167"/>
      <c r="G223" s="123"/>
      <c r="H223" s="123"/>
      <c r="I223" s="123"/>
      <c r="J223" s="123"/>
      <c r="K223" s="123"/>
      <c r="L223" s="123"/>
      <c r="M223" s="123"/>
      <c r="N223" s="126"/>
    </row>
    <row r="224" spans="1:15" s="3" customFormat="1" ht="9.9" customHeight="1">
      <c r="A224" s="125"/>
      <c r="B224" s="123"/>
      <c r="C224" s="123"/>
      <c r="D224" s="123"/>
      <c r="E224" s="123"/>
      <c r="F224" s="167"/>
      <c r="G224" s="123"/>
      <c r="H224" s="123"/>
      <c r="I224" s="123"/>
      <c r="J224" s="123"/>
      <c r="K224" s="123"/>
      <c r="L224" s="123"/>
      <c r="M224" s="123"/>
      <c r="N224" s="126"/>
    </row>
    <row r="225" spans="1:14" s="3" customFormat="1" ht="31.2" customHeight="1">
      <c r="A225" s="127" t="s">
        <v>1898</v>
      </c>
      <c r="B225" s="170"/>
      <c r="C225" s="170"/>
      <c r="D225" s="170"/>
      <c r="E225" s="170"/>
      <c r="F225" s="171" t="s">
        <v>1885</v>
      </c>
      <c r="G225" s="597" t="e">
        <f>VLOOKUP(G228, 'Detail PL'!$B$14:$Q$799,2)</f>
        <v>#N/A</v>
      </c>
      <c r="H225" s="597"/>
      <c r="I225" s="597"/>
      <c r="J225" s="597"/>
      <c r="K225" s="597"/>
      <c r="L225" s="597"/>
      <c r="M225" s="597"/>
      <c r="N225" s="128"/>
    </row>
    <row r="226" spans="1:14" s="3" customFormat="1" ht="25.2">
      <c r="A226" s="127" t="s">
        <v>1899</v>
      </c>
      <c r="B226" s="170"/>
      <c r="C226" s="170"/>
      <c r="D226" s="170"/>
      <c r="E226" s="170"/>
      <c r="F226" s="171"/>
      <c r="G226" s="170"/>
      <c r="H226" s="170"/>
      <c r="I226" s="170"/>
      <c r="J226" s="170"/>
      <c r="K226" s="170"/>
      <c r="L226" s="170"/>
      <c r="M226" s="170"/>
      <c r="N226" s="128"/>
    </row>
    <row r="227" spans="1:14" s="3" customFormat="1" ht="9.9" customHeight="1">
      <c r="A227" s="125"/>
      <c r="B227" s="123"/>
      <c r="C227" s="123"/>
      <c r="D227" s="123"/>
      <c r="E227" s="123"/>
      <c r="F227" s="167"/>
      <c r="G227" s="123"/>
      <c r="H227" s="123"/>
      <c r="I227" s="123"/>
      <c r="J227" s="123"/>
      <c r="K227" s="123"/>
      <c r="L227" s="123"/>
      <c r="M227" s="123"/>
      <c r="N227" s="126"/>
    </row>
    <row r="228" spans="1:14" s="3" customFormat="1" ht="25.2">
      <c r="A228" s="125" t="s">
        <v>1900</v>
      </c>
      <c r="B228" s="123"/>
      <c r="C228" s="123"/>
      <c r="D228" s="123"/>
      <c r="E228" s="123"/>
      <c r="F228" s="171" t="s">
        <v>1901</v>
      </c>
      <c r="G228" s="604">
        <f t="shared" ref="G228" si="4">G193+1</f>
        <v>7</v>
      </c>
      <c r="H228" s="604"/>
      <c r="I228" s="604"/>
      <c r="J228" s="604"/>
      <c r="K228" s="604"/>
      <c r="L228" s="123"/>
      <c r="M228" s="123"/>
      <c r="N228" s="126"/>
    </row>
    <row r="229" spans="1:14" s="4" customFormat="1" ht="25.2">
      <c r="A229" s="125" t="s">
        <v>1903</v>
      </c>
      <c r="B229" s="123"/>
      <c r="C229" s="123"/>
      <c r="D229" s="123"/>
      <c r="E229" s="123"/>
      <c r="F229" s="167"/>
      <c r="G229" s="167"/>
      <c r="H229" s="123"/>
      <c r="I229" s="123"/>
      <c r="J229" s="123"/>
      <c r="K229" s="123"/>
      <c r="L229" s="123"/>
      <c r="M229" s="123"/>
      <c r="N229" s="126"/>
    </row>
    <row r="230" spans="1:14" s="3" customFormat="1" ht="9.9" customHeight="1">
      <c r="A230" s="125"/>
      <c r="B230" s="123"/>
      <c r="C230" s="123"/>
      <c r="D230" s="123"/>
      <c r="E230" s="123"/>
      <c r="F230" s="167"/>
      <c r="G230" s="167"/>
      <c r="H230" s="123"/>
      <c r="I230" s="123"/>
      <c r="J230" s="123"/>
      <c r="K230" s="123"/>
      <c r="L230" s="123"/>
      <c r="M230" s="123"/>
      <c r="N230" s="126"/>
    </row>
    <row r="231" spans="1:14" s="3" customFormat="1" ht="25.2">
      <c r="A231" s="125" t="s">
        <v>1904</v>
      </c>
      <c r="B231" s="123"/>
      <c r="C231" s="123"/>
      <c r="D231" s="123"/>
      <c r="E231" s="123"/>
      <c r="F231" s="167" t="s">
        <v>1896</v>
      </c>
      <c r="G231" s="204" t="e">
        <f>VLOOKUP(G228, 'Detail PL'!$B$14:$Q$799, 10)</f>
        <v>#N/A</v>
      </c>
      <c r="H231" s="204" t="s">
        <v>1905</v>
      </c>
      <c r="I231" s="204"/>
      <c r="J231" s="204"/>
      <c r="K231" s="123"/>
      <c r="L231" s="123"/>
      <c r="M231" s="123"/>
      <c r="N231" s="126"/>
    </row>
    <row r="232" spans="1:14" s="4" customFormat="1" ht="25.2">
      <c r="A232" s="125" t="s">
        <v>1906</v>
      </c>
      <c r="B232" s="123"/>
      <c r="C232" s="123"/>
      <c r="D232" s="123"/>
      <c r="E232" s="123"/>
      <c r="F232" s="167"/>
      <c r="G232" s="167"/>
      <c r="H232" s="167"/>
      <c r="I232" s="123"/>
      <c r="J232" s="123"/>
      <c r="K232" s="123"/>
      <c r="L232" s="123"/>
      <c r="M232" s="123"/>
      <c r="N232" s="126"/>
    </row>
    <row r="233" spans="1:14" s="3" customFormat="1" ht="9.9" customHeight="1">
      <c r="A233" s="125"/>
      <c r="B233" s="123"/>
      <c r="C233" s="123"/>
      <c r="D233" s="123"/>
      <c r="E233" s="123"/>
      <c r="F233" s="167"/>
      <c r="G233" s="167"/>
      <c r="H233" s="167"/>
      <c r="I233" s="123"/>
      <c r="J233" s="123"/>
      <c r="K233" s="123"/>
      <c r="L233" s="123"/>
      <c r="M233" s="123"/>
      <c r="N233" s="126"/>
    </row>
    <row r="234" spans="1:14" s="3" customFormat="1" ht="25.2">
      <c r="A234" s="125" t="s">
        <v>1907</v>
      </c>
      <c r="B234" s="123"/>
      <c r="C234" s="123"/>
      <c r="D234" s="123"/>
      <c r="E234" s="123"/>
      <c r="F234" s="167" t="s">
        <v>1896</v>
      </c>
      <c r="G234" s="204" t="e">
        <f>VLOOKUP(G228, 'Detail PL'!$B$14:$Q$799, 11)</f>
        <v>#N/A</v>
      </c>
      <c r="H234" s="204" t="s">
        <v>1905</v>
      </c>
      <c r="I234" s="204"/>
      <c r="J234" s="204"/>
      <c r="K234" s="123"/>
      <c r="L234" s="123"/>
      <c r="M234" s="123"/>
      <c r="N234" s="126"/>
    </row>
    <row r="235" spans="1:14" s="4" customFormat="1" ht="25.2">
      <c r="A235" s="125" t="s">
        <v>1908</v>
      </c>
      <c r="B235" s="123"/>
      <c r="C235" s="123"/>
      <c r="D235" s="123"/>
      <c r="E235" s="123"/>
      <c r="F235" s="167"/>
      <c r="G235" s="167"/>
      <c r="H235" s="123"/>
      <c r="I235" s="123"/>
      <c r="J235" s="123"/>
      <c r="K235" s="123"/>
      <c r="L235" s="123"/>
      <c r="M235" s="123"/>
      <c r="N235" s="126"/>
    </row>
    <row r="236" spans="1:14" s="3" customFormat="1" ht="9.9" customHeight="1">
      <c r="A236" s="125"/>
      <c r="B236" s="123"/>
      <c r="C236" s="123"/>
      <c r="D236" s="123"/>
      <c r="E236" s="123"/>
      <c r="F236" s="167"/>
      <c r="G236" s="167"/>
      <c r="H236" s="123"/>
      <c r="I236" s="123"/>
      <c r="J236" s="123"/>
      <c r="K236" s="123"/>
      <c r="L236" s="123"/>
      <c r="M236" s="123"/>
      <c r="N236" s="126"/>
    </row>
    <row r="237" spans="1:14" s="3" customFormat="1" ht="25.2">
      <c r="A237" s="129" t="s">
        <v>1909</v>
      </c>
      <c r="B237" s="123"/>
      <c r="C237" s="123"/>
      <c r="D237" s="123"/>
      <c r="E237" s="123"/>
      <c r="F237" s="167" t="s">
        <v>1896</v>
      </c>
      <c r="G237" s="204" t="e">
        <f>VLOOKUP(G228, 'Detail PL'!$B$14:$Q$799, 9)</f>
        <v>#N/A</v>
      </c>
      <c r="H237" s="205" t="s">
        <v>1910</v>
      </c>
      <c r="I237" s="203"/>
      <c r="J237" s="203"/>
      <c r="K237" s="172"/>
      <c r="L237" s="123"/>
      <c r="M237" s="123"/>
      <c r="N237" s="126"/>
    </row>
    <row r="238" spans="1:14" s="4" customFormat="1" ht="25.2">
      <c r="A238" s="125" t="s">
        <v>1911</v>
      </c>
      <c r="B238" s="123"/>
      <c r="C238" s="123"/>
      <c r="D238" s="123"/>
      <c r="E238" s="123"/>
      <c r="F238" s="167"/>
      <c r="G238" s="167"/>
      <c r="H238" s="123"/>
      <c r="I238" s="123"/>
      <c r="J238" s="123"/>
      <c r="K238" s="123"/>
      <c r="L238" s="123"/>
      <c r="M238" s="123"/>
      <c r="N238" s="126"/>
    </row>
    <row r="239" spans="1:14" s="3" customFormat="1" ht="9.9" customHeight="1">
      <c r="A239" s="125"/>
      <c r="B239" s="123"/>
      <c r="C239" s="123"/>
      <c r="D239" s="123"/>
      <c r="E239" s="123"/>
      <c r="F239" s="167"/>
      <c r="G239" s="167"/>
      <c r="H239" s="123"/>
      <c r="I239" s="123"/>
      <c r="J239" s="123"/>
      <c r="K239" s="123"/>
      <c r="L239" s="123"/>
      <c r="M239" s="123"/>
      <c r="N239" s="126"/>
    </row>
    <row r="240" spans="1:14" s="3" customFormat="1" ht="42" customHeight="1">
      <c r="A240" s="125" t="s">
        <v>1912</v>
      </c>
      <c r="B240" s="123"/>
      <c r="C240" s="123"/>
      <c r="D240" s="123"/>
      <c r="E240" s="123"/>
      <c r="F240" s="166" t="s">
        <v>1913</v>
      </c>
      <c r="G240" s="595" t="s">
        <v>1914</v>
      </c>
      <c r="H240" s="595"/>
      <c r="I240" s="595"/>
      <c r="J240" s="595"/>
      <c r="K240" s="595"/>
      <c r="L240" s="595"/>
      <c r="M240" s="595"/>
      <c r="N240" s="596"/>
    </row>
    <row r="241" spans="1:15" s="4" customFormat="1" ht="25.8" thickBot="1">
      <c r="A241" s="125" t="s">
        <v>1915</v>
      </c>
      <c r="B241" s="123"/>
      <c r="C241" s="123"/>
      <c r="D241" s="123"/>
      <c r="E241" s="123"/>
      <c r="F241" s="167"/>
      <c r="G241" s="167"/>
      <c r="H241" s="123"/>
      <c r="I241" s="123"/>
      <c r="J241" s="123"/>
      <c r="K241" s="123"/>
      <c r="L241" s="123"/>
      <c r="M241" s="123"/>
      <c r="N241" s="126"/>
    </row>
    <row r="242" spans="1:15" ht="21" customHeight="1">
      <c r="A242" s="598" t="s">
        <v>1916</v>
      </c>
      <c r="B242" s="599"/>
      <c r="C242" s="599"/>
      <c r="D242" s="599"/>
      <c r="E242" s="599"/>
      <c r="F242" s="599"/>
      <c r="G242" s="599"/>
      <c r="H242" s="599"/>
      <c r="I242" s="599"/>
      <c r="J242" s="599"/>
      <c r="K242" s="599"/>
      <c r="L242" s="599"/>
      <c r="M242" s="599"/>
      <c r="N242" s="600"/>
    </row>
    <row r="243" spans="1:15" ht="25.5" customHeight="1" thickBot="1">
      <c r="A243" s="601"/>
      <c r="B243" s="602"/>
      <c r="C243" s="602"/>
      <c r="D243" s="602"/>
      <c r="E243" s="602"/>
      <c r="F243" s="602"/>
      <c r="G243" s="602"/>
      <c r="H243" s="602"/>
      <c r="I243" s="602"/>
      <c r="J243" s="602"/>
      <c r="K243" s="602"/>
      <c r="L243" s="602"/>
      <c r="M243" s="602"/>
      <c r="N243" s="603"/>
    </row>
    <row r="244" spans="1:15" ht="25.5" customHeight="1">
      <c r="E244" s="206"/>
      <c r="F244" s="206"/>
      <c r="G244" s="206"/>
      <c r="H244" s="206"/>
      <c r="I244" s="206"/>
      <c r="J244" s="206"/>
      <c r="K244" s="206"/>
    </row>
    <row r="245" spans="1:15" ht="21.6" thickBot="1"/>
    <row r="246" spans="1:15" ht="95.25" customHeight="1" thickBot="1">
      <c r="A246" s="592" t="s">
        <v>1883</v>
      </c>
      <c r="B246" s="593"/>
      <c r="C246" s="593"/>
      <c r="D246" s="593"/>
      <c r="E246" s="593"/>
      <c r="F246" s="593"/>
      <c r="G246" s="593"/>
      <c r="H246" s="593"/>
      <c r="I246" s="593"/>
      <c r="J246" s="593"/>
      <c r="K246" s="593"/>
      <c r="L246" s="593"/>
      <c r="M246" s="593"/>
      <c r="N246" s="594"/>
    </row>
    <row r="247" spans="1:15" s="3" customFormat="1" ht="37.5" customHeight="1">
      <c r="A247" s="134" t="s">
        <v>1884</v>
      </c>
      <c r="B247" s="166"/>
      <c r="C247" s="166"/>
      <c r="D247" s="123"/>
      <c r="E247" s="123"/>
      <c r="F247" s="167" t="s">
        <v>1885</v>
      </c>
      <c r="G247" s="167" t="s">
        <v>1886</v>
      </c>
      <c r="H247" s="167"/>
      <c r="I247" s="167"/>
      <c r="J247" s="167"/>
      <c r="K247" s="167"/>
      <c r="L247" s="167"/>
      <c r="M247" s="167"/>
      <c r="N247" s="152"/>
      <c r="O247" s="201"/>
    </row>
    <row r="248" spans="1:15" s="4" customFormat="1" ht="25.2">
      <c r="A248" s="125" t="s">
        <v>1887</v>
      </c>
      <c r="B248" s="123"/>
      <c r="C248" s="123"/>
      <c r="D248" s="123"/>
      <c r="E248" s="123"/>
      <c r="F248" s="167"/>
      <c r="G248" s="167" t="s">
        <v>1888</v>
      </c>
      <c r="H248" s="167"/>
      <c r="I248" s="167"/>
      <c r="J248" s="167"/>
      <c r="K248" s="167"/>
      <c r="L248" s="167"/>
      <c r="M248" s="167"/>
      <c r="N248" s="152"/>
    </row>
    <row r="249" spans="1:15" s="3" customFormat="1" ht="9.9" customHeight="1">
      <c r="A249" s="125"/>
      <c r="B249" s="123"/>
      <c r="C249" s="123"/>
      <c r="D249" s="123"/>
      <c r="E249" s="123"/>
      <c r="F249" s="167"/>
      <c r="G249" s="123"/>
      <c r="H249" s="123"/>
      <c r="I249" s="123"/>
      <c r="J249" s="123"/>
      <c r="K249" s="123"/>
      <c r="L249" s="123"/>
      <c r="M249" s="123"/>
      <c r="N249" s="126"/>
    </row>
    <row r="250" spans="1:15" s="3" customFormat="1" ht="42.75" customHeight="1">
      <c r="A250" s="125" t="s">
        <v>1889</v>
      </c>
      <c r="B250" s="123"/>
      <c r="C250" s="123"/>
      <c r="D250" s="123"/>
      <c r="E250" s="123"/>
      <c r="F250" s="167" t="s">
        <v>1885</v>
      </c>
      <c r="G250" s="167" t="str">
        <f>PL!$B$13</f>
        <v>Branch of JSC "Doosan Enerbility" in the Turkestan region</v>
      </c>
      <c r="H250" s="123"/>
      <c r="I250" s="123"/>
      <c r="J250" s="123"/>
      <c r="K250" s="123"/>
      <c r="L250" s="123"/>
      <c r="M250" s="123"/>
      <c r="N250" s="126"/>
    </row>
    <row r="251" spans="1:15" s="3" customFormat="1" ht="24" customHeight="1">
      <c r="A251" s="125" t="s">
        <v>1890</v>
      </c>
      <c r="B251" s="123"/>
      <c r="C251" s="123"/>
      <c r="D251" s="123"/>
      <c r="E251" s="123"/>
      <c r="F251" s="168"/>
      <c r="G251" s="167" t="str">
        <f>PL!$B$14</f>
        <v>321 Tauke Khan Avenue, Turkestan region, Turkestan, Kazakhstan, 161200</v>
      </c>
      <c r="H251" s="123"/>
      <c r="I251" s="123"/>
      <c r="J251" s="123"/>
      <c r="K251" s="123"/>
      <c r="L251" s="123"/>
      <c r="M251" s="123"/>
      <c r="N251" s="126"/>
    </row>
    <row r="252" spans="1:15" s="4" customFormat="1" ht="25.2">
      <c r="A252" s="125"/>
      <c r="B252" s="123"/>
      <c r="C252" s="123"/>
      <c r="D252" s="123"/>
      <c r="E252" s="123"/>
      <c r="F252" s="168"/>
      <c r="G252" s="167" t="str">
        <f>PL!$B$15</f>
        <v>BIN: 230741006561</v>
      </c>
      <c r="H252" s="123"/>
      <c r="I252" s="123"/>
      <c r="J252" s="123"/>
      <c r="K252" s="123"/>
      <c r="L252" s="123"/>
      <c r="M252" s="123"/>
      <c r="N252" s="126"/>
    </row>
    <row r="253" spans="1:15" s="3" customFormat="1" ht="9.9" customHeight="1">
      <c r="A253" s="125"/>
      <c r="B253" s="123"/>
      <c r="C253" s="123"/>
      <c r="D253" s="123"/>
      <c r="E253" s="123"/>
      <c r="F253" s="169"/>
      <c r="G253" s="169"/>
      <c r="H253" s="123"/>
      <c r="I253" s="123"/>
      <c r="J253" s="123"/>
      <c r="K253" s="123"/>
      <c r="L253" s="123"/>
      <c r="M253" s="123"/>
      <c r="N253" s="126"/>
    </row>
    <row r="254" spans="1:15" s="3" customFormat="1" ht="25.2">
      <c r="A254" s="125" t="s">
        <v>1891</v>
      </c>
      <c r="B254" s="123"/>
      <c r="C254" s="123"/>
      <c r="D254" s="123"/>
      <c r="E254" s="123"/>
      <c r="F254" s="167" t="s">
        <v>1892</v>
      </c>
      <c r="G254" s="123"/>
      <c r="H254" s="123"/>
      <c r="I254" s="123"/>
      <c r="J254" s="123"/>
      <c r="K254" s="123"/>
      <c r="L254" s="123"/>
      <c r="M254" s="123"/>
      <c r="N254" s="126"/>
    </row>
    <row r="255" spans="1:15" s="4" customFormat="1" ht="25.2">
      <c r="A255" s="125" t="s">
        <v>1893</v>
      </c>
      <c r="B255" s="123"/>
      <c r="C255" s="123"/>
      <c r="D255" s="123"/>
      <c r="E255" s="123"/>
      <c r="F255" s="167" t="s">
        <v>1894</v>
      </c>
      <c r="G255" s="123"/>
      <c r="H255" s="123"/>
      <c r="I255" s="123"/>
      <c r="J255" s="123"/>
      <c r="K255" s="123"/>
      <c r="L255" s="123"/>
      <c r="M255" s="123"/>
      <c r="N255" s="126"/>
    </row>
    <row r="256" spans="1:15" s="3" customFormat="1" ht="9.9" customHeight="1">
      <c r="A256" s="125"/>
      <c r="B256" s="123"/>
      <c r="C256" s="123"/>
      <c r="D256" s="123"/>
      <c r="E256" s="123"/>
      <c r="F256" s="167"/>
      <c r="G256" s="123"/>
      <c r="H256" s="123"/>
      <c r="I256" s="123"/>
      <c r="J256" s="123"/>
      <c r="K256" s="123"/>
      <c r="L256" s="123"/>
      <c r="M256" s="123"/>
      <c r="N256" s="126"/>
    </row>
    <row r="257" spans="1:14" s="3" customFormat="1" ht="25.2">
      <c r="A257" s="125" t="s">
        <v>1895</v>
      </c>
      <c r="B257" s="123"/>
      <c r="C257" s="123"/>
      <c r="D257" s="123"/>
      <c r="E257" s="123"/>
      <c r="F257" s="167" t="s">
        <v>1896</v>
      </c>
      <c r="G257" s="167" t="str">
        <f>PL!$V$8</f>
        <v>PGU-DE-0139-001</v>
      </c>
      <c r="H257" s="123"/>
      <c r="I257" s="123"/>
      <c r="J257" s="123"/>
      <c r="K257" s="123"/>
      <c r="L257" s="123"/>
      <c r="M257" s="123"/>
      <c r="N257" s="126"/>
    </row>
    <row r="258" spans="1:14" s="3" customFormat="1" ht="25.2">
      <c r="A258" s="125" t="s">
        <v>1897</v>
      </c>
      <c r="B258" s="123"/>
      <c r="C258" s="123"/>
      <c r="D258" s="123"/>
      <c r="E258" s="123"/>
      <c r="F258" s="167"/>
      <c r="G258" s="123"/>
      <c r="H258" s="123"/>
      <c r="I258" s="123"/>
      <c r="J258" s="123"/>
      <c r="K258" s="123"/>
      <c r="L258" s="123"/>
      <c r="M258" s="123"/>
      <c r="N258" s="126"/>
    </row>
    <row r="259" spans="1:14" s="3" customFormat="1" ht="9.9" customHeight="1">
      <c r="A259" s="125"/>
      <c r="B259" s="123"/>
      <c r="C259" s="123"/>
      <c r="D259" s="123"/>
      <c r="E259" s="123"/>
      <c r="F259" s="167"/>
      <c r="G259" s="123"/>
      <c r="H259" s="123"/>
      <c r="I259" s="123"/>
      <c r="J259" s="123"/>
      <c r="K259" s="123"/>
      <c r="L259" s="123"/>
      <c r="M259" s="123"/>
      <c r="N259" s="126"/>
    </row>
    <row r="260" spans="1:14" s="3" customFormat="1" ht="31.2" customHeight="1">
      <c r="A260" s="127" t="s">
        <v>1898</v>
      </c>
      <c r="B260" s="170"/>
      <c r="C260" s="170"/>
      <c r="D260" s="170"/>
      <c r="E260" s="170"/>
      <c r="F260" s="171" t="s">
        <v>1885</v>
      </c>
      <c r="G260" s="597" t="e">
        <f>VLOOKUP(G263, 'Detail PL'!$B$14:$Q$799,2)</f>
        <v>#N/A</v>
      </c>
      <c r="H260" s="597"/>
      <c r="I260" s="597"/>
      <c r="J260" s="597"/>
      <c r="K260" s="597"/>
      <c r="L260" s="597"/>
      <c r="M260" s="597"/>
      <c r="N260" s="128"/>
    </row>
    <row r="261" spans="1:14" s="3" customFormat="1" ht="25.2">
      <c r="A261" s="127" t="s">
        <v>1899</v>
      </c>
      <c r="B261" s="170"/>
      <c r="C261" s="170"/>
      <c r="D261" s="170"/>
      <c r="E261" s="170"/>
      <c r="F261" s="171"/>
      <c r="G261" s="170"/>
      <c r="H261" s="170"/>
      <c r="I261" s="170"/>
      <c r="J261" s="170"/>
      <c r="K261" s="170"/>
      <c r="L261" s="170"/>
      <c r="M261" s="170"/>
      <c r="N261" s="128"/>
    </row>
    <row r="262" spans="1:14" s="3" customFormat="1" ht="9.9" customHeight="1">
      <c r="A262" s="125"/>
      <c r="B262" s="123"/>
      <c r="C262" s="123"/>
      <c r="D262" s="123"/>
      <c r="E262" s="123"/>
      <c r="F262" s="167"/>
      <c r="G262" s="123"/>
      <c r="H262" s="123"/>
      <c r="I262" s="123"/>
      <c r="J262" s="123"/>
      <c r="K262" s="123"/>
      <c r="L262" s="123"/>
      <c r="M262" s="123"/>
      <c r="N262" s="126"/>
    </row>
    <row r="263" spans="1:14" s="3" customFormat="1" ht="25.2">
      <c r="A263" s="125" t="s">
        <v>1900</v>
      </c>
      <c r="B263" s="123"/>
      <c r="C263" s="123"/>
      <c r="D263" s="123"/>
      <c r="E263" s="123"/>
      <c r="F263" s="171" t="s">
        <v>1901</v>
      </c>
      <c r="G263" s="604">
        <f t="shared" ref="G263" si="5">G228+1</f>
        <v>8</v>
      </c>
      <c r="H263" s="604"/>
      <c r="I263" s="604"/>
      <c r="J263" s="604"/>
      <c r="K263" s="604"/>
      <c r="L263" s="123"/>
      <c r="M263" s="123"/>
      <c r="N263" s="126"/>
    </row>
    <row r="264" spans="1:14" s="4" customFormat="1" ht="25.2">
      <c r="A264" s="125" t="s">
        <v>1903</v>
      </c>
      <c r="B264" s="123"/>
      <c r="C264" s="123"/>
      <c r="D264" s="123"/>
      <c r="E264" s="123"/>
      <c r="F264" s="167"/>
      <c r="G264" s="167"/>
      <c r="H264" s="123"/>
      <c r="I264" s="123"/>
      <c r="J264" s="123"/>
      <c r="K264" s="123"/>
      <c r="L264" s="123"/>
      <c r="M264" s="123"/>
      <c r="N264" s="126"/>
    </row>
    <row r="265" spans="1:14" s="3" customFormat="1" ht="9.9" customHeight="1">
      <c r="A265" s="125"/>
      <c r="B265" s="123"/>
      <c r="C265" s="123"/>
      <c r="D265" s="123"/>
      <c r="E265" s="123"/>
      <c r="F265" s="167"/>
      <c r="G265" s="167"/>
      <c r="H265" s="123"/>
      <c r="I265" s="123"/>
      <c r="J265" s="123"/>
      <c r="K265" s="123"/>
      <c r="L265" s="123"/>
      <c r="M265" s="123"/>
      <c r="N265" s="126"/>
    </row>
    <row r="266" spans="1:14" s="3" customFormat="1" ht="25.2">
      <c r="A266" s="125" t="s">
        <v>1904</v>
      </c>
      <c r="B266" s="123"/>
      <c r="C266" s="123"/>
      <c r="D266" s="123"/>
      <c r="E266" s="123"/>
      <c r="F266" s="167" t="s">
        <v>1896</v>
      </c>
      <c r="G266" s="204" t="e">
        <f>VLOOKUP(G263, 'Detail PL'!$B$14:$Q$799, 10)</f>
        <v>#N/A</v>
      </c>
      <c r="H266" s="204" t="s">
        <v>1905</v>
      </c>
      <c r="I266" s="204"/>
      <c r="J266" s="204"/>
      <c r="K266" s="123"/>
      <c r="L266" s="123"/>
      <c r="M266" s="123"/>
      <c r="N266" s="126"/>
    </row>
    <row r="267" spans="1:14" s="4" customFormat="1" ht="25.2">
      <c r="A267" s="125" t="s">
        <v>1906</v>
      </c>
      <c r="B267" s="123"/>
      <c r="C267" s="123"/>
      <c r="D267" s="123"/>
      <c r="E267" s="123"/>
      <c r="F267" s="167"/>
      <c r="G267" s="167"/>
      <c r="H267" s="167"/>
      <c r="I267" s="123"/>
      <c r="J267" s="123"/>
      <c r="K267" s="123"/>
      <c r="L267" s="123"/>
      <c r="M267" s="123"/>
      <c r="N267" s="126"/>
    </row>
    <row r="268" spans="1:14" s="3" customFormat="1" ht="9.9" customHeight="1">
      <c r="A268" s="125"/>
      <c r="B268" s="123"/>
      <c r="C268" s="123"/>
      <c r="D268" s="123"/>
      <c r="E268" s="123"/>
      <c r="F268" s="167"/>
      <c r="G268" s="167"/>
      <c r="H268" s="167"/>
      <c r="I268" s="123"/>
      <c r="J268" s="123"/>
      <c r="K268" s="123"/>
      <c r="L268" s="123"/>
      <c r="M268" s="123"/>
      <c r="N268" s="126"/>
    </row>
    <row r="269" spans="1:14" s="3" customFormat="1" ht="25.2">
      <c r="A269" s="125" t="s">
        <v>1907</v>
      </c>
      <c r="B269" s="123"/>
      <c r="C269" s="123"/>
      <c r="D269" s="123"/>
      <c r="E269" s="123"/>
      <c r="F269" s="167" t="s">
        <v>1896</v>
      </c>
      <c r="G269" s="204" t="e">
        <f>VLOOKUP(G263, 'Detail PL'!$B$14:$Q$799, 11)</f>
        <v>#N/A</v>
      </c>
      <c r="H269" s="204" t="s">
        <v>1905</v>
      </c>
      <c r="I269" s="204"/>
      <c r="J269" s="204"/>
      <c r="K269" s="123"/>
      <c r="L269" s="123"/>
      <c r="M269" s="123"/>
      <c r="N269" s="126"/>
    </row>
    <row r="270" spans="1:14" s="4" customFormat="1" ht="25.2">
      <c r="A270" s="125" t="s">
        <v>1908</v>
      </c>
      <c r="B270" s="123"/>
      <c r="C270" s="123"/>
      <c r="D270" s="123"/>
      <c r="E270" s="123"/>
      <c r="F270" s="167"/>
      <c r="G270" s="167"/>
      <c r="H270" s="123"/>
      <c r="I270" s="123"/>
      <c r="J270" s="123"/>
      <c r="K270" s="123"/>
      <c r="L270" s="123"/>
      <c r="M270" s="123"/>
      <c r="N270" s="126"/>
    </row>
    <row r="271" spans="1:14" s="3" customFormat="1" ht="9.9" customHeight="1">
      <c r="A271" s="125"/>
      <c r="B271" s="123"/>
      <c r="C271" s="123"/>
      <c r="D271" s="123"/>
      <c r="E271" s="123"/>
      <c r="F271" s="167"/>
      <c r="G271" s="167"/>
      <c r="H271" s="123"/>
      <c r="I271" s="123"/>
      <c r="J271" s="123"/>
      <c r="K271" s="123"/>
      <c r="L271" s="123"/>
      <c r="M271" s="123"/>
      <c r="N271" s="126"/>
    </row>
    <row r="272" spans="1:14" s="3" customFormat="1" ht="25.2">
      <c r="A272" s="129" t="s">
        <v>1909</v>
      </c>
      <c r="B272" s="123"/>
      <c r="C272" s="123"/>
      <c r="D272" s="123"/>
      <c r="E272" s="123"/>
      <c r="F272" s="167" t="s">
        <v>1896</v>
      </c>
      <c r="G272" s="204" t="e">
        <f>VLOOKUP(G263, 'Detail PL'!$B$14:$Q$799, 9)</f>
        <v>#N/A</v>
      </c>
      <c r="H272" s="205" t="s">
        <v>1910</v>
      </c>
      <c r="I272" s="203"/>
      <c r="J272" s="203"/>
      <c r="K272" s="172"/>
      <c r="L272" s="123"/>
      <c r="M272" s="123"/>
      <c r="N272" s="126"/>
    </row>
    <row r="273" spans="1:15" s="4" customFormat="1" ht="25.2">
      <c r="A273" s="125" t="s">
        <v>1911</v>
      </c>
      <c r="B273" s="123"/>
      <c r="C273" s="123"/>
      <c r="D273" s="123"/>
      <c r="E273" s="123"/>
      <c r="F273" s="167"/>
      <c r="G273" s="167"/>
      <c r="H273" s="123"/>
      <c r="I273" s="123"/>
      <c r="J273" s="123"/>
      <c r="K273" s="123"/>
      <c r="L273" s="123"/>
      <c r="M273" s="123"/>
      <c r="N273" s="126"/>
    </row>
    <row r="274" spans="1:15" s="3" customFormat="1" ht="9.9" customHeight="1">
      <c r="A274" s="125"/>
      <c r="B274" s="123"/>
      <c r="C274" s="123"/>
      <c r="D274" s="123"/>
      <c r="E274" s="123"/>
      <c r="F274" s="167"/>
      <c r="G274" s="167"/>
      <c r="H274" s="123"/>
      <c r="I274" s="123"/>
      <c r="J274" s="123"/>
      <c r="K274" s="123"/>
      <c r="L274" s="123"/>
      <c r="M274" s="123"/>
      <c r="N274" s="126"/>
    </row>
    <row r="275" spans="1:15" s="3" customFormat="1" ht="42" customHeight="1">
      <c r="A275" s="125" t="s">
        <v>1912</v>
      </c>
      <c r="B275" s="123"/>
      <c r="C275" s="123"/>
      <c r="D275" s="123"/>
      <c r="E275" s="123"/>
      <c r="F275" s="166" t="s">
        <v>1913</v>
      </c>
      <c r="G275" s="595" t="s">
        <v>1914</v>
      </c>
      <c r="H275" s="595"/>
      <c r="I275" s="595"/>
      <c r="J275" s="595"/>
      <c r="K275" s="595"/>
      <c r="L275" s="595"/>
      <c r="M275" s="595"/>
      <c r="N275" s="596"/>
    </row>
    <row r="276" spans="1:15" s="4" customFormat="1" ht="25.8" thickBot="1">
      <c r="A276" s="125" t="s">
        <v>1915</v>
      </c>
      <c r="B276" s="123"/>
      <c r="C276" s="123"/>
      <c r="D276" s="123"/>
      <c r="E276" s="123"/>
      <c r="F276" s="167"/>
      <c r="G276" s="167"/>
      <c r="H276" s="123"/>
      <c r="I276" s="123"/>
      <c r="J276" s="123"/>
      <c r="K276" s="123"/>
      <c r="L276" s="123"/>
      <c r="M276" s="123"/>
      <c r="N276" s="126"/>
    </row>
    <row r="277" spans="1:15" ht="21" customHeight="1">
      <c r="A277" s="598" t="s">
        <v>1916</v>
      </c>
      <c r="B277" s="599"/>
      <c r="C277" s="599"/>
      <c r="D277" s="599"/>
      <c r="E277" s="599"/>
      <c r="F277" s="599"/>
      <c r="G277" s="599"/>
      <c r="H277" s="599"/>
      <c r="I277" s="599"/>
      <c r="J277" s="599"/>
      <c r="K277" s="599"/>
      <c r="L277" s="599"/>
      <c r="M277" s="599"/>
      <c r="N277" s="600"/>
    </row>
    <row r="278" spans="1:15" ht="25.5" customHeight="1" thickBot="1">
      <c r="A278" s="601"/>
      <c r="B278" s="602"/>
      <c r="C278" s="602"/>
      <c r="D278" s="602"/>
      <c r="E278" s="602"/>
      <c r="F278" s="602"/>
      <c r="G278" s="602"/>
      <c r="H278" s="602"/>
      <c r="I278" s="602"/>
      <c r="J278" s="602"/>
      <c r="K278" s="602"/>
      <c r="L278" s="602"/>
      <c r="M278" s="602"/>
      <c r="N278" s="603"/>
    </row>
    <row r="279" spans="1:15" ht="25.5" customHeight="1">
      <c r="E279" s="206"/>
      <c r="F279" s="206"/>
      <c r="G279" s="206"/>
      <c r="H279" s="206"/>
      <c r="I279" s="206"/>
      <c r="J279" s="206"/>
      <c r="K279" s="206"/>
    </row>
    <row r="280" spans="1:15" ht="21.6" thickBot="1"/>
    <row r="281" spans="1:15" ht="95.25" customHeight="1" thickBot="1">
      <c r="A281" s="592" t="s">
        <v>1883</v>
      </c>
      <c r="B281" s="593"/>
      <c r="C281" s="593"/>
      <c r="D281" s="593"/>
      <c r="E281" s="593"/>
      <c r="F281" s="593"/>
      <c r="G281" s="593"/>
      <c r="H281" s="593"/>
      <c r="I281" s="593"/>
      <c r="J281" s="593"/>
      <c r="K281" s="593"/>
      <c r="L281" s="593"/>
      <c r="M281" s="593"/>
      <c r="N281" s="594"/>
    </row>
    <row r="282" spans="1:15" s="3" customFormat="1" ht="37.5" customHeight="1">
      <c r="A282" s="134" t="s">
        <v>1884</v>
      </c>
      <c r="B282" s="166"/>
      <c r="C282" s="166"/>
      <c r="D282" s="123"/>
      <c r="E282" s="123"/>
      <c r="F282" s="167" t="s">
        <v>1885</v>
      </c>
      <c r="G282" s="167" t="s">
        <v>1886</v>
      </c>
      <c r="H282" s="167"/>
      <c r="I282" s="167"/>
      <c r="J282" s="167"/>
      <c r="K282" s="167"/>
      <c r="L282" s="167"/>
      <c r="M282" s="167"/>
      <c r="N282" s="152"/>
      <c r="O282" s="201"/>
    </row>
    <row r="283" spans="1:15" s="4" customFormat="1" ht="25.2">
      <c r="A283" s="125" t="s">
        <v>1887</v>
      </c>
      <c r="B283" s="123"/>
      <c r="C283" s="123"/>
      <c r="D283" s="123"/>
      <c r="E283" s="123"/>
      <c r="F283" s="167"/>
      <c r="G283" s="167" t="s">
        <v>1888</v>
      </c>
      <c r="H283" s="167"/>
      <c r="I283" s="167"/>
      <c r="J283" s="167"/>
      <c r="K283" s="167"/>
      <c r="L283" s="167"/>
      <c r="M283" s="167"/>
      <c r="N283" s="152"/>
    </row>
    <row r="284" spans="1:15" s="3" customFormat="1" ht="9.9" customHeight="1">
      <c r="A284" s="125"/>
      <c r="B284" s="123"/>
      <c r="C284" s="123"/>
      <c r="D284" s="123"/>
      <c r="E284" s="123"/>
      <c r="F284" s="167"/>
      <c r="G284" s="123"/>
      <c r="H284" s="123"/>
      <c r="I284" s="123"/>
      <c r="J284" s="123"/>
      <c r="K284" s="123"/>
      <c r="L284" s="123"/>
      <c r="M284" s="123"/>
      <c r="N284" s="126"/>
    </row>
    <row r="285" spans="1:15" s="3" customFormat="1" ht="42.75" customHeight="1">
      <c r="A285" s="125" t="s">
        <v>1889</v>
      </c>
      <c r="B285" s="123"/>
      <c r="C285" s="123"/>
      <c r="D285" s="123"/>
      <c r="E285" s="123"/>
      <c r="F285" s="167" t="s">
        <v>1885</v>
      </c>
      <c r="G285" s="167" t="str">
        <f>PL!$B$13</f>
        <v>Branch of JSC "Doosan Enerbility" in the Turkestan region</v>
      </c>
      <c r="H285" s="123"/>
      <c r="I285" s="123"/>
      <c r="J285" s="123"/>
      <c r="K285" s="123"/>
      <c r="L285" s="123"/>
      <c r="M285" s="123"/>
      <c r="N285" s="126"/>
    </row>
    <row r="286" spans="1:15" s="3" customFormat="1" ht="24" customHeight="1">
      <c r="A286" s="125" t="s">
        <v>1890</v>
      </c>
      <c r="B286" s="123"/>
      <c r="C286" s="123"/>
      <c r="D286" s="123"/>
      <c r="E286" s="123"/>
      <c r="F286" s="168"/>
      <c r="G286" s="167" t="str">
        <f>PL!$B$14</f>
        <v>321 Tauke Khan Avenue, Turkestan region, Turkestan, Kazakhstan, 161200</v>
      </c>
      <c r="H286" s="123"/>
      <c r="I286" s="123"/>
      <c r="J286" s="123"/>
      <c r="K286" s="123"/>
      <c r="L286" s="123"/>
      <c r="M286" s="123"/>
      <c r="N286" s="126"/>
    </row>
    <row r="287" spans="1:15" s="4" customFormat="1" ht="25.2">
      <c r="A287" s="125"/>
      <c r="B287" s="123"/>
      <c r="C287" s="123"/>
      <c r="D287" s="123"/>
      <c r="E287" s="123"/>
      <c r="F287" s="168"/>
      <c r="G287" s="167" t="str">
        <f>PL!$B$15</f>
        <v>BIN: 230741006561</v>
      </c>
      <c r="H287" s="123"/>
      <c r="I287" s="123"/>
      <c r="J287" s="123"/>
      <c r="K287" s="123"/>
      <c r="L287" s="123"/>
      <c r="M287" s="123"/>
      <c r="N287" s="126"/>
    </row>
    <row r="288" spans="1:15" s="3" customFormat="1" ht="9.9" customHeight="1">
      <c r="A288" s="125"/>
      <c r="B288" s="123"/>
      <c r="C288" s="123"/>
      <c r="D288" s="123"/>
      <c r="E288" s="123"/>
      <c r="F288" s="169"/>
      <c r="G288" s="169"/>
      <c r="H288" s="123"/>
      <c r="I288" s="123"/>
      <c r="J288" s="123"/>
      <c r="K288" s="123"/>
      <c r="L288" s="123"/>
      <c r="M288" s="123"/>
      <c r="N288" s="126"/>
    </row>
    <row r="289" spans="1:14" s="3" customFormat="1" ht="25.2">
      <c r="A289" s="125" t="s">
        <v>1891</v>
      </c>
      <c r="B289" s="123"/>
      <c r="C289" s="123"/>
      <c r="D289" s="123"/>
      <c r="E289" s="123"/>
      <c r="F289" s="167" t="s">
        <v>1892</v>
      </c>
      <c r="G289" s="123"/>
      <c r="H289" s="123"/>
      <c r="I289" s="123"/>
      <c r="J289" s="123"/>
      <c r="K289" s="123"/>
      <c r="L289" s="123"/>
      <c r="M289" s="123"/>
      <c r="N289" s="126"/>
    </row>
    <row r="290" spans="1:14" s="4" customFormat="1" ht="25.2">
      <c r="A290" s="125" t="s">
        <v>1893</v>
      </c>
      <c r="B290" s="123"/>
      <c r="C290" s="123"/>
      <c r="D290" s="123"/>
      <c r="E290" s="123"/>
      <c r="F290" s="167" t="s">
        <v>1894</v>
      </c>
      <c r="G290" s="123"/>
      <c r="H290" s="123"/>
      <c r="I290" s="123"/>
      <c r="J290" s="123"/>
      <c r="K290" s="123"/>
      <c r="L290" s="123"/>
      <c r="M290" s="123"/>
      <c r="N290" s="126"/>
    </row>
    <row r="291" spans="1:14" s="3" customFormat="1" ht="9.9" customHeight="1">
      <c r="A291" s="125"/>
      <c r="B291" s="123"/>
      <c r="C291" s="123"/>
      <c r="D291" s="123"/>
      <c r="E291" s="123"/>
      <c r="F291" s="167"/>
      <c r="G291" s="123"/>
      <c r="H291" s="123"/>
      <c r="I291" s="123"/>
      <c r="J291" s="123"/>
      <c r="K291" s="123"/>
      <c r="L291" s="123"/>
      <c r="M291" s="123"/>
      <c r="N291" s="126"/>
    </row>
    <row r="292" spans="1:14" s="3" customFormat="1" ht="25.2">
      <c r="A292" s="125" t="s">
        <v>1895</v>
      </c>
      <c r="B292" s="123"/>
      <c r="C292" s="123"/>
      <c r="D292" s="123"/>
      <c r="E292" s="123"/>
      <c r="F292" s="167" t="s">
        <v>1896</v>
      </c>
      <c r="G292" s="167" t="str">
        <f>PL!$V$8</f>
        <v>PGU-DE-0139-001</v>
      </c>
      <c r="H292" s="123"/>
      <c r="I292" s="123"/>
      <c r="J292" s="123"/>
      <c r="K292" s="123"/>
      <c r="L292" s="123"/>
      <c r="M292" s="123"/>
      <c r="N292" s="126"/>
    </row>
    <row r="293" spans="1:14" s="3" customFormat="1" ht="25.2">
      <c r="A293" s="125" t="s">
        <v>1897</v>
      </c>
      <c r="B293" s="123"/>
      <c r="C293" s="123"/>
      <c r="D293" s="123"/>
      <c r="E293" s="123"/>
      <c r="F293" s="167"/>
      <c r="G293" s="123"/>
      <c r="H293" s="123"/>
      <c r="I293" s="123"/>
      <c r="J293" s="123"/>
      <c r="K293" s="123"/>
      <c r="L293" s="123"/>
      <c r="M293" s="123"/>
      <c r="N293" s="126"/>
    </row>
    <row r="294" spans="1:14" s="3" customFormat="1" ht="9.9" customHeight="1">
      <c r="A294" s="125"/>
      <c r="B294" s="123"/>
      <c r="C294" s="123"/>
      <c r="D294" s="123"/>
      <c r="E294" s="123"/>
      <c r="F294" s="167"/>
      <c r="G294" s="123"/>
      <c r="H294" s="123"/>
      <c r="I294" s="123"/>
      <c r="J294" s="123"/>
      <c r="K294" s="123"/>
      <c r="L294" s="123"/>
      <c r="M294" s="123"/>
      <c r="N294" s="126"/>
    </row>
    <row r="295" spans="1:14" s="3" customFormat="1" ht="31.2" customHeight="1">
      <c r="A295" s="127" t="s">
        <v>1898</v>
      </c>
      <c r="B295" s="170"/>
      <c r="C295" s="170"/>
      <c r="D295" s="170"/>
      <c r="E295" s="170"/>
      <c r="F295" s="171" t="s">
        <v>1885</v>
      </c>
      <c r="G295" s="597" t="e">
        <f>VLOOKUP(G298, 'Detail PL'!$B$14:$Q$799,2)</f>
        <v>#N/A</v>
      </c>
      <c r="H295" s="597"/>
      <c r="I295" s="597"/>
      <c r="J295" s="597"/>
      <c r="K295" s="597"/>
      <c r="L295" s="597"/>
      <c r="M295" s="597"/>
      <c r="N295" s="128"/>
    </row>
    <row r="296" spans="1:14" s="3" customFormat="1" ht="25.2">
      <c r="A296" s="127" t="s">
        <v>1899</v>
      </c>
      <c r="B296" s="170"/>
      <c r="C296" s="170"/>
      <c r="D296" s="170"/>
      <c r="E296" s="170"/>
      <c r="F296" s="171"/>
      <c r="G296" s="170"/>
      <c r="H296" s="170"/>
      <c r="I296" s="170"/>
      <c r="J296" s="170"/>
      <c r="K296" s="170"/>
      <c r="L296" s="170"/>
      <c r="M296" s="170"/>
      <c r="N296" s="128"/>
    </row>
    <row r="297" spans="1:14" s="3" customFormat="1" ht="9.9" customHeight="1">
      <c r="A297" s="125"/>
      <c r="B297" s="123"/>
      <c r="C297" s="123"/>
      <c r="D297" s="123"/>
      <c r="E297" s="123"/>
      <c r="F297" s="167"/>
      <c r="G297" s="123"/>
      <c r="H297" s="123"/>
      <c r="I297" s="123"/>
      <c r="J297" s="123"/>
      <c r="K297" s="123"/>
      <c r="L297" s="123"/>
      <c r="M297" s="123"/>
      <c r="N297" s="126"/>
    </row>
    <row r="298" spans="1:14" s="3" customFormat="1" ht="25.2">
      <c r="A298" s="125" t="s">
        <v>1900</v>
      </c>
      <c r="B298" s="123"/>
      <c r="C298" s="123"/>
      <c r="D298" s="123"/>
      <c r="E298" s="123"/>
      <c r="F298" s="171" t="s">
        <v>1901</v>
      </c>
      <c r="G298" s="604">
        <f t="shared" ref="G298" si="6">G263+1</f>
        <v>9</v>
      </c>
      <c r="H298" s="604"/>
      <c r="I298" s="604"/>
      <c r="J298" s="604"/>
      <c r="K298" s="604"/>
      <c r="L298" s="123"/>
      <c r="M298" s="123"/>
      <c r="N298" s="126"/>
    </row>
    <row r="299" spans="1:14" s="4" customFormat="1" ht="25.2">
      <c r="A299" s="125" t="s">
        <v>1903</v>
      </c>
      <c r="B299" s="123"/>
      <c r="C299" s="123"/>
      <c r="D299" s="123"/>
      <c r="E299" s="123"/>
      <c r="F299" s="167"/>
      <c r="G299" s="167"/>
      <c r="H299" s="123"/>
      <c r="I299" s="123"/>
      <c r="J299" s="123"/>
      <c r="K299" s="123"/>
      <c r="L299" s="123"/>
      <c r="M299" s="123"/>
      <c r="N299" s="126"/>
    </row>
    <row r="300" spans="1:14" s="3" customFormat="1" ht="9.9" customHeight="1">
      <c r="A300" s="125"/>
      <c r="B300" s="123"/>
      <c r="C300" s="123"/>
      <c r="D300" s="123"/>
      <c r="E300" s="123"/>
      <c r="F300" s="167"/>
      <c r="G300" s="167"/>
      <c r="H300" s="123"/>
      <c r="I300" s="123"/>
      <c r="J300" s="123"/>
      <c r="K300" s="123"/>
      <c r="L300" s="123"/>
      <c r="M300" s="123"/>
      <c r="N300" s="126"/>
    </row>
    <row r="301" spans="1:14" s="3" customFormat="1" ht="25.2">
      <c r="A301" s="125" t="s">
        <v>1904</v>
      </c>
      <c r="B301" s="123"/>
      <c r="C301" s="123"/>
      <c r="D301" s="123"/>
      <c r="E301" s="123"/>
      <c r="F301" s="167" t="s">
        <v>1896</v>
      </c>
      <c r="G301" s="204" t="e">
        <f>VLOOKUP(G298, 'Detail PL'!$B$14:$Q$799, 10)</f>
        <v>#N/A</v>
      </c>
      <c r="H301" s="204" t="s">
        <v>1905</v>
      </c>
      <c r="I301" s="204"/>
      <c r="J301" s="204"/>
      <c r="K301" s="123"/>
      <c r="L301" s="123"/>
      <c r="M301" s="123"/>
      <c r="N301" s="126"/>
    </row>
    <row r="302" spans="1:14" s="4" customFormat="1" ht="25.2">
      <c r="A302" s="125" t="s">
        <v>1906</v>
      </c>
      <c r="B302" s="123"/>
      <c r="C302" s="123"/>
      <c r="D302" s="123"/>
      <c r="E302" s="123"/>
      <c r="F302" s="167"/>
      <c r="G302" s="167"/>
      <c r="H302" s="167"/>
      <c r="I302" s="123"/>
      <c r="J302" s="123"/>
      <c r="K302" s="123"/>
      <c r="L302" s="123"/>
      <c r="M302" s="123"/>
      <c r="N302" s="126"/>
    </row>
    <row r="303" spans="1:14" s="3" customFormat="1" ht="9.9" customHeight="1">
      <c r="A303" s="125"/>
      <c r="B303" s="123"/>
      <c r="C303" s="123"/>
      <c r="D303" s="123"/>
      <c r="E303" s="123"/>
      <c r="F303" s="167"/>
      <c r="G303" s="167"/>
      <c r="H303" s="167"/>
      <c r="I303" s="123"/>
      <c r="J303" s="123"/>
      <c r="K303" s="123"/>
      <c r="L303" s="123"/>
      <c r="M303" s="123"/>
      <c r="N303" s="126"/>
    </row>
    <row r="304" spans="1:14" s="3" customFormat="1" ht="25.2">
      <c r="A304" s="125" t="s">
        <v>1907</v>
      </c>
      <c r="B304" s="123"/>
      <c r="C304" s="123"/>
      <c r="D304" s="123"/>
      <c r="E304" s="123"/>
      <c r="F304" s="167" t="s">
        <v>1896</v>
      </c>
      <c r="G304" s="204" t="e">
        <f>VLOOKUP(G298, 'Detail PL'!$B$14:$Q$799, 11)</f>
        <v>#N/A</v>
      </c>
      <c r="H304" s="204" t="s">
        <v>1905</v>
      </c>
      <c r="I304" s="204"/>
      <c r="J304" s="204"/>
      <c r="K304" s="123"/>
      <c r="L304" s="123"/>
      <c r="M304" s="123"/>
      <c r="N304" s="126"/>
    </row>
    <row r="305" spans="1:15" s="4" customFormat="1" ht="25.2">
      <c r="A305" s="125" t="s">
        <v>1908</v>
      </c>
      <c r="B305" s="123"/>
      <c r="C305" s="123"/>
      <c r="D305" s="123"/>
      <c r="E305" s="123"/>
      <c r="F305" s="167"/>
      <c r="G305" s="167"/>
      <c r="H305" s="123"/>
      <c r="I305" s="123"/>
      <c r="J305" s="123"/>
      <c r="K305" s="123"/>
      <c r="L305" s="123"/>
      <c r="M305" s="123"/>
      <c r="N305" s="126"/>
    </row>
    <row r="306" spans="1:15" s="3" customFormat="1" ht="9.9" customHeight="1">
      <c r="A306" s="125"/>
      <c r="B306" s="123"/>
      <c r="C306" s="123"/>
      <c r="D306" s="123"/>
      <c r="E306" s="123"/>
      <c r="F306" s="167"/>
      <c r="G306" s="167"/>
      <c r="H306" s="123"/>
      <c r="I306" s="123"/>
      <c r="J306" s="123"/>
      <c r="K306" s="123"/>
      <c r="L306" s="123"/>
      <c r="M306" s="123"/>
      <c r="N306" s="126"/>
    </row>
    <row r="307" spans="1:15" s="3" customFormat="1" ht="25.2">
      <c r="A307" s="129" t="s">
        <v>1909</v>
      </c>
      <c r="B307" s="123"/>
      <c r="C307" s="123"/>
      <c r="D307" s="123"/>
      <c r="E307" s="123"/>
      <c r="F307" s="167" t="s">
        <v>1896</v>
      </c>
      <c r="G307" s="204" t="e">
        <f>VLOOKUP(G298, 'Detail PL'!$B$14:$Q$799, 9)</f>
        <v>#N/A</v>
      </c>
      <c r="H307" s="205" t="s">
        <v>1910</v>
      </c>
      <c r="I307" s="203"/>
      <c r="J307" s="203"/>
      <c r="K307" s="172"/>
      <c r="L307" s="123"/>
      <c r="M307" s="123"/>
      <c r="N307" s="126"/>
    </row>
    <row r="308" spans="1:15" s="4" customFormat="1" ht="25.2">
      <c r="A308" s="125" t="s">
        <v>1911</v>
      </c>
      <c r="B308" s="123"/>
      <c r="C308" s="123"/>
      <c r="D308" s="123"/>
      <c r="E308" s="123"/>
      <c r="F308" s="167"/>
      <c r="G308" s="167"/>
      <c r="H308" s="123"/>
      <c r="I308" s="123"/>
      <c r="J308" s="123"/>
      <c r="K308" s="123"/>
      <c r="L308" s="123"/>
      <c r="M308" s="123"/>
      <c r="N308" s="126"/>
    </row>
    <row r="309" spans="1:15" s="3" customFormat="1" ht="9.9" customHeight="1">
      <c r="A309" s="125"/>
      <c r="B309" s="123"/>
      <c r="C309" s="123"/>
      <c r="D309" s="123"/>
      <c r="E309" s="123"/>
      <c r="F309" s="167"/>
      <c r="G309" s="167"/>
      <c r="H309" s="123"/>
      <c r="I309" s="123"/>
      <c r="J309" s="123"/>
      <c r="K309" s="123"/>
      <c r="L309" s="123"/>
      <c r="M309" s="123"/>
      <c r="N309" s="126"/>
    </row>
    <row r="310" spans="1:15" s="3" customFormat="1" ht="42" customHeight="1">
      <c r="A310" s="125" t="s">
        <v>1912</v>
      </c>
      <c r="B310" s="123"/>
      <c r="C310" s="123"/>
      <c r="D310" s="123"/>
      <c r="E310" s="123"/>
      <c r="F310" s="166" t="s">
        <v>1913</v>
      </c>
      <c r="G310" s="595" t="s">
        <v>1914</v>
      </c>
      <c r="H310" s="595"/>
      <c r="I310" s="595"/>
      <c r="J310" s="595"/>
      <c r="K310" s="595"/>
      <c r="L310" s="595"/>
      <c r="M310" s="595"/>
      <c r="N310" s="596"/>
    </row>
    <row r="311" spans="1:15" s="4" customFormat="1" ht="25.8" thickBot="1">
      <c r="A311" s="125" t="s">
        <v>1915</v>
      </c>
      <c r="B311" s="123"/>
      <c r="C311" s="123"/>
      <c r="D311" s="123"/>
      <c r="E311" s="123"/>
      <c r="F311" s="167"/>
      <c r="G311" s="167"/>
      <c r="H311" s="123"/>
      <c r="I311" s="123"/>
      <c r="J311" s="123"/>
      <c r="K311" s="123"/>
      <c r="L311" s="123"/>
      <c r="M311" s="123"/>
      <c r="N311" s="126"/>
    </row>
    <row r="312" spans="1:15" ht="21" customHeight="1">
      <c r="A312" s="598" t="s">
        <v>1916</v>
      </c>
      <c r="B312" s="599"/>
      <c r="C312" s="599"/>
      <c r="D312" s="599"/>
      <c r="E312" s="599"/>
      <c r="F312" s="599"/>
      <c r="G312" s="599"/>
      <c r="H312" s="599"/>
      <c r="I312" s="599"/>
      <c r="J312" s="599"/>
      <c r="K312" s="599"/>
      <c r="L312" s="599"/>
      <c r="M312" s="599"/>
      <c r="N312" s="600"/>
    </row>
    <row r="313" spans="1:15" ht="25.5" customHeight="1" thickBot="1">
      <c r="A313" s="601"/>
      <c r="B313" s="602"/>
      <c r="C313" s="602"/>
      <c r="D313" s="602"/>
      <c r="E313" s="602"/>
      <c r="F313" s="602"/>
      <c r="G313" s="602"/>
      <c r="H313" s="602"/>
      <c r="I313" s="602"/>
      <c r="J313" s="602"/>
      <c r="K313" s="602"/>
      <c r="L313" s="602"/>
      <c r="M313" s="602"/>
      <c r="N313" s="603"/>
    </row>
    <row r="314" spans="1:15" ht="25.5" customHeight="1">
      <c r="E314" s="206"/>
      <c r="F314" s="206"/>
      <c r="G314" s="206"/>
      <c r="H314" s="206"/>
      <c r="I314" s="206"/>
      <c r="J314" s="206"/>
      <c r="K314" s="206"/>
    </row>
    <row r="315" spans="1:15" ht="21.6" thickBot="1"/>
    <row r="316" spans="1:15" ht="95.25" customHeight="1" thickBot="1">
      <c r="A316" s="592" t="s">
        <v>1883</v>
      </c>
      <c r="B316" s="593"/>
      <c r="C316" s="593"/>
      <c r="D316" s="593"/>
      <c r="E316" s="593"/>
      <c r="F316" s="593"/>
      <c r="G316" s="593"/>
      <c r="H316" s="593"/>
      <c r="I316" s="593"/>
      <c r="J316" s="593"/>
      <c r="K316" s="593"/>
      <c r="L316" s="593"/>
      <c r="M316" s="593"/>
      <c r="N316" s="594"/>
    </row>
    <row r="317" spans="1:15" s="3" customFormat="1" ht="37.5" customHeight="1">
      <c r="A317" s="134" t="s">
        <v>1884</v>
      </c>
      <c r="B317" s="166"/>
      <c r="C317" s="166"/>
      <c r="D317" s="123"/>
      <c r="E317" s="123"/>
      <c r="F317" s="167" t="s">
        <v>1885</v>
      </c>
      <c r="G317" s="167" t="s">
        <v>1886</v>
      </c>
      <c r="H317" s="167"/>
      <c r="I317" s="167"/>
      <c r="J317" s="167"/>
      <c r="K317" s="167"/>
      <c r="L317" s="167"/>
      <c r="M317" s="167"/>
      <c r="N317" s="152"/>
      <c r="O317" s="201"/>
    </row>
    <row r="318" spans="1:15" s="4" customFormat="1" ht="25.2">
      <c r="A318" s="125" t="s">
        <v>1887</v>
      </c>
      <c r="B318" s="123"/>
      <c r="C318" s="123"/>
      <c r="D318" s="123"/>
      <c r="E318" s="123"/>
      <c r="F318" s="167"/>
      <c r="G318" s="167" t="s">
        <v>1888</v>
      </c>
      <c r="H318" s="167"/>
      <c r="I318" s="167"/>
      <c r="J318" s="167"/>
      <c r="K318" s="167"/>
      <c r="L318" s="167"/>
      <c r="M318" s="167"/>
      <c r="N318" s="152"/>
    </row>
    <row r="319" spans="1:15" s="3" customFormat="1" ht="9.9" customHeight="1">
      <c r="A319" s="125"/>
      <c r="B319" s="123"/>
      <c r="C319" s="123"/>
      <c r="D319" s="123"/>
      <c r="E319" s="123"/>
      <c r="F319" s="167"/>
      <c r="G319" s="123"/>
      <c r="H319" s="123"/>
      <c r="I319" s="123"/>
      <c r="J319" s="123"/>
      <c r="K319" s="123"/>
      <c r="L319" s="123"/>
      <c r="M319" s="123"/>
      <c r="N319" s="126"/>
    </row>
    <row r="320" spans="1:15" s="3" customFormat="1" ht="42.75" customHeight="1">
      <c r="A320" s="125" t="s">
        <v>1889</v>
      </c>
      <c r="B320" s="123"/>
      <c r="C320" s="123"/>
      <c r="D320" s="123"/>
      <c r="E320" s="123"/>
      <c r="F320" s="167" t="s">
        <v>1885</v>
      </c>
      <c r="G320" s="167" t="str">
        <f>PL!$B$13</f>
        <v>Branch of JSC "Doosan Enerbility" in the Turkestan region</v>
      </c>
      <c r="H320" s="123"/>
      <c r="I320" s="123"/>
      <c r="J320" s="123"/>
      <c r="K320" s="123"/>
      <c r="L320" s="123"/>
      <c r="M320" s="123"/>
      <c r="N320" s="126"/>
    </row>
    <row r="321" spans="1:14" s="3" customFormat="1" ht="24" customHeight="1">
      <c r="A321" s="125" t="s">
        <v>1890</v>
      </c>
      <c r="B321" s="123"/>
      <c r="C321" s="123"/>
      <c r="D321" s="123"/>
      <c r="E321" s="123"/>
      <c r="F321" s="168"/>
      <c r="G321" s="167" t="str">
        <f>PL!$B$14</f>
        <v>321 Tauke Khan Avenue, Turkestan region, Turkestan, Kazakhstan, 161200</v>
      </c>
      <c r="H321" s="123"/>
      <c r="I321" s="123"/>
      <c r="J321" s="123"/>
      <c r="K321" s="123"/>
      <c r="L321" s="123"/>
      <c r="M321" s="123"/>
      <c r="N321" s="126"/>
    </row>
    <row r="322" spans="1:14" s="4" customFormat="1" ht="25.2">
      <c r="A322" s="125"/>
      <c r="B322" s="123"/>
      <c r="C322" s="123"/>
      <c r="D322" s="123"/>
      <c r="E322" s="123"/>
      <c r="F322" s="168"/>
      <c r="G322" s="167" t="str">
        <f>PL!$B$15</f>
        <v>BIN: 230741006561</v>
      </c>
      <c r="H322" s="123"/>
      <c r="I322" s="123"/>
      <c r="J322" s="123"/>
      <c r="K322" s="123"/>
      <c r="L322" s="123"/>
      <c r="M322" s="123"/>
      <c r="N322" s="126"/>
    </row>
    <row r="323" spans="1:14" s="3" customFormat="1" ht="9.9" customHeight="1">
      <c r="A323" s="125"/>
      <c r="B323" s="123"/>
      <c r="C323" s="123"/>
      <c r="D323" s="123"/>
      <c r="E323" s="123"/>
      <c r="F323" s="169"/>
      <c r="G323" s="169"/>
      <c r="H323" s="123"/>
      <c r="I323" s="123"/>
      <c r="J323" s="123"/>
      <c r="K323" s="123"/>
      <c r="L323" s="123"/>
      <c r="M323" s="123"/>
      <c r="N323" s="126"/>
    </row>
    <row r="324" spans="1:14" s="3" customFormat="1" ht="25.2">
      <c r="A324" s="125" t="s">
        <v>1891</v>
      </c>
      <c r="B324" s="123"/>
      <c r="C324" s="123"/>
      <c r="D324" s="123"/>
      <c r="E324" s="123"/>
      <c r="F324" s="167" t="s">
        <v>1892</v>
      </c>
      <c r="G324" s="123"/>
      <c r="H324" s="123"/>
      <c r="I324" s="123"/>
      <c r="J324" s="123"/>
      <c r="K324" s="123"/>
      <c r="L324" s="123"/>
      <c r="M324" s="123"/>
      <c r="N324" s="126"/>
    </row>
    <row r="325" spans="1:14" s="4" customFormat="1" ht="25.2">
      <c r="A325" s="125" t="s">
        <v>1893</v>
      </c>
      <c r="B325" s="123"/>
      <c r="C325" s="123"/>
      <c r="D325" s="123"/>
      <c r="E325" s="123"/>
      <c r="F325" s="167" t="s">
        <v>1894</v>
      </c>
      <c r="G325" s="123"/>
      <c r="H325" s="123"/>
      <c r="I325" s="123"/>
      <c r="J325" s="123"/>
      <c r="K325" s="123"/>
      <c r="L325" s="123"/>
      <c r="M325" s="123"/>
      <c r="N325" s="126"/>
    </row>
    <row r="326" spans="1:14" s="3" customFormat="1" ht="9.9" customHeight="1">
      <c r="A326" s="125"/>
      <c r="B326" s="123"/>
      <c r="C326" s="123"/>
      <c r="D326" s="123"/>
      <c r="E326" s="123"/>
      <c r="F326" s="167"/>
      <c r="G326" s="123"/>
      <c r="H326" s="123"/>
      <c r="I326" s="123"/>
      <c r="J326" s="123"/>
      <c r="K326" s="123"/>
      <c r="L326" s="123"/>
      <c r="M326" s="123"/>
      <c r="N326" s="126"/>
    </row>
    <row r="327" spans="1:14" s="3" customFormat="1" ht="25.2">
      <c r="A327" s="125" t="s">
        <v>1895</v>
      </c>
      <c r="B327" s="123"/>
      <c r="C327" s="123"/>
      <c r="D327" s="123"/>
      <c r="E327" s="123"/>
      <c r="F327" s="167" t="s">
        <v>1896</v>
      </c>
      <c r="G327" s="167" t="str">
        <f>PL!$V$8</f>
        <v>PGU-DE-0139-001</v>
      </c>
      <c r="H327" s="123"/>
      <c r="I327" s="123"/>
      <c r="J327" s="123"/>
      <c r="K327" s="123"/>
      <c r="L327" s="123"/>
      <c r="M327" s="123"/>
      <c r="N327" s="126"/>
    </row>
    <row r="328" spans="1:14" s="3" customFormat="1" ht="25.2">
      <c r="A328" s="125" t="s">
        <v>1897</v>
      </c>
      <c r="B328" s="123"/>
      <c r="C328" s="123"/>
      <c r="D328" s="123"/>
      <c r="E328" s="123"/>
      <c r="F328" s="167"/>
      <c r="G328" s="123"/>
      <c r="H328" s="123"/>
      <c r="I328" s="123"/>
      <c r="J328" s="123"/>
      <c r="K328" s="123"/>
      <c r="L328" s="123"/>
      <c r="M328" s="123"/>
      <c r="N328" s="126"/>
    </row>
    <row r="329" spans="1:14" s="3" customFormat="1" ht="9.9" customHeight="1">
      <c r="A329" s="125"/>
      <c r="B329" s="123"/>
      <c r="C329" s="123"/>
      <c r="D329" s="123"/>
      <c r="E329" s="123"/>
      <c r="F329" s="167"/>
      <c r="G329" s="123"/>
      <c r="H329" s="123"/>
      <c r="I329" s="123"/>
      <c r="J329" s="123"/>
      <c r="K329" s="123"/>
      <c r="L329" s="123"/>
      <c r="M329" s="123"/>
      <c r="N329" s="126"/>
    </row>
    <row r="330" spans="1:14" s="3" customFormat="1" ht="31.2" customHeight="1">
      <c r="A330" s="127" t="s">
        <v>1898</v>
      </c>
      <c r="B330" s="170"/>
      <c r="C330" s="170"/>
      <c r="D330" s="170"/>
      <c r="E330" s="170"/>
      <c r="F330" s="171" t="s">
        <v>1885</v>
      </c>
      <c r="G330" s="597" t="e">
        <f>VLOOKUP(G333, 'Detail PL'!$B$14:$Q$799,2)</f>
        <v>#N/A</v>
      </c>
      <c r="H330" s="597"/>
      <c r="I330" s="597"/>
      <c r="J330" s="597"/>
      <c r="K330" s="597"/>
      <c r="L330" s="597"/>
      <c r="M330" s="597"/>
      <c r="N330" s="128"/>
    </row>
    <row r="331" spans="1:14" s="3" customFormat="1" ht="25.2">
      <c r="A331" s="127" t="s">
        <v>1899</v>
      </c>
      <c r="B331" s="170"/>
      <c r="C331" s="170"/>
      <c r="D331" s="170"/>
      <c r="E331" s="170"/>
      <c r="F331" s="171"/>
      <c r="G331" s="170"/>
      <c r="H331" s="170"/>
      <c r="I331" s="170"/>
      <c r="J331" s="170"/>
      <c r="K331" s="170"/>
      <c r="L331" s="170"/>
      <c r="M331" s="170"/>
      <c r="N331" s="128"/>
    </row>
    <row r="332" spans="1:14" s="3" customFormat="1" ht="9.9" customHeight="1">
      <c r="A332" s="125"/>
      <c r="B332" s="123"/>
      <c r="C332" s="123"/>
      <c r="D332" s="123"/>
      <c r="E332" s="123"/>
      <c r="F332" s="167"/>
      <c r="G332" s="123"/>
      <c r="H332" s="123"/>
      <c r="I332" s="123"/>
      <c r="J332" s="123"/>
      <c r="K332" s="123"/>
      <c r="L332" s="123"/>
      <c r="M332" s="123"/>
      <c r="N332" s="126"/>
    </row>
    <row r="333" spans="1:14" s="3" customFormat="1" ht="25.2">
      <c r="A333" s="125" t="s">
        <v>1900</v>
      </c>
      <c r="B333" s="123"/>
      <c r="C333" s="123"/>
      <c r="D333" s="123"/>
      <c r="E333" s="123"/>
      <c r="F333" s="171" t="s">
        <v>1901</v>
      </c>
      <c r="G333" s="604">
        <f t="shared" ref="G333" si="7">G298+1</f>
        <v>10</v>
      </c>
      <c r="H333" s="604"/>
      <c r="I333" s="604"/>
      <c r="J333" s="604"/>
      <c r="K333" s="604"/>
      <c r="L333" s="123"/>
      <c r="M333" s="123"/>
      <c r="N333" s="126"/>
    </row>
    <row r="334" spans="1:14" s="4" customFormat="1" ht="25.2">
      <c r="A334" s="125" t="s">
        <v>1903</v>
      </c>
      <c r="B334" s="123"/>
      <c r="C334" s="123"/>
      <c r="D334" s="123"/>
      <c r="E334" s="123"/>
      <c r="F334" s="167"/>
      <c r="G334" s="167"/>
      <c r="H334" s="123"/>
      <c r="I334" s="123"/>
      <c r="J334" s="123"/>
      <c r="K334" s="123"/>
      <c r="L334" s="123"/>
      <c r="M334" s="123"/>
      <c r="N334" s="126"/>
    </row>
    <row r="335" spans="1:14" s="3" customFormat="1" ht="9.9" customHeight="1">
      <c r="A335" s="125"/>
      <c r="B335" s="123"/>
      <c r="C335" s="123"/>
      <c r="D335" s="123"/>
      <c r="E335" s="123"/>
      <c r="F335" s="167"/>
      <c r="G335" s="167"/>
      <c r="H335" s="123"/>
      <c r="I335" s="123"/>
      <c r="J335" s="123"/>
      <c r="K335" s="123"/>
      <c r="L335" s="123"/>
      <c r="M335" s="123"/>
      <c r="N335" s="126"/>
    </row>
    <row r="336" spans="1:14" s="3" customFormat="1" ht="25.2">
      <c r="A336" s="125" t="s">
        <v>1904</v>
      </c>
      <c r="B336" s="123"/>
      <c r="C336" s="123"/>
      <c r="D336" s="123"/>
      <c r="E336" s="123"/>
      <c r="F336" s="167" t="s">
        <v>1896</v>
      </c>
      <c r="G336" s="204" t="e">
        <f>VLOOKUP(G333, 'Detail PL'!$B$14:$Q$799, 10)</f>
        <v>#N/A</v>
      </c>
      <c r="H336" s="204" t="s">
        <v>1905</v>
      </c>
      <c r="I336" s="204"/>
      <c r="J336" s="204"/>
      <c r="K336" s="123"/>
      <c r="L336" s="123"/>
      <c r="M336" s="123"/>
      <c r="N336" s="126"/>
    </row>
    <row r="337" spans="1:15" s="4" customFormat="1" ht="25.2">
      <c r="A337" s="125" t="s">
        <v>1906</v>
      </c>
      <c r="B337" s="123"/>
      <c r="C337" s="123"/>
      <c r="D337" s="123"/>
      <c r="E337" s="123"/>
      <c r="F337" s="167"/>
      <c r="G337" s="167"/>
      <c r="H337" s="167"/>
      <c r="I337" s="123"/>
      <c r="J337" s="123"/>
      <c r="K337" s="123"/>
      <c r="L337" s="123"/>
      <c r="M337" s="123"/>
      <c r="N337" s="126"/>
    </row>
    <row r="338" spans="1:15" s="3" customFormat="1" ht="9.9" customHeight="1">
      <c r="A338" s="125"/>
      <c r="B338" s="123"/>
      <c r="C338" s="123"/>
      <c r="D338" s="123"/>
      <c r="E338" s="123"/>
      <c r="F338" s="167"/>
      <c r="G338" s="167"/>
      <c r="H338" s="167"/>
      <c r="I338" s="123"/>
      <c r="J338" s="123"/>
      <c r="K338" s="123"/>
      <c r="L338" s="123"/>
      <c r="M338" s="123"/>
      <c r="N338" s="126"/>
    </row>
    <row r="339" spans="1:15" s="3" customFormat="1" ht="25.2">
      <c r="A339" s="125" t="s">
        <v>1907</v>
      </c>
      <c r="B339" s="123"/>
      <c r="C339" s="123"/>
      <c r="D339" s="123"/>
      <c r="E339" s="123"/>
      <c r="F339" s="167" t="s">
        <v>1896</v>
      </c>
      <c r="G339" s="204" t="e">
        <f>VLOOKUP(G333, 'Detail PL'!$B$14:$Q$799, 11)</f>
        <v>#N/A</v>
      </c>
      <c r="H339" s="204" t="s">
        <v>1905</v>
      </c>
      <c r="I339" s="204"/>
      <c r="J339" s="204"/>
      <c r="K339" s="123"/>
      <c r="L339" s="123"/>
      <c r="M339" s="123"/>
      <c r="N339" s="126"/>
    </row>
    <row r="340" spans="1:15" s="4" customFormat="1" ht="25.2">
      <c r="A340" s="125" t="s">
        <v>1908</v>
      </c>
      <c r="B340" s="123"/>
      <c r="C340" s="123"/>
      <c r="D340" s="123"/>
      <c r="E340" s="123"/>
      <c r="F340" s="167"/>
      <c r="G340" s="167"/>
      <c r="H340" s="123"/>
      <c r="I340" s="123"/>
      <c r="J340" s="123"/>
      <c r="K340" s="123"/>
      <c r="L340" s="123"/>
      <c r="M340" s="123"/>
      <c r="N340" s="126"/>
    </row>
    <row r="341" spans="1:15" s="3" customFormat="1" ht="9.9" customHeight="1">
      <c r="A341" s="125"/>
      <c r="B341" s="123"/>
      <c r="C341" s="123"/>
      <c r="D341" s="123"/>
      <c r="E341" s="123"/>
      <c r="F341" s="167"/>
      <c r="G341" s="167"/>
      <c r="H341" s="123"/>
      <c r="I341" s="123"/>
      <c r="J341" s="123"/>
      <c r="K341" s="123"/>
      <c r="L341" s="123"/>
      <c r="M341" s="123"/>
      <c r="N341" s="126"/>
    </row>
    <row r="342" spans="1:15" s="3" customFormat="1" ht="25.2">
      <c r="A342" s="129" t="s">
        <v>1909</v>
      </c>
      <c r="B342" s="123"/>
      <c r="C342" s="123"/>
      <c r="D342" s="123"/>
      <c r="E342" s="123"/>
      <c r="F342" s="167" t="s">
        <v>1896</v>
      </c>
      <c r="G342" s="204" t="e">
        <f>VLOOKUP(G333, 'Detail PL'!$B$14:$Q$799, 9)</f>
        <v>#N/A</v>
      </c>
      <c r="H342" s="205" t="s">
        <v>1910</v>
      </c>
      <c r="I342" s="203"/>
      <c r="J342" s="203"/>
      <c r="K342" s="172"/>
      <c r="L342" s="123"/>
      <c r="M342" s="123"/>
      <c r="N342" s="126"/>
    </row>
    <row r="343" spans="1:15" s="4" customFormat="1" ht="25.2">
      <c r="A343" s="125" t="s">
        <v>1911</v>
      </c>
      <c r="B343" s="123"/>
      <c r="C343" s="123"/>
      <c r="D343" s="123"/>
      <c r="E343" s="123"/>
      <c r="F343" s="167"/>
      <c r="G343" s="167"/>
      <c r="H343" s="123"/>
      <c r="I343" s="123"/>
      <c r="J343" s="123"/>
      <c r="K343" s="123"/>
      <c r="L343" s="123"/>
      <c r="M343" s="123"/>
      <c r="N343" s="126"/>
    </row>
    <row r="344" spans="1:15" s="3" customFormat="1" ht="9.9" customHeight="1">
      <c r="A344" s="125"/>
      <c r="B344" s="123"/>
      <c r="C344" s="123"/>
      <c r="D344" s="123"/>
      <c r="E344" s="123"/>
      <c r="F344" s="167"/>
      <c r="G344" s="167"/>
      <c r="H344" s="123"/>
      <c r="I344" s="123"/>
      <c r="J344" s="123"/>
      <c r="K344" s="123"/>
      <c r="L344" s="123"/>
      <c r="M344" s="123"/>
      <c r="N344" s="126"/>
    </row>
    <row r="345" spans="1:15" s="3" customFormat="1" ht="42" customHeight="1">
      <c r="A345" s="125" t="s">
        <v>1912</v>
      </c>
      <c r="B345" s="123"/>
      <c r="C345" s="123"/>
      <c r="D345" s="123"/>
      <c r="E345" s="123"/>
      <c r="F345" s="166" t="s">
        <v>1913</v>
      </c>
      <c r="G345" s="595" t="s">
        <v>1914</v>
      </c>
      <c r="H345" s="595"/>
      <c r="I345" s="595"/>
      <c r="J345" s="595"/>
      <c r="K345" s="595"/>
      <c r="L345" s="595"/>
      <c r="M345" s="595"/>
      <c r="N345" s="596"/>
    </row>
    <row r="346" spans="1:15" s="4" customFormat="1" ht="25.8" thickBot="1">
      <c r="A346" s="125" t="s">
        <v>1915</v>
      </c>
      <c r="B346" s="123"/>
      <c r="C346" s="123"/>
      <c r="D346" s="123"/>
      <c r="E346" s="123"/>
      <c r="F346" s="167"/>
      <c r="G346" s="167"/>
      <c r="H346" s="123"/>
      <c r="I346" s="123"/>
      <c r="J346" s="123"/>
      <c r="K346" s="123"/>
      <c r="L346" s="123"/>
      <c r="M346" s="123"/>
      <c r="N346" s="126"/>
    </row>
    <row r="347" spans="1:15" ht="21" customHeight="1">
      <c r="A347" s="598" t="s">
        <v>1916</v>
      </c>
      <c r="B347" s="599"/>
      <c r="C347" s="599"/>
      <c r="D347" s="599"/>
      <c r="E347" s="599"/>
      <c r="F347" s="599"/>
      <c r="G347" s="599"/>
      <c r="H347" s="599"/>
      <c r="I347" s="599"/>
      <c r="J347" s="599"/>
      <c r="K347" s="599"/>
      <c r="L347" s="599"/>
      <c r="M347" s="599"/>
      <c r="N347" s="600"/>
    </row>
    <row r="348" spans="1:15" ht="25.5" customHeight="1" thickBot="1">
      <c r="A348" s="601"/>
      <c r="B348" s="602"/>
      <c r="C348" s="602"/>
      <c r="D348" s="602"/>
      <c r="E348" s="602"/>
      <c r="F348" s="602"/>
      <c r="G348" s="602"/>
      <c r="H348" s="602"/>
      <c r="I348" s="602"/>
      <c r="J348" s="602"/>
      <c r="K348" s="602"/>
      <c r="L348" s="602"/>
      <c r="M348" s="602"/>
      <c r="N348" s="603"/>
    </row>
    <row r="349" spans="1:15" ht="25.5" customHeight="1">
      <c r="E349" s="206"/>
      <c r="F349" s="206"/>
      <c r="G349" s="206"/>
      <c r="H349" s="206"/>
      <c r="I349" s="206"/>
      <c r="J349" s="206"/>
      <c r="K349" s="206"/>
    </row>
    <row r="350" spans="1:15" ht="21.6" thickBot="1"/>
    <row r="351" spans="1:15" ht="95.25" customHeight="1" thickBot="1">
      <c r="A351" s="592" t="s">
        <v>1883</v>
      </c>
      <c r="B351" s="593"/>
      <c r="C351" s="593"/>
      <c r="D351" s="593"/>
      <c r="E351" s="593"/>
      <c r="F351" s="593"/>
      <c r="G351" s="593"/>
      <c r="H351" s="593"/>
      <c r="I351" s="593"/>
      <c r="J351" s="593"/>
      <c r="K351" s="593"/>
      <c r="L351" s="593"/>
      <c r="M351" s="593"/>
      <c r="N351" s="594"/>
    </row>
    <row r="352" spans="1:15" s="3" customFormat="1" ht="37.5" customHeight="1">
      <c r="A352" s="134" t="s">
        <v>1884</v>
      </c>
      <c r="B352" s="166"/>
      <c r="C352" s="166"/>
      <c r="D352" s="123"/>
      <c r="E352" s="123"/>
      <c r="F352" s="167" t="s">
        <v>1885</v>
      </c>
      <c r="G352" s="167" t="s">
        <v>1886</v>
      </c>
      <c r="H352" s="167"/>
      <c r="I352" s="167"/>
      <c r="J352" s="167"/>
      <c r="K352" s="167"/>
      <c r="L352" s="167"/>
      <c r="M352" s="167"/>
      <c r="N352" s="152"/>
      <c r="O352" s="201"/>
    </row>
    <row r="353" spans="1:14" s="4" customFormat="1" ht="25.2">
      <c r="A353" s="125" t="s">
        <v>1887</v>
      </c>
      <c r="B353" s="123"/>
      <c r="C353" s="123"/>
      <c r="D353" s="123"/>
      <c r="E353" s="123"/>
      <c r="F353" s="167"/>
      <c r="G353" s="167" t="s">
        <v>1888</v>
      </c>
      <c r="H353" s="167"/>
      <c r="I353" s="167"/>
      <c r="J353" s="167"/>
      <c r="K353" s="167"/>
      <c r="L353" s="167"/>
      <c r="M353" s="167"/>
      <c r="N353" s="152"/>
    </row>
    <row r="354" spans="1:14" s="3" customFormat="1" ht="9.9" customHeight="1">
      <c r="A354" s="125"/>
      <c r="B354" s="123"/>
      <c r="C354" s="123"/>
      <c r="D354" s="123"/>
      <c r="E354" s="123"/>
      <c r="F354" s="167"/>
      <c r="G354" s="123"/>
      <c r="H354" s="123"/>
      <c r="I354" s="123"/>
      <c r="J354" s="123"/>
      <c r="K354" s="123"/>
      <c r="L354" s="123"/>
      <c r="M354" s="123"/>
      <c r="N354" s="126"/>
    </row>
    <row r="355" spans="1:14" s="3" customFormat="1" ht="42.75" customHeight="1">
      <c r="A355" s="125" t="s">
        <v>1889</v>
      </c>
      <c r="B355" s="123"/>
      <c r="C355" s="123"/>
      <c r="D355" s="123"/>
      <c r="E355" s="123"/>
      <c r="F355" s="167" t="s">
        <v>1885</v>
      </c>
      <c r="G355" s="167" t="str">
        <f>PL!$B$13</f>
        <v>Branch of JSC "Doosan Enerbility" in the Turkestan region</v>
      </c>
      <c r="H355" s="123"/>
      <c r="I355" s="123"/>
      <c r="J355" s="123"/>
      <c r="K355" s="123"/>
      <c r="L355" s="123"/>
      <c r="M355" s="123"/>
      <c r="N355" s="126"/>
    </row>
    <row r="356" spans="1:14" s="3" customFormat="1" ht="24" customHeight="1">
      <c r="A356" s="125" t="s">
        <v>1890</v>
      </c>
      <c r="B356" s="123"/>
      <c r="C356" s="123"/>
      <c r="D356" s="123"/>
      <c r="E356" s="123"/>
      <c r="F356" s="168"/>
      <c r="G356" s="167" t="str">
        <f>PL!$B$14</f>
        <v>321 Tauke Khan Avenue, Turkestan region, Turkestan, Kazakhstan, 161200</v>
      </c>
      <c r="H356" s="123"/>
      <c r="I356" s="123"/>
      <c r="J356" s="123"/>
      <c r="K356" s="123"/>
      <c r="L356" s="123"/>
      <c r="M356" s="123"/>
      <c r="N356" s="126"/>
    </row>
    <row r="357" spans="1:14" s="4" customFormat="1" ht="25.2">
      <c r="A357" s="125"/>
      <c r="B357" s="123"/>
      <c r="C357" s="123"/>
      <c r="D357" s="123"/>
      <c r="E357" s="123"/>
      <c r="F357" s="168"/>
      <c r="G357" s="167" t="str">
        <f>PL!$B$15</f>
        <v>BIN: 230741006561</v>
      </c>
      <c r="H357" s="123"/>
      <c r="I357" s="123"/>
      <c r="J357" s="123"/>
      <c r="K357" s="123"/>
      <c r="L357" s="123"/>
      <c r="M357" s="123"/>
      <c r="N357" s="126"/>
    </row>
    <row r="358" spans="1:14" s="3" customFormat="1" ht="9.9" customHeight="1">
      <c r="A358" s="125"/>
      <c r="B358" s="123"/>
      <c r="C358" s="123"/>
      <c r="D358" s="123"/>
      <c r="E358" s="123"/>
      <c r="F358" s="169"/>
      <c r="G358" s="169"/>
      <c r="H358" s="123"/>
      <c r="I358" s="123"/>
      <c r="J358" s="123"/>
      <c r="K358" s="123"/>
      <c r="L358" s="123"/>
      <c r="M358" s="123"/>
      <c r="N358" s="126"/>
    </row>
    <row r="359" spans="1:14" s="3" customFormat="1" ht="25.2">
      <c r="A359" s="125" t="s">
        <v>1891</v>
      </c>
      <c r="B359" s="123"/>
      <c r="C359" s="123"/>
      <c r="D359" s="123"/>
      <c r="E359" s="123"/>
      <c r="F359" s="167" t="s">
        <v>1892</v>
      </c>
      <c r="G359" s="123"/>
      <c r="H359" s="123"/>
      <c r="I359" s="123"/>
      <c r="J359" s="123"/>
      <c r="K359" s="123"/>
      <c r="L359" s="123"/>
      <c r="M359" s="123"/>
      <c r="N359" s="126"/>
    </row>
    <row r="360" spans="1:14" s="4" customFormat="1" ht="25.2">
      <c r="A360" s="125" t="s">
        <v>1893</v>
      </c>
      <c r="B360" s="123"/>
      <c r="C360" s="123"/>
      <c r="D360" s="123"/>
      <c r="E360" s="123"/>
      <c r="F360" s="167" t="s">
        <v>1894</v>
      </c>
      <c r="G360" s="123"/>
      <c r="H360" s="123"/>
      <c r="I360" s="123"/>
      <c r="J360" s="123"/>
      <c r="K360" s="123"/>
      <c r="L360" s="123"/>
      <c r="M360" s="123"/>
      <c r="N360" s="126"/>
    </row>
    <row r="361" spans="1:14" s="3" customFormat="1" ht="9.9" customHeight="1">
      <c r="A361" s="125"/>
      <c r="B361" s="123"/>
      <c r="C361" s="123"/>
      <c r="D361" s="123"/>
      <c r="E361" s="123"/>
      <c r="F361" s="167"/>
      <c r="G361" s="123"/>
      <c r="H361" s="123"/>
      <c r="I361" s="123"/>
      <c r="J361" s="123"/>
      <c r="K361" s="123"/>
      <c r="L361" s="123"/>
      <c r="M361" s="123"/>
      <c r="N361" s="126"/>
    </row>
    <row r="362" spans="1:14" s="3" customFormat="1" ht="25.2">
      <c r="A362" s="125" t="s">
        <v>1895</v>
      </c>
      <c r="B362" s="123"/>
      <c r="C362" s="123"/>
      <c r="D362" s="123"/>
      <c r="E362" s="123"/>
      <c r="F362" s="167" t="s">
        <v>1896</v>
      </c>
      <c r="G362" s="167" t="str">
        <f>PL!$V$8</f>
        <v>PGU-DE-0139-001</v>
      </c>
      <c r="H362" s="123"/>
      <c r="I362" s="123"/>
      <c r="J362" s="123"/>
      <c r="K362" s="123"/>
      <c r="L362" s="123"/>
      <c r="M362" s="123"/>
      <c r="N362" s="126"/>
    </row>
    <row r="363" spans="1:14" s="3" customFormat="1" ht="25.2">
      <c r="A363" s="125" t="s">
        <v>1897</v>
      </c>
      <c r="B363" s="123"/>
      <c r="C363" s="123"/>
      <c r="D363" s="123"/>
      <c r="E363" s="123"/>
      <c r="F363" s="167"/>
      <c r="G363" s="123"/>
      <c r="H363" s="123"/>
      <c r="I363" s="123"/>
      <c r="J363" s="123"/>
      <c r="K363" s="123"/>
      <c r="L363" s="123"/>
      <c r="M363" s="123"/>
      <c r="N363" s="126"/>
    </row>
    <row r="364" spans="1:14" s="3" customFormat="1" ht="9.9" customHeight="1">
      <c r="A364" s="125"/>
      <c r="B364" s="123"/>
      <c r="C364" s="123"/>
      <c r="D364" s="123"/>
      <c r="E364" s="123"/>
      <c r="F364" s="167"/>
      <c r="G364" s="123"/>
      <c r="H364" s="123"/>
      <c r="I364" s="123"/>
      <c r="J364" s="123"/>
      <c r="K364" s="123"/>
      <c r="L364" s="123"/>
      <c r="M364" s="123"/>
      <c r="N364" s="126"/>
    </row>
    <row r="365" spans="1:14" s="3" customFormat="1" ht="31.2" customHeight="1">
      <c r="A365" s="127" t="s">
        <v>1898</v>
      </c>
      <c r="B365" s="170"/>
      <c r="C365" s="170"/>
      <c r="D365" s="170"/>
      <c r="E365" s="170"/>
      <c r="F365" s="171" t="s">
        <v>1885</v>
      </c>
      <c r="G365" s="597" t="e">
        <f>VLOOKUP(G368, 'Detail PL'!$B$14:$Q$799,2)</f>
        <v>#N/A</v>
      </c>
      <c r="H365" s="597"/>
      <c r="I365" s="597"/>
      <c r="J365" s="597"/>
      <c r="K365" s="597"/>
      <c r="L365" s="597"/>
      <c r="M365" s="597"/>
      <c r="N365" s="128"/>
    </row>
    <row r="366" spans="1:14" s="3" customFormat="1" ht="25.2">
      <c r="A366" s="127" t="s">
        <v>1899</v>
      </c>
      <c r="B366" s="170"/>
      <c r="C366" s="170"/>
      <c r="D366" s="170"/>
      <c r="E366" s="170"/>
      <c r="F366" s="171"/>
      <c r="G366" s="170"/>
      <c r="H366" s="170"/>
      <c r="I366" s="170"/>
      <c r="J366" s="170"/>
      <c r="K366" s="170"/>
      <c r="L366" s="170"/>
      <c r="M366" s="170"/>
      <c r="N366" s="128"/>
    </row>
    <row r="367" spans="1:14" s="3" customFormat="1" ht="9.9" customHeight="1">
      <c r="A367" s="125"/>
      <c r="B367" s="123"/>
      <c r="C367" s="123"/>
      <c r="D367" s="123"/>
      <c r="E367" s="123"/>
      <c r="F367" s="167"/>
      <c r="G367" s="123"/>
      <c r="H367" s="123"/>
      <c r="I367" s="123"/>
      <c r="J367" s="123"/>
      <c r="K367" s="123"/>
      <c r="L367" s="123"/>
      <c r="M367" s="123"/>
      <c r="N367" s="126"/>
    </row>
    <row r="368" spans="1:14" s="3" customFormat="1" ht="25.2">
      <c r="A368" s="125" t="s">
        <v>1900</v>
      </c>
      <c r="B368" s="123"/>
      <c r="C368" s="123"/>
      <c r="D368" s="123"/>
      <c r="E368" s="123"/>
      <c r="F368" s="171" t="s">
        <v>1901</v>
      </c>
      <c r="G368" s="604">
        <f t="shared" ref="G368" si="8">G333+1</f>
        <v>11</v>
      </c>
      <c r="H368" s="604"/>
      <c r="I368" s="604"/>
      <c r="J368" s="604"/>
      <c r="K368" s="604"/>
      <c r="L368" s="123"/>
      <c r="M368" s="123"/>
      <c r="N368" s="126"/>
    </row>
    <row r="369" spans="1:14" s="4" customFormat="1" ht="25.2">
      <c r="A369" s="125" t="s">
        <v>1903</v>
      </c>
      <c r="B369" s="123"/>
      <c r="C369" s="123"/>
      <c r="D369" s="123"/>
      <c r="E369" s="123"/>
      <c r="F369" s="167"/>
      <c r="G369" s="167"/>
      <c r="H369" s="123"/>
      <c r="I369" s="123"/>
      <c r="J369" s="123"/>
      <c r="K369" s="123"/>
      <c r="L369" s="123"/>
      <c r="M369" s="123"/>
      <c r="N369" s="126"/>
    </row>
    <row r="370" spans="1:14" s="3" customFormat="1" ht="9.9" customHeight="1">
      <c r="A370" s="125"/>
      <c r="B370" s="123"/>
      <c r="C370" s="123"/>
      <c r="D370" s="123"/>
      <c r="E370" s="123"/>
      <c r="F370" s="167"/>
      <c r="G370" s="167"/>
      <c r="H370" s="123"/>
      <c r="I370" s="123"/>
      <c r="J370" s="123"/>
      <c r="K370" s="123"/>
      <c r="L370" s="123"/>
      <c r="M370" s="123"/>
      <c r="N370" s="126"/>
    </row>
    <row r="371" spans="1:14" s="3" customFormat="1" ht="25.2">
      <c r="A371" s="125" t="s">
        <v>1904</v>
      </c>
      <c r="B371" s="123"/>
      <c r="C371" s="123"/>
      <c r="D371" s="123"/>
      <c r="E371" s="123"/>
      <c r="F371" s="167" t="s">
        <v>1896</v>
      </c>
      <c r="G371" s="204" t="e">
        <f>VLOOKUP(G368, 'Detail PL'!$B$14:$Q$799, 10)</f>
        <v>#N/A</v>
      </c>
      <c r="H371" s="204" t="s">
        <v>1905</v>
      </c>
      <c r="I371" s="204"/>
      <c r="J371" s="204"/>
      <c r="K371" s="123"/>
      <c r="L371" s="123"/>
      <c r="M371" s="123"/>
      <c r="N371" s="126"/>
    </row>
    <row r="372" spans="1:14" s="4" customFormat="1" ht="25.2">
      <c r="A372" s="125" t="s">
        <v>1906</v>
      </c>
      <c r="B372" s="123"/>
      <c r="C372" s="123"/>
      <c r="D372" s="123"/>
      <c r="E372" s="123"/>
      <c r="F372" s="167"/>
      <c r="G372" s="167"/>
      <c r="H372" s="167"/>
      <c r="I372" s="123"/>
      <c r="J372" s="123"/>
      <c r="K372" s="123"/>
      <c r="L372" s="123"/>
      <c r="M372" s="123"/>
      <c r="N372" s="126"/>
    </row>
    <row r="373" spans="1:14" s="3" customFormat="1" ht="9.9" customHeight="1">
      <c r="A373" s="125"/>
      <c r="B373" s="123"/>
      <c r="C373" s="123"/>
      <c r="D373" s="123"/>
      <c r="E373" s="123"/>
      <c r="F373" s="167"/>
      <c r="G373" s="167"/>
      <c r="H373" s="167"/>
      <c r="I373" s="123"/>
      <c r="J373" s="123"/>
      <c r="K373" s="123"/>
      <c r="L373" s="123"/>
      <c r="M373" s="123"/>
      <c r="N373" s="126"/>
    </row>
    <row r="374" spans="1:14" s="3" customFormat="1" ht="25.2">
      <c r="A374" s="125" t="s">
        <v>1907</v>
      </c>
      <c r="B374" s="123"/>
      <c r="C374" s="123"/>
      <c r="D374" s="123"/>
      <c r="E374" s="123"/>
      <c r="F374" s="167" t="s">
        <v>1896</v>
      </c>
      <c r="G374" s="204" t="e">
        <f>VLOOKUP(G368, 'Detail PL'!$B$14:$Q$799, 11)</f>
        <v>#N/A</v>
      </c>
      <c r="H374" s="204" t="s">
        <v>1905</v>
      </c>
      <c r="I374" s="204"/>
      <c r="J374" s="204"/>
      <c r="K374" s="123"/>
      <c r="L374" s="123"/>
      <c r="M374" s="123"/>
      <c r="N374" s="126"/>
    </row>
    <row r="375" spans="1:14" s="4" customFormat="1" ht="25.2">
      <c r="A375" s="125" t="s">
        <v>1908</v>
      </c>
      <c r="B375" s="123"/>
      <c r="C375" s="123"/>
      <c r="D375" s="123"/>
      <c r="E375" s="123"/>
      <c r="F375" s="167"/>
      <c r="G375" s="167"/>
      <c r="H375" s="123"/>
      <c r="I375" s="123"/>
      <c r="J375" s="123"/>
      <c r="K375" s="123"/>
      <c r="L375" s="123"/>
      <c r="M375" s="123"/>
      <c r="N375" s="126"/>
    </row>
    <row r="376" spans="1:14" s="3" customFormat="1" ht="9.9" customHeight="1">
      <c r="A376" s="125"/>
      <c r="B376" s="123"/>
      <c r="C376" s="123"/>
      <c r="D376" s="123"/>
      <c r="E376" s="123"/>
      <c r="F376" s="167"/>
      <c r="G376" s="167"/>
      <c r="H376" s="123"/>
      <c r="I376" s="123"/>
      <c r="J376" s="123"/>
      <c r="K376" s="123"/>
      <c r="L376" s="123"/>
      <c r="M376" s="123"/>
      <c r="N376" s="126"/>
    </row>
    <row r="377" spans="1:14" s="3" customFormat="1" ht="25.2">
      <c r="A377" s="129" t="s">
        <v>1909</v>
      </c>
      <c r="B377" s="123"/>
      <c r="C377" s="123"/>
      <c r="D377" s="123"/>
      <c r="E377" s="123"/>
      <c r="F377" s="167" t="s">
        <v>1896</v>
      </c>
      <c r="G377" s="204" t="e">
        <f>VLOOKUP(G368, 'Detail PL'!$B$14:$Q$799, 9)</f>
        <v>#N/A</v>
      </c>
      <c r="H377" s="205" t="s">
        <v>1910</v>
      </c>
      <c r="I377" s="203"/>
      <c r="J377" s="203"/>
      <c r="K377" s="172"/>
      <c r="L377" s="123"/>
      <c r="M377" s="123"/>
      <c r="N377" s="126"/>
    </row>
    <row r="378" spans="1:14" s="4" customFormat="1" ht="25.2">
      <c r="A378" s="125" t="s">
        <v>1911</v>
      </c>
      <c r="B378" s="123"/>
      <c r="C378" s="123"/>
      <c r="D378" s="123"/>
      <c r="E378" s="123"/>
      <c r="F378" s="167"/>
      <c r="G378" s="167"/>
      <c r="H378" s="123"/>
      <c r="I378" s="123"/>
      <c r="J378" s="123"/>
      <c r="K378" s="123"/>
      <c r="L378" s="123"/>
      <c r="M378" s="123"/>
      <c r="N378" s="126"/>
    </row>
    <row r="379" spans="1:14" s="3" customFormat="1" ht="9.9" customHeight="1">
      <c r="A379" s="125"/>
      <c r="B379" s="123"/>
      <c r="C379" s="123"/>
      <c r="D379" s="123"/>
      <c r="E379" s="123"/>
      <c r="F379" s="167"/>
      <c r="G379" s="167"/>
      <c r="H379" s="123"/>
      <c r="I379" s="123"/>
      <c r="J379" s="123"/>
      <c r="K379" s="123"/>
      <c r="L379" s="123"/>
      <c r="M379" s="123"/>
      <c r="N379" s="126"/>
    </row>
    <row r="380" spans="1:14" s="3" customFormat="1" ht="42" customHeight="1">
      <c r="A380" s="125" t="s">
        <v>1912</v>
      </c>
      <c r="B380" s="123"/>
      <c r="C380" s="123"/>
      <c r="D380" s="123"/>
      <c r="E380" s="123"/>
      <c r="F380" s="166" t="s">
        <v>1913</v>
      </c>
      <c r="G380" s="595" t="s">
        <v>1914</v>
      </c>
      <c r="H380" s="595"/>
      <c r="I380" s="595"/>
      <c r="J380" s="595"/>
      <c r="K380" s="595"/>
      <c r="L380" s="595"/>
      <c r="M380" s="595"/>
      <c r="N380" s="596"/>
    </row>
    <row r="381" spans="1:14" s="4" customFormat="1" ht="25.8" thickBot="1">
      <c r="A381" s="125" t="s">
        <v>1915</v>
      </c>
      <c r="B381" s="123"/>
      <c r="C381" s="123"/>
      <c r="D381" s="123"/>
      <c r="E381" s="123"/>
      <c r="F381" s="167"/>
      <c r="G381" s="167"/>
      <c r="H381" s="123"/>
      <c r="I381" s="123"/>
      <c r="J381" s="123"/>
      <c r="K381" s="123"/>
      <c r="L381" s="123"/>
      <c r="M381" s="123"/>
      <c r="N381" s="126"/>
    </row>
    <row r="382" spans="1:14" ht="21" customHeight="1">
      <c r="A382" s="598" t="s">
        <v>1916</v>
      </c>
      <c r="B382" s="599"/>
      <c r="C382" s="599"/>
      <c r="D382" s="599"/>
      <c r="E382" s="599"/>
      <c r="F382" s="599"/>
      <c r="G382" s="599"/>
      <c r="H382" s="599"/>
      <c r="I382" s="599"/>
      <c r="J382" s="599"/>
      <c r="K382" s="599"/>
      <c r="L382" s="599"/>
      <c r="M382" s="599"/>
      <c r="N382" s="600"/>
    </row>
    <row r="383" spans="1:14" ht="25.5" customHeight="1" thickBot="1">
      <c r="A383" s="601"/>
      <c r="B383" s="602"/>
      <c r="C383" s="602"/>
      <c r="D383" s="602"/>
      <c r="E383" s="602"/>
      <c r="F383" s="602"/>
      <c r="G383" s="602"/>
      <c r="H383" s="602"/>
      <c r="I383" s="602"/>
      <c r="J383" s="602"/>
      <c r="K383" s="602"/>
      <c r="L383" s="602"/>
      <c r="M383" s="602"/>
      <c r="N383" s="603"/>
    </row>
    <row r="384" spans="1:14" ht="25.5" customHeight="1">
      <c r="E384" s="206"/>
      <c r="F384" s="206"/>
      <c r="G384" s="206"/>
      <c r="H384" s="206"/>
      <c r="I384" s="206"/>
      <c r="J384" s="206"/>
      <c r="K384" s="206"/>
    </row>
    <row r="385" spans="1:15" ht="21.6" thickBot="1"/>
    <row r="386" spans="1:15" ht="95.25" customHeight="1" thickBot="1">
      <c r="A386" s="592" t="s">
        <v>1883</v>
      </c>
      <c r="B386" s="593"/>
      <c r="C386" s="593"/>
      <c r="D386" s="593"/>
      <c r="E386" s="593"/>
      <c r="F386" s="593"/>
      <c r="G386" s="593"/>
      <c r="H386" s="593"/>
      <c r="I386" s="593"/>
      <c r="J386" s="593"/>
      <c r="K386" s="593"/>
      <c r="L386" s="593"/>
      <c r="M386" s="593"/>
      <c r="N386" s="594"/>
    </row>
    <row r="387" spans="1:15" s="3" customFormat="1" ht="37.5" customHeight="1">
      <c r="A387" s="134" t="s">
        <v>1884</v>
      </c>
      <c r="B387" s="166"/>
      <c r="C387" s="166"/>
      <c r="D387" s="123"/>
      <c r="E387" s="123"/>
      <c r="F387" s="167" t="s">
        <v>1885</v>
      </c>
      <c r="G387" s="167" t="s">
        <v>1886</v>
      </c>
      <c r="H387" s="167"/>
      <c r="I387" s="167"/>
      <c r="J387" s="167"/>
      <c r="K387" s="167"/>
      <c r="L387" s="167"/>
      <c r="M387" s="167"/>
      <c r="N387" s="152"/>
      <c r="O387" s="201"/>
    </row>
    <row r="388" spans="1:15" s="4" customFormat="1" ht="25.2">
      <c r="A388" s="125" t="s">
        <v>1887</v>
      </c>
      <c r="B388" s="123"/>
      <c r="C388" s="123"/>
      <c r="D388" s="123"/>
      <c r="E388" s="123"/>
      <c r="F388" s="167"/>
      <c r="G388" s="167" t="s">
        <v>1888</v>
      </c>
      <c r="H388" s="167"/>
      <c r="I388" s="167"/>
      <c r="J388" s="167"/>
      <c r="K388" s="167"/>
      <c r="L388" s="167"/>
      <c r="M388" s="167"/>
      <c r="N388" s="152"/>
    </row>
    <row r="389" spans="1:15" s="3" customFormat="1" ht="9.9" customHeight="1">
      <c r="A389" s="125"/>
      <c r="B389" s="123"/>
      <c r="C389" s="123"/>
      <c r="D389" s="123"/>
      <c r="E389" s="123"/>
      <c r="F389" s="167"/>
      <c r="G389" s="123"/>
      <c r="H389" s="123"/>
      <c r="I389" s="123"/>
      <c r="J389" s="123"/>
      <c r="K389" s="123"/>
      <c r="L389" s="123"/>
      <c r="M389" s="123"/>
      <c r="N389" s="126"/>
    </row>
    <row r="390" spans="1:15" s="3" customFormat="1" ht="42.75" customHeight="1">
      <c r="A390" s="125" t="s">
        <v>1889</v>
      </c>
      <c r="B390" s="123"/>
      <c r="C390" s="123"/>
      <c r="D390" s="123"/>
      <c r="E390" s="123"/>
      <c r="F390" s="167" t="s">
        <v>1885</v>
      </c>
      <c r="G390" s="167" t="str">
        <f>PL!$B$13</f>
        <v>Branch of JSC "Doosan Enerbility" in the Turkestan region</v>
      </c>
      <c r="H390" s="123"/>
      <c r="I390" s="123"/>
      <c r="J390" s="123"/>
      <c r="K390" s="123"/>
      <c r="L390" s="123"/>
      <c r="M390" s="123"/>
      <c r="N390" s="126"/>
    </row>
    <row r="391" spans="1:15" s="3" customFormat="1" ht="24" customHeight="1">
      <c r="A391" s="125" t="s">
        <v>1890</v>
      </c>
      <c r="B391" s="123"/>
      <c r="C391" s="123"/>
      <c r="D391" s="123"/>
      <c r="E391" s="123"/>
      <c r="F391" s="168"/>
      <c r="G391" s="167" t="str">
        <f>PL!$B$14</f>
        <v>321 Tauke Khan Avenue, Turkestan region, Turkestan, Kazakhstan, 161200</v>
      </c>
      <c r="H391" s="123"/>
      <c r="I391" s="123"/>
      <c r="J391" s="123"/>
      <c r="K391" s="123"/>
      <c r="L391" s="123"/>
      <c r="M391" s="123"/>
      <c r="N391" s="126"/>
    </row>
    <row r="392" spans="1:15" s="4" customFormat="1" ht="25.2">
      <c r="A392" s="125"/>
      <c r="B392" s="123"/>
      <c r="C392" s="123"/>
      <c r="D392" s="123"/>
      <c r="E392" s="123"/>
      <c r="F392" s="168"/>
      <c r="G392" s="167" t="str">
        <f>PL!$B$15</f>
        <v>BIN: 230741006561</v>
      </c>
      <c r="H392" s="123"/>
      <c r="I392" s="123"/>
      <c r="J392" s="123"/>
      <c r="K392" s="123"/>
      <c r="L392" s="123"/>
      <c r="M392" s="123"/>
      <c r="N392" s="126"/>
    </row>
    <row r="393" spans="1:15" s="3" customFormat="1" ht="9.9" customHeight="1">
      <c r="A393" s="125"/>
      <c r="B393" s="123"/>
      <c r="C393" s="123"/>
      <c r="D393" s="123"/>
      <c r="E393" s="123"/>
      <c r="F393" s="169"/>
      <c r="G393" s="169"/>
      <c r="H393" s="123"/>
      <c r="I393" s="123"/>
      <c r="J393" s="123"/>
      <c r="K393" s="123"/>
      <c r="L393" s="123"/>
      <c r="M393" s="123"/>
      <c r="N393" s="126"/>
    </row>
    <row r="394" spans="1:15" s="3" customFormat="1" ht="25.2">
      <c r="A394" s="125" t="s">
        <v>1891</v>
      </c>
      <c r="B394" s="123"/>
      <c r="C394" s="123"/>
      <c r="D394" s="123"/>
      <c r="E394" s="123"/>
      <c r="F394" s="167" t="s">
        <v>1892</v>
      </c>
      <c r="G394" s="123"/>
      <c r="H394" s="123"/>
      <c r="I394" s="123"/>
      <c r="J394" s="123"/>
      <c r="K394" s="123"/>
      <c r="L394" s="123"/>
      <c r="M394" s="123"/>
      <c r="N394" s="126"/>
    </row>
    <row r="395" spans="1:15" s="4" customFormat="1" ht="25.2">
      <c r="A395" s="125" t="s">
        <v>1893</v>
      </c>
      <c r="B395" s="123"/>
      <c r="C395" s="123"/>
      <c r="D395" s="123"/>
      <c r="E395" s="123"/>
      <c r="F395" s="167" t="s">
        <v>1894</v>
      </c>
      <c r="G395" s="123"/>
      <c r="H395" s="123"/>
      <c r="I395" s="123"/>
      <c r="J395" s="123"/>
      <c r="K395" s="123"/>
      <c r="L395" s="123"/>
      <c r="M395" s="123"/>
      <c r="N395" s="126"/>
    </row>
    <row r="396" spans="1:15" s="3" customFormat="1" ht="9.9" customHeight="1">
      <c r="A396" s="125"/>
      <c r="B396" s="123"/>
      <c r="C396" s="123"/>
      <c r="D396" s="123"/>
      <c r="E396" s="123"/>
      <c r="F396" s="167"/>
      <c r="G396" s="123"/>
      <c r="H396" s="123"/>
      <c r="I396" s="123"/>
      <c r="J396" s="123"/>
      <c r="K396" s="123"/>
      <c r="L396" s="123"/>
      <c r="M396" s="123"/>
      <c r="N396" s="126"/>
    </row>
    <row r="397" spans="1:15" s="3" customFormat="1" ht="25.2">
      <c r="A397" s="125" t="s">
        <v>1895</v>
      </c>
      <c r="B397" s="123"/>
      <c r="C397" s="123"/>
      <c r="D397" s="123"/>
      <c r="E397" s="123"/>
      <c r="F397" s="167" t="s">
        <v>1896</v>
      </c>
      <c r="G397" s="167" t="str">
        <f>PL!$V$8</f>
        <v>PGU-DE-0139-001</v>
      </c>
      <c r="H397" s="123"/>
      <c r="I397" s="123"/>
      <c r="J397" s="123"/>
      <c r="K397" s="123"/>
      <c r="L397" s="123"/>
      <c r="M397" s="123"/>
      <c r="N397" s="126"/>
    </row>
    <row r="398" spans="1:15" s="3" customFormat="1" ht="25.2">
      <c r="A398" s="125" t="s">
        <v>1897</v>
      </c>
      <c r="B398" s="123"/>
      <c r="C398" s="123"/>
      <c r="D398" s="123"/>
      <c r="E398" s="123"/>
      <c r="F398" s="167"/>
      <c r="G398" s="123"/>
      <c r="H398" s="123"/>
      <c r="I398" s="123"/>
      <c r="J398" s="123"/>
      <c r="K398" s="123"/>
      <c r="L398" s="123"/>
      <c r="M398" s="123"/>
      <c r="N398" s="126"/>
    </row>
    <row r="399" spans="1:15" s="3" customFormat="1" ht="9.9" customHeight="1">
      <c r="A399" s="125"/>
      <c r="B399" s="123"/>
      <c r="C399" s="123"/>
      <c r="D399" s="123"/>
      <c r="E399" s="123"/>
      <c r="F399" s="167"/>
      <c r="G399" s="123"/>
      <c r="H399" s="123"/>
      <c r="I399" s="123"/>
      <c r="J399" s="123"/>
      <c r="K399" s="123"/>
      <c r="L399" s="123"/>
      <c r="M399" s="123"/>
      <c r="N399" s="126"/>
    </row>
    <row r="400" spans="1:15" s="3" customFormat="1" ht="31.2" customHeight="1">
      <c r="A400" s="127" t="s">
        <v>1898</v>
      </c>
      <c r="B400" s="170"/>
      <c r="C400" s="170"/>
      <c r="D400" s="170"/>
      <c r="E400" s="170"/>
      <c r="F400" s="171" t="s">
        <v>1885</v>
      </c>
      <c r="G400" s="597" t="e">
        <f>VLOOKUP(G403, 'Detail PL'!$B$14:$Q$799,2)</f>
        <v>#N/A</v>
      </c>
      <c r="H400" s="597"/>
      <c r="I400" s="597"/>
      <c r="J400" s="597"/>
      <c r="K400" s="597"/>
      <c r="L400" s="597"/>
      <c r="M400" s="597"/>
      <c r="N400" s="128"/>
    </row>
    <row r="401" spans="1:14" s="3" customFormat="1" ht="25.2">
      <c r="A401" s="127" t="s">
        <v>1899</v>
      </c>
      <c r="B401" s="170"/>
      <c r="C401" s="170"/>
      <c r="D401" s="170"/>
      <c r="E401" s="170"/>
      <c r="F401" s="171"/>
      <c r="G401" s="170"/>
      <c r="H401" s="170"/>
      <c r="I401" s="170"/>
      <c r="J401" s="170"/>
      <c r="K401" s="170"/>
      <c r="L401" s="170"/>
      <c r="M401" s="170"/>
      <c r="N401" s="128"/>
    </row>
    <row r="402" spans="1:14" s="3" customFormat="1" ht="9.9" customHeight="1">
      <c r="A402" s="125"/>
      <c r="B402" s="123"/>
      <c r="C402" s="123"/>
      <c r="D402" s="123"/>
      <c r="E402" s="123"/>
      <c r="F402" s="167"/>
      <c r="G402" s="123"/>
      <c r="H402" s="123"/>
      <c r="I402" s="123"/>
      <c r="J402" s="123"/>
      <c r="K402" s="123"/>
      <c r="L402" s="123"/>
      <c r="M402" s="123"/>
      <c r="N402" s="126"/>
    </row>
    <row r="403" spans="1:14" s="3" customFormat="1" ht="25.2">
      <c r="A403" s="125" t="s">
        <v>1900</v>
      </c>
      <c r="B403" s="123"/>
      <c r="C403" s="123"/>
      <c r="D403" s="123"/>
      <c r="E403" s="123"/>
      <c r="F403" s="171" t="s">
        <v>1901</v>
      </c>
      <c r="G403" s="604">
        <f t="shared" ref="G403" si="9">G368+1</f>
        <v>12</v>
      </c>
      <c r="H403" s="604"/>
      <c r="I403" s="604"/>
      <c r="J403" s="604"/>
      <c r="K403" s="604"/>
      <c r="L403" s="123"/>
      <c r="M403" s="123"/>
      <c r="N403" s="126"/>
    </row>
    <row r="404" spans="1:14" s="4" customFormat="1" ht="25.2">
      <c r="A404" s="125" t="s">
        <v>1903</v>
      </c>
      <c r="B404" s="123"/>
      <c r="C404" s="123"/>
      <c r="D404" s="123"/>
      <c r="E404" s="123"/>
      <c r="F404" s="167"/>
      <c r="G404" s="167"/>
      <c r="H404" s="123"/>
      <c r="I404" s="123"/>
      <c r="J404" s="123"/>
      <c r="K404" s="123"/>
      <c r="L404" s="123"/>
      <c r="M404" s="123"/>
      <c r="N404" s="126"/>
    </row>
    <row r="405" spans="1:14" s="3" customFormat="1" ht="9.9" customHeight="1">
      <c r="A405" s="125"/>
      <c r="B405" s="123"/>
      <c r="C405" s="123"/>
      <c r="D405" s="123"/>
      <c r="E405" s="123"/>
      <c r="F405" s="167"/>
      <c r="G405" s="167"/>
      <c r="H405" s="123"/>
      <c r="I405" s="123"/>
      <c r="J405" s="123"/>
      <c r="K405" s="123"/>
      <c r="L405" s="123"/>
      <c r="M405" s="123"/>
      <c r="N405" s="126"/>
    </row>
    <row r="406" spans="1:14" s="3" customFormat="1" ht="25.2">
      <c r="A406" s="125" t="s">
        <v>1904</v>
      </c>
      <c r="B406" s="123"/>
      <c r="C406" s="123"/>
      <c r="D406" s="123"/>
      <c r="E406" s="123"/>
      <c r="F406" s="167" t="s">
        <v>1896</v>
      </c>
      <c r="G406" s="204" t="e">
        <f>VLOOKUP(G403, 'Detail PL'!$B$14:$Q$799, 10)</f>
        <v>#N/A</v>
      </c>
      <c r="H406" s="204" t="s">
        <v>1905</v>
      </c>
      <c r="I406" s="204"/>
      <c r="J406" s="204"/>
      <c r="K406" s="123"/>
      <c r="L406" s="123"/>
      <c r="M406" s="123"/>
      <c r="N406" s="126"/>
    </row>
    <row r="407" spans="1:14" s="4" customFormat="1" ht="25.2">
      <c r="A407" s="125" t="s">
        <v>1906</v>
      </c>
      <c r="B407" s="123"/>
      <c r="C407" s="123"/>
      <c r="D407" s="123"/>
      <c r="E407" s="123"/>
      <c r="F407" s="167"/>
      <c r="G407" s="167"/>
      <c r="H407" s="167"/>
      <c r="I407" s="123"/>
      <c r="J407" s="123"/>
      <c r="K407" s="123"/>
      <c r="L407" s="123"/>
      <c r="M407" s="123"/>
      <c r="N407" s="126"/>
    </row>
    <row r="408" spans="1:14" s="3" customFormat="1" ht="9.9" customHeight="1">
      <c r="A408" s="125"/>
      <c r="B408" s="123"/>
      <c r="C408" s="123"/>
      <c r="D408" s="123"/>
      <c r="E408" s="123"/>
      <c r="F408" s="167"/>
      <c r="G408" s="167"/>
      <c r="H408" s="167"/>
      <c r="I408" s="123"/>
      <c r="J408" s="123"/>
      <c r="K408" s="123"/>
      <c r="L408" s="123"/>
      <c r="M408" s="123"/>
      <c r="N408" s="126"/>
    </row>
    <row r="409" spans="1:14" s="3" customFormat="1" ht="25.2">
      <c r="A409" s="125" t="s">
        <v>1907</v>
      </c>
      <c r="B409" s="123"/>
      <c r="C409" s="123"/>
      <c r="D409" s="123"/>
      <c r="E409" s="123"/>
      <c r="F409" s="167" t="s">
        <v>1896</v>
      </c>
      <c r="G409" s="204" t="e">
        <f>VLOOKUP(G403, 'Detail PL'!$B$14:$Q$799, 11)</f>
        <v>#N/A</v>
      </c>
      <c r="H409" s="204" t="s">
        <v>1905</v>
      </c>
      <c r="I409" s="204"/>
      <c r="J409" s="204"/>
      <c r="K409" s="123"/>
      <c r="L409" s="123"/>
      <c r="M409" s="123"/>
      <c r="N409" s="126"/>
    </row>
    <row r="410" spans="1:14" s="4" customFormat="1" ht="25.2">
      <c r="A410" s="125" t="s">
        <v>1908</v>
      </c>
      <c r="B410" s="123"/>
      <c r="C410" s="123"/>
      <c r="D410" s="123"/>
      <c r="E410" s="123"/>
      <c r="F410" s="167"/>
      <c r="G410" s="167"/>
      <c r="H410" s="123"/>
      <c r="I410" s="123"/>
      <c r="J410" s="123"/>
      <c r="K410" s="123"/>
      <c r="L410" s="123"/>
      <c r="M410" s="123"/>
      <c r="N410" s="126"/>
    </row>
    <row r="411" spans="1:14" s="3" customFormat="1" ht="9.9" customHeight="1">
      <c r="A411" s="125"/>
      <c r="B411" s="123"/>
      <c r="C411" s="123"/>
      <c r="D411" s="123"/>
      <c r="E411" s="123"/>
      <c r="F411" s="167"/>
      <c r="G411" s="167"/>
      <c r="H411" s="123"/>
      <c r="I411" s="123"/>
      <c r="J411" s="123"/>
      <c r="K411" s="123"/>
      <c r="L411" s="123"/>
      <c r="M411" s="123"/>
      <c r="N411" s="126"/>
    </row>
    <row r="412" spans="1:14" s="3" customFormat="1" ht="25.2">
      <c r="A412" s="129" t="s">
        <v>1909</v>
      </c>
      <c r="B412" s="123"/>
      <c r="C412" s="123"/>
      <c r="D412" s="123"/>
      <c r="E412" s="123"/>
      <c r="F412" s="167" t="s">
        <v>1896</v>
      </c>
      <c r="G412" s="204" t="e">
        <f>VLOOKUP(G403, 'Detail PL'!$B$14:$Q$799, 9)</f>
        <v>#N/A</v>
      </c>
      <c r="H412" s="205" t="s">
        <v>1910</v>
      </c>
      <c r="I412" s="203"/>
      <c r="J412" s="203"/>
      <c r="K412" s="172"/>
      <c r="L412" s="123"/>
      <c r="M412" s="123"/>
      <c r="N412" s="126"/>
    </row>
    <row r="413" spans="1:14" s="4" customFormat="1" ht="25.2">
      <c r="A413" s="125" t="s">
        <v>1911</v>
      </c>
      <c r="B413" s="123"/>
      <c r="C413" s="123"/>
      <c r="D413" s="123"/>
      <c r="E413" s="123"/>
      <c r="F413" s="167"/>
      <c r="G413" s="167"/>
      <c r="H413" s="123"/>
      <c r="I413" s="123"/>
      <c r="J413" s="123"/>
      <c r="K413" s="123"/>
      <c r="L413" s="123"/>
      <c r="M413" s="123"/>
      <c r="N413" s="126"/>
    </row>
    <row r="414" spans="1:14" s="3" customFormat="1" ht="9.9" customHeight="1">
      <c r="A414" s="125"/>
      <c r="B414" s="123"/>
      <c r="C414" s="123"/>
      <c r="D414" s="123"/>
      <c r="E414" s="123"/>
      <c r="F414" s="167"/>
      <c r="G414" s="167"/>
      <c r="H414" s="123"/>
      <c r="I414" s="123"/>
      <c r="J414" s="123"/>
      <c r="K414" s="123"/>
      <c r="L414" s="123"/>
      <c r="M414" s="123"/>
      <c r="N414" s="126"/>
    </row>
    <row r="415" spans="1:14" s="3" customFormat="1" ht="42" customHeight="1">
      <c r="A415" s="125" t="s">
        <v>1912</v>
      </c>
      <c r="B415" s="123"/>
      <c r="C415" s="123"/>
      <c r="D415" s="123"/>
      <c r="E415" s="123"/>
      <c r="F415" s="166" t="s">
        <v>1913</v>
      </c>
      <c r="G415" s="595" t="s">
        <v>1914</v>
      </c>
      <c r="H415" s="595"/>
      <c r="I415" s="595"/>
      <c r="J415" s="595"/>
      <c r="K415" s="595"/>
      <c r="L415" s="595"/>
      <c r="M415" s="595"/>
      <c r="N415" s="596"/>
    </row>
    <row r="416" spans="1:14" s="4" customFormat="1" ht="25.8" thickBot="1">
      <c r="A416" s="125" t="s">
        <v>1915</v>
      </c>
      <c r="B416" s="123"/>
      <c r="C416" s="123"/>
      <c r="D416" s="123"/>
      <c r="E416" s="123"/>
      <c r="F416" s="167"/>
      <c r="G416" s="167"/>
      <c r="H416" s="123"/>
      <c r="I416" s="123"/>
      <c r="J416" s="123"/>
      <c r="K416" s="123"/>
      <c r="L416" s="123"/>
      <c r="M416" s="123"/>
      <c r="N416" s="126"/>
    </row>
    <row r="417" spans="1:15" ht="21" customHeight="1">
      <c r="A417" s="598" t="s">
        <v>1916</v>
      </c>
      <c r="B417" s="599"/>
      <c r="C417" s="599"/>
      <c r="D417" s="599"/>
      <c r="E417" s="599"/>
      <c r="F417" s="599"/>
      <c r="G417" s="599"/>
      <c r="H417" s="599"/>
      <c r="I417" s="599"/>
      <c r="J417" s="599"/>
      <c r="K417" s="599"/>
      <c r="L417" s="599"/>
      <c r="M417" s="599"/>
      <c r="N417" s="600"/>
    </row>
    <row r="418" spans="1:15" ht="25.5" customHeight="1" thickBot="1">
      <c r="A418" s="601"/>
      <c r="B418" s="602"/>
      <c r="C418" s="602"/>
      <c r="D418" s="602"/>
      <c r="E418" s="602"/>
      <c r="F418" s="602"/>
      <c r="G418" s="602"/>
      <c r="H418" s="602"/>
      <c r="I418" s="602"/>
      <c r="J418" s="602"/>
      <c r="K418" s="602"/>
      <c r="L418" s="602"/>
      <c r="M418" s="602"/>
      <c r="N418" s="603"/>
    </row>
    <row r="419" spans="1:15" ht="25.5" customHeight="1">
      <c r="E419" s="206"/>
      <c r="F419" s="206"/>
      <c r="G419" s="206"/>
      <c r="H419" s="206"/>
      <c r="I419" s="206"/>
      <c r="J419" s="206"/>
      <c r="K419" s="206"/>
    </row>
    <row r="420" spans="1:15" ht="21.6" thickBot="1"/>
    <row r="421" spans="1:15" ht="95.25" customHeight="1" thickBot="1">
      <c r="A421" s="592" t="s">
        <v>1883</v>
      </c>
      <c r="B421" s="593"/>
      <c r="C421" s="593"/>
      <c r="D421" s="593"/>
      <c r="E421" s="593"/>
      <c r="F421" s="593"/>
      <c r="G421" s="593"/>
      <c r="H421" s="593"/>
      <c r="I421" s="593"/>
      <c r="J421" s="593"/>
      <c r="K421" s="593"/>
      <c r="L421" s="593"/>
      <c r="M421" s="593"/>
      <c r="N421" s="594"/>
    </row>
    <row r="422" spans="1:15" s="3" customFormat="1" ht="37.5" customHeight="1">
      <c r="A422" s="134" t="s">
        <v>1884</v>
      </c>
      <c r="B422" s="166"/>
      <c r="C422" s="166"/>
      <c r="D422" s="123"/>
      <c r="E422" s="123"/>
      <c r="F422" s="167" t="s">
        <v>1885</v>
      </c>
      <c r="G422" s="167" t="s">
        <v>1886</v>
      </c>
      <c r="H422" s="167"/>
      <c r="I422" s="167"/>
      <c r="J422" s="167"/>
      <c r="K422" s="167"/>
      <c r="L422" s="167"/>
      <c r="M422" s="167"/>
      <c r="N422" s="152"/>
      <c r="O422" s="201"/>
    </row>
    <row r="423" spans="1:15" s="4" customFormat="1" ht="25.2">
      <c r="A423" s="125" t="s">
        <v>1887</v>
      </c>
      <c r="B423" s="123"/>
      <c r="C423" s="123"/>
      <c r="D423" s="123"/>
      <c r="E423" s="123"/>
      <c r="F423" s="167"/>
      <c r="G423" s="167" t="s">
        <v>1888</v>
      </c>
      <c r="H423" s="167"/>
      <c r="I423" s="167"/>
      <c r="J423" s="167"/>
      <c r="K423" s="167"/>
      <c r="L423" s="167"/>
      <c r="M423" s="167"/>
      <c r="N423" s="152"/>
    </row>
    <row r="424" spans="1:15" s="3" customFormat="1" ht="9.9" customHeight="1">
      <c r="A424" s="125"/>
      <c r="B424" s="123"/>
      <c r="C424" s="123"/>
      <c r="D424" s="123"/>
      <c r="E424" s="123"/>
      <c r="F424" s="167"/>
      <c r="G424" s="123"/>
      <c r="H424" s="123"/>
      <c r="I424" s="123"/>
      <c r="J424" s="123"/>
      <c r="K424" s="123"/>
      <c r="L424" s="123"/>
      <c r="M424" s="123"/>
      <c r="N424" s="126"/>
    </row>
    <row r="425" spans="1:15" s="3" customFormat="1" ht="42.75" customHeight="1">
      <c r="A425" s="125" t="s">
        <v>1889</v>
      </c>
      <c r="B425" s="123"/>
      <c r="C425" s="123"/>
      <c r="D425" s="123"/>
      <c r="E425" s="123"/>
      <c r="F425" s="167" t="s">
        <v>1885</v>
      </c>
      <c r="G425" s="167" t="str">
        <f>PL!$B$13</f>
        <v>Branch of JSC "Doosan Enerbility" in the Turkestan region</v>
      </c>
      <c r="H425" s="123"/>
      <c r="I425" s="123"/>
      <c r="J425" s="123"/>
      <c r="K425" s="123"/>
      <c r="L425" s="123"/>
      <c r="M425" s="123"/>
      <c r="N425" s="126"/>
    </row>
    <row r="426" spans="1:15" s="3" customFormat="1" ht="24" customHeight="1">
      <c r="A426" s="125" t="s">
        <v>1890</v>
      </c>
      <c r="B426" s="123"/>
      <c r="C426" s="123"/>
      <c r="D426" s="123"/>
      <c r="E426" s="123"/>
      <c r="F426" s="168"/>
      <c r="G426" s="167" t="str">
        <f>PL!$B$14</f>
        <v>321 Tauke Khan Avenue, Turkestan region, Turkestan, Kazakhstan, 161200</v>
      </c>
      <c r="H426" s="123"/>
      <c r="I426" s="123"/>
      <c r="J426" s="123"/>
      <c r="K426" s="123"/>
      <c r="L426" s="123"/>
      <c r="M426" s="123"/>
      <c r="N426" s="126"/>
    </row>
    <row r="427" spans="1:15" s="4" customFormat="1" ht="25.2">
      <c r="A427" s="125"/>
      <c r="B427" s="123"/>
      <c r="C427" s="123"/>
      <c r="D427" s="123"/>
      <c r="E427" s="123"/>
      <c r="F427" s="168"/>
      <c r="G427" s="167" t="str">
        <f>PL!$B$15</f>
        <v>BIN: 230741006561</v>
      </c>
      <c r="H427" s="123"/>
      <c r="I427" s="123"/>
      <c r="J427" s="123"/>
      <c r="K427" s="123"/>
      <c r="L427" s="123"/>
      <c r="M427" s="123"/>
      <c r="N427" s="126"/>
    </row>
    <row r="428" spans="1:15" s="3" customFormat="1" ht="9.9" customHeight="1">
      <c r="A428" s="125"/>
      <c r="B428" s="123"/>
      <c r="C428" s="123"/>
      <c r="D428" s="123"/>
      <c r="E428" s="123"/>
      <c r="F428" s="169"/>
      <c r="G428" s="169"/>
      <c r="H428" s="123"/>
      <c r="I428" s="123"/>
      <c r="J428" s="123"/>
      <c r="K428" s="123"/>
      <c r="L428" s="123"/>
      <c r="M428" s="123"/>
      <c r="N428" s="126"/>
    </row>
    <row r="429" spans="1:15" s="3" customFormat="1" ht="25.2">
      <c r="A429" s="125" t="s">
        <v>1891</v>
      </c>
      <c r="B429" s="123"/>
      <c r="C429" s="123"/>
      <c r="D429" s="123"/>
      <c r="E429" s="123"/>
      <c r="F429" s="167" t="s">
        <v>1892</v>
      </c>
      <c r="G429" s="123"/>
      <c r="H429" s="123"/>
      <c r="I429" s="123"/>
      <c r="J429" s="123"/>
      <c r="K429" s="123"/>
      <c r="L429" s="123"/>
      <c r="M429" s="123"/>
      <c r="N429" s="126"/>
    </row>
    <row r="430" spans="1:15" s="4" customFormat="1" ht="25.2">
      <c r="A430" s="125" t="s">
        <v>1893</v>
      </c>
      <c r="B430" s="123"/>
      <c r="C430" s="123"/>
      <c r="D430" s="123"/>
      <c r="E430" s="123"/>
      <c r="F430" s="167" t="s">
        <v>1894</v>
      </c>
      <c r="G430" s="123"/>
      <c r="H430" s="123"/>
      <c r="I430" s="123"/>
      <c r="J430" s="123"/>
      <c r="K430" s="123"/>
      <c r="L430" s="123"/>
      <c r="M430" s="123"/>
      <c r="N430" s="126"/>
    </row>
    <row r="431" spans="1:15" s="3" customFormat="1" ht="9.9" customHeight="1">
      <c r="A431" s="125"/>
      <c r="B431" s="123"/>
      <c r="C431" s="123"/>
      <c r="D431" s="123"/>
      <c r="E431" s="123"/>
      <c r="F431" s="167"/>
      <c r="G431" s="123"/>
      <c r="H431" s="123"/>
      <c r="I431" s="123"/>
      <c r="J431" s="123"/>
      <c r="K431" s="123"/>
      <c r="L431" s="123"/>
      <c r="M431" s="123"/>
      <c r="N431" s="126"/>
    </row>
    <row r="432" spans="1:15" s="3" customFormat="1" ht="25.2">
      <c r="A432" s="125" t="s">
        <v>1895</v>
      </c>
      <c r="B432" s="123"/>
      <c r="C432" s="123"/>
      <c r="D432" s="123"/>
      <c r="E432" s="123"/>
      <c r="F432" s="167" t="s">
        <v>1896</v>
      </c>
      <c r="G432" s="167" t="str">
        <f>PL!$V$8</f>
        <v>PGU-DE-0139-001</v>
      </c>
      <c r="H432" s="123"/>
      <c r="I432" s="123"/>
      <c r="J432" s="123"/>
      <c r="K432" s="123"/>
      <c r="L432" s="123"/>
      <c r="M432" s="123"/>
      <c r="N432" s="126"/>
    </row>
    <row r="433" spans="1:14" s="3" customFormat="1" ht="25.2">
      <c r="A433" s="125" t="s">
        <v>1897</v>
      </c>
      <c r="B433" s="123"/>
      <c r="C433" s="123"/>
      <c r="D433" s="123"/>
      <c r="E433" s="123"/>
      <c r="F433" s="167"/>
      <c r="G433" s="123"/>
      <c r="H433" s="123"/>
      <c r="I433" s="123"/>
      <c r="J433" s="123"/>
      <c r="K433" s="123"/>
      <c r="L433" s="123"/>
      <c r="M433" s="123"/>
      <c r="N433" s="126"/>
    </row>
    <row r="434" spans="1:14" s="3" customFormat="1" ht="9.9" customHeight="1">
      <c r="A434" s="125"/>
      <c r="B434" s="123"/>
      <c r="C434" s="123"/>
      <c r="D434" s="123"/>
      <c r="E434" s="123"/>
      <c r="F434" s="167"/>
      <c r="G434" s="123"/>
      <c r="H434" s="123"/>
      <c r="I434" s="123"/>
      <c r="J434" s="123"/>
      <c r="K434" s="123"/>
      <c r="L434" s="123"/>
      <c r="M434" s="123"/>
      <c r="N434" s="126"/>
    </row>
    <row r="435" spans="1:14" s="3" customFormat="1" ht="31.2" customHeight="1">
      <c r="A435" s="127" t="s">
        <v>1898</v>
      </c>
      <c r="B435" s="170"/>
      <c r="C435" s="170"/>
      <c r="D435" s="170"/>
      <c r="E435" s="170"/>
      <c r="F435" s="171" t="s">
        <v>1885</v>
      </c>
      <c r="G435" s="597" t="e">
        <f>VLOOKUP(G438, 'Detail PL'!$B$14:$Q$799,2)</f>
        <v>#N/A</v>
      </c>
      <c r="H435" s="597"/>
      <c r="I435" s="597"/>
      <c r="J435" s="597"/>
      <c r="K435" s="597"/>
      <c r="L435" s="597"/>
      <c r="M435" s="597"/>
      <c r="N435" s="128"/>
    </row>
    <row r="436" spans="1:14" s="3" customFormat="1" ht="25.2">
      <c r="A436" s="127" t="s">
        <v>1899</v>
      </c>
      <c r="B436" s="170"/>
      <c r="C436" s="170"/>
      <c r="D436" s="170"/>
      <c r="E436" s="170"/>
      <c r="F436" s="171"/>
      <c r="G436" s="170"/>
      <c r="H436" s="170"/>
      <c r="I436" s="170"/>
      <c r="J436" s="170"/>
      <c r="K436" s="170"/>
      <c r="L436" s="170"/>
      <c r="M436" s="170"/>
      <c r="N436" s="128"/>
    </row>
    <row r="437" spans="1:14" s="3" customFormat="1" ht="9.9" customHeight="1">
      <c r="A437" s="125"/>
      <c r="B437" s="123"/>
      <c r="C437" s="123"/>
      <c r="D437" s="123"/>
      <c r="E437" s="123"/>
      <c r="F437" s="167"/>
      <c r="G437" s="123"/>
      <c r="H437" s="123"/>
      <c r="I437" s="123"/>
      <c r="J437" s="123"/>
      <c r="K437" s="123"/>
      <c r="L437" s="123"/>
      <c r="M437" s="123"/>
      <c r="N437" s="126"/>
    </row>
    <row r="438" spans="1:14" s="3" customFormat="1" ht="25.2">
      <c r="A438" s="125" t="s">
        <v>1900</v>
      </c>
      <c r="B438" s="123"/>
      <c r="C438" s="123"/>
      <c r="D438" s="123"/>
      <c r="E438" s="123"/>
      <c r="F438" s="171" t="s">
        <v>1901</v>
      </c>
      <c r="G438" s="604">
        <f t="shared" ref="G438" si="10">G403+1</f>
        <v>13</v>
      </c>
      <c r="H438" s="604"/>
      <c r="I438" s="604"/>
      <c r="J438" s="604"/>
      <c r="K438" s="604"/>
      <c r="L438" s="123"/>
      <c r="M438" s="123"/>
      <c r="N438" s="126"/>
    </row>
    <row r="439" spans="1:14" s="4" customFormat="1" ht="25.2">
      <c r="A439" s="125" t="s">
        <v>1903</v>
      </c>
      <c r="B439" s="123"/>
      <c r="C439" s="123"/>
      <c r="D439" s="123"/>
      <c r="E439" s="123"/>
      <c r="F439" s="167"/>
      <c r="G439" s="167"/>
      <c r="H439" s="123"/>
      <c r="I439" s="123"/>
      <c r="J439" s="123"/>
      <c r="K439" s="123"/>
      <c r="L439" s="123"/>
      <c r="M439" s="123"/>
      <c r="N439" s="126"/>
    </row>
    <row r="440" spans="1:14" s="3" customFormat="1" ht="9.9" customHeight="1">
      <c r="A440" s="125"/>
      <c r="B440" s="123"/>
      <c r="C440" s="123"/>
      <c r="D440" s="123"/>
      <c r="E440" s="123"/>
      <c r="F440" s="167"/>
      <c r="G440" s="167"/>
      <c r="H440" s="123"/>
      <c r="I440" s="123"/>
      <c r="J440" s="123"/>
      <c r="K440" s="123"/>
      <c r="L440" s="123"/>
      <c r="M440" s="123"/>
      <c r="N440" s="126"/>
    </row>
    <row r="441" spans="1:14" s="3" customFormat="1" ht="25.2">
      <c r="A441" s="125" t="s">
        <v>1904</v>
      </c>
      <c r="B441" s="123"/>
      <c r="C441" s="123"/>
      <c r="D441" s="123"/>
      <c r="E441" s="123"/>
      <c r="F441" s="167" t="s">
        <v>1896</v>
      </c>
      <c r="G441" s="204" t="e">
        <f>VLOOKUP(G438, 'Detail PL'!$B$14:$Q$799, 10)</f>
        <v>#N/A</v>
      </c>
      <c r="H441" s="204" t="s">
        <v>1905</v>
      </c>
      <c r="I441" s="204"/>
      <c r="J441" s="204"/>
      <c r="K441" s="123"/>
      <c r="L441" s="123"/>
      <c r="M441" s="123"/>
      <c r="N441" s="126"/>
    </row>
    <row r="442" spans="1:14" s="4" customFormat="1" ht="25.2">
      <c r="A442" s="125" t="s">
        <v>1906</v>
      </c>
      <c r="B442" s="123"/>
      <c r="C442" s="123"/>
      <c r="D442" s="123"/>
      <c r="E442" s="123"/>
      <c r="F442" s="167"/>
      <c r="G442" s="167"/>
      <c r="H442" s="167"/>
      <c r="I442" s="123"/>
      <c r="J442" s="123"/>
      <c r="K442" s="123"/>
      <c r="L442" s="123"/>
      <c r="M442" s="123"/>
      <c r="N442" s="126"/>
    </row>
    <row r="443" spans="1:14" s="3" customFormat="1" ht="9.9" customHeight="1">
      <c r="A443" s="125"/>
      <c r="B443" s="123"/>
      <c r="C443" s="123"/>
      <c r="D443" s="123"/>
      <c r="E443" s="123"/>
      <c r="F443" s="167"/>
      <c r="G443" s="167"/>
      <c r="H443" s="167"/>
      <c r="I443" s="123"/>
      <c r="J443" s="123"/>
      <c r="K443" s="123"/>
      <c r="L443" s="123"/>
      <c r="M443" s="123"/>
      <c r="N443" s="126"/>
    </row>
    <row r="444" spans="1:14" s="3" customFormat="1" ht="25.2">
      <c r="A444" s="125" t="s">
        <v>1907</v>
      </c>
      <c r="B444" s="123"/>
      <c r="C444" s="123"/>
      <c r="D444" s="123"/>
      <c r="E444" s="123"/>
      <c r="F444" s="167" t="s">
        <v>1896</v>
      </c>
      <c r="G444" s="204" t="e">
        <f>VLOOKUP(G438, 'Detail PL'!$B$14:$Q$799, 11)</f>
        <v>#N/A</v>
      </c>
      <c r="H444" s="204" t="s">
        <v>1905</v>
      </c>
      <c r="I444" s="204"/>
      <c r="J444" s="204"/>
      <c r="K444" s="123"/>
      <c r="L444" s="123"/>
      <c r="M444" s="123"/>
      <c r="N444" s="126"/>
    </row>
    <row r="445" spans="1:14" s="4" customFormat="1" ht="25.2">
      <c r="A445" s="125" t="s">
        <v>1908</v>
      </c>
      <c r="B445" s="123"/>
      <c r="C445" s="123"/>
      <c r="D445" s="123"/>
      <c r="E445" s="123"/>
      <c r="F445" s="167"/>
      <c r="G445" s="167"/>
      <c r="H445" s="123"/>
      <c r="I445" s="123"/>
      <c r="J445" s="123"/>
      <c r="K445" s="123"/>
      <c r="L445" s="123"/>
      <c r="M445" s="123"/>
      <c r="N445" s="126"/>
    </row>
    <row r="446" spans="1:14" s="3" customFormat="1" ht="9.9" customHeight="1">
      <c r="A446" s="125"/>
      <c r="B446" s="123"/>
      <c r="C446" s="123"/>
      <c r="D446" s="123"/>
      <c r="E446" s="123"/>
      <c r="F446" s="167"/>
      <c r="G446" s="167"/>
      <c r="H446" s="123"/>
      <c r="I446" s="123"/>
      <c r="J446" s="123"/>
      <c r="K446" s="123"/>
      <c r="L446" s="123"/>
      <c r="M446" s="123"/>
      <c r="N446" s="126"/>
    </row>
    <row r="447" spans="1:14" s="3" customFormat="1" ht="25.2">
      <c r="A447" s="129" t="s">
        <v>1909</v>
      </c>
      <c r="B447" s="123"/>
      <c r="C447" s="123"/>
      <c r="D447" s="123"/>
      <c r="E447" s="123"/>
      <c r="F447" s="167" t="s">
        <v>1896</v>
      </c>
      <c r="G447" s="204" t="e">
        <f>VLOOKUP(G438, 'Detail PL'!$B$14:$Q$799, 9)</f>
        <v>#N/A</v>
      </c>
      <c r="H447" s="205" t="s">
        <v>1910</v>
      </c>
      <c r="I447" s="203"/>
      <c r="J447" s="203"/>
      <c r="K447" s="172"/>
      <c r="L447" s="123"/>
      <c r="M447" s="123"/>
      <c r="N447" s="126"/>
    </row>
    <row r="448" spans="1:14" s="4" customFormat="1" ht="25.2">
      <c r="A448" s="125" t="s">
        <v>1911</v>
      </c>
      <c r="B448" s="123"/>
      <c r="C448" s="123"/>
      <c r="D448" s="123"/>
      <c r="E448" s="123"/>
      <c r="F448" s="167"/>
      <c r="G448" s="167"/>
      <c r="H448" s="123"/>
      <c r="I448" s="123"/>
      <c r="J448" s="123"/>
      <c r="K448" s="123"/>
      <c r="L448" s="123"/>
      <c r="M448" s="123"/>
      <c r="N448" s="126"/>
    </row>
    <row r="449" spans="1:15" s="3" customFormat="1" ht="9.9" customHeight="1">
      <c r="A449" s="125"/>
      <c r="B449" s="123"/>
      <c r="C449" s="123"/>
      <c r="D449" s="123"/>
      <c r="E449" s="123"/>
      <c r="F449" s="167"/>
      <c r="G449" s="167"/>
      <c r="H449" s="123"/>
      <c r="I449" s="123"/>
      <c r="J449" s="123"/>
      <c r="K449" s="123"/>
      <c r="L449" s="123"/>
      <c r="M449" s="123"/>
      <c r="N449" s="126"/>
    </row>
    <row r="450" spans="1:15" s="3" customFormat="1" ht="42" customHeight="1">
      <c r="A450" s="125" t="s">
        <v>1912</v>
      </c>
      <c r="B450" s="123"/>
      <c r="C450" s="123"/>
      <c r="D450" s="123"/>
      <c r="E450" s="123"/>
      <c r="F450" s="166" t="s">
        <v>1913</v>
      </c>
      <c r="G450" s="595" t="s">
        <v>1914</v>
      </c>
      <c r="H450" s="595"/>
      <c r="I450" s="595"/>
      <c r="J450" s="595"/>
      <c r="K450" s="595"/>
      <c r="L450" s="595"/>
      <c r="M450" s="595"/>
      <c r="N450" s="596"/>
    </row>
    <row r="451" spans="1:15" s="4" customFormat="1" ht="25.8" thickBot="1">
      <c r="A451" s="125" t="s">
        <v>1915</v>
      </c>
      <c r="B451" s="123"/>
      <c r="C451" s="123"/>
      <c r="D451" s="123"/>
      <c r="E451" s="123"/>
      <c r="F451" s="167"/>
      <c r="G451" s="167"/>
      <c r="H451" s="123"/>
      <c r="I451" s="123"/>
      <c r="J451" s="123"/>
      <c r="K451" s="123"/>
      <c r="L451" s="123"/>
      <c r="M451" s="123"/>
      <c r="N451" s="126"/>
    </row>
    <row r="452" spans="1:15" ht="21" customHeight="1">
      <c r="A452" s="598" t="s">
        <v>1916</v>
      </c>
      <c r="B452" s="599"/>
      <c r="C452" s="599"/>
      <c r="D452" s="599"/>
      <c r="E452" s="599"/>
      <c r="F452" s="599"/>
      <c r="G452" s="599"/>
      <c r="H452" s="599"/>
      <c r="I452" s="599"/>
      <c r="J452" s="599"/>
      <c r="K452" s="599"/>
      <c r="L452" s="599"/>
      <c r="M452" s="599"/>
      <c r="N452" s="600"/>
    </row>
    <row r="453" spans="1:15" ht="25.5" customHeight="1" thickBot="1">
      <c r="A453" s="601"/>
      <c r="B453" s="602"/>
      <c r="C453" s="602"/>
      <c r="D453" s="602"/>
      <c r="E453" s="602"/>
      <c r="F453" s="602"/>
      <c r="G453" s="602"/>
      <c r="H453" s="602"/>
      <c r="I453" s="602"/>
      <c r="J453" s="602"/>
      <c r="K453" s="602"/>
      <c r="L453" s="602"/>
      <c r="M453" s="602"/>
      <c r="N453" s="603"/>
    </row>
    <row r="454" spans="1:15" ht="25.5" customHeight="1">
      <c r="E454" s="206"/>
      <c r="F454" s="206"/>
      <c r="G454" s="206"/>
      <c r="H454" s="206"/>
      <c r="I454" s="206"/>
      <c r="J454" s="206"/>
      <c r="K454" s="206"/>
    </row>
    <row r="455" spans="1:15" ht="21.6" thickBot="1"/>
    <row r="456" spans="1:15" ht="95.25" customHeight="1" thickBot="1">
      <c r="A456" s="592" t="s">
        <v>1883</v>
      </c>
      <c r="B456" s="593"/>
      <c r="C456" s="593"/>
      <c r="D456" s="593"/>
      <c r="E456" s="593"/>
      <c r="F456" s="593"/>
      <c r="G456" s="593"/>
      <c r="H456" s="593"/>
      <c r="I456" s="593"/>
      <c r="J456" s="593"/>
      <c r="K456" s="593"/>
      <c r="L456" s="593"/>
      <c r="M456" s="593"/>
      <c r="N456" s="594"/>
    </row>
    <row r="457" spans="1:15" s="3" customFormat="1" ht="37.5" customHeight="1">
      <c r="A457" s="134" t="s">
        <v>1884</v>
      </c>
      <c r="B457" s="166"/>
      <c r="C457" s="166"/>
      <c r="D457" s="123"/>
      <c r="E457" s="123"/>
      <c r="F457" s="167" t="s">
        <v>1885</v>
      </c>
      <c r="G457" s="167" t="s">
        <v>1886</v>
      </c>
      <c r="H457" s="167"/>
      <c r="I457" s="167"/>
      <c r="J457" s="167"/>
      <c r="K457" s="167"/>
      <c r="L457" s="167"/>
      <c r="M457" s="167"/>
      <c r="N457" s="152"/>
      <c r="O457" s="201"/>
    </row>
    <row r="458" spans="1:15" s="4" customFormat="1" ht="25.2">
      <c r="A458" s="125" t="s">
        <v>1887</v>
      </c>
      <c r="B458" s="123"/>
      <c r="C458" s="123"/>
      <c r="D458" s="123"/>
      <c r="E458" s="123"/>
      <c r="F458" s="167"/>
      <c r="G458" s="167" t="s">
        <v>1888</v>
      </c>
      <c r="H458" s="167"/>
      <c r="I458" s="167"/>
      <c r="J458" s="167"/>
      <c r="K458" s="167"/>
      <c r="L458" s="167"/>
      <c r="M458" s="167"/>
      <c r="N458" s="152"/>
    </row>
    <row r="459" spans="1:15" s="3" customFormat="1" ht="9.9" customHeight="1">
      <c r="A459" s="125"/>
      <c r="B459" s="123"/>
      <c r="C459" s="123"/>
      <c r="D459" s="123"/>
      <c r="E459" s="123"/>
      <c r="F459" s="167"/>
      <c r="G459" s="123"/>
      <c r="H459" s="123"/>
      <c r="I459" s="123"/>
      <c r="J459" s="123"/>
      <c r="K459" s="123"/>
      <c r="L459" s="123"/>
      <c r="M459" s="123"/>
      <c r="N459" s="126"/>
    </row>
    <row r="460" spans="1:15" s="3" customFormat="1" ht="42.75" customHeight="1">
      <c r="A460" s="125" t="s">
        <v>1889</v>
      </c>
      <c r="B460" s="123"/>
      <c r="C460" s="123"/>
      <c r="D460" s="123"/>
      <c r="E460" s="123"/>
      <c r="F460" s="167" t="s">
        <v>1885</v>
      </c>
      <c r="G460" s="167" t="str">
        <f>PL!$B$13</f>
        <v>Branch of JSC "Doosan Enerbility" in the Turkestan region</v>
      </c>
      <c r="H460" s="123"/>
      <c r="I460" s="123"/>
      <c r="J460" s="123"/>
      <c r="K460" s="123"/>
      <c r="L460" s="123"/>
      <c r="M460" s="123"/>
      <c r="N460" s="126"/>
    </row>
    <row r="461" spans="1:15" s="3" customFormat="1" ht="24" customHeight="1">
      <c r="A461" s="125" t="s">
        <v>1890</v>
      </c>
      <c r="B461" s="123"/>
      <c r="C461" s="123"/>
      <c r="D461" s="123"/>
      <c r="E461" s="123"/>
      <c r="F461" s="168"/>
      <c r="G461" s="167" t="str">
        <f>PL!$B$14</f>
        <v>321 Tauke Khan Avenue, Turkestan region, Turkestan, Kazakhstan, 161200</v>
      </c>
      <c r="H461" s="123"/>
      <c r="I461" s="123"/>
      <c r="J461" s="123"/>
      <c r="K461" s="123"/>
      <c r="L461" s="123"/>
      <c r="M461" s="123"/>
      <c r="N461" s="126"/>
    </row>
    <row r="462" spans="1:15" s="4" customFormat="1" ht="25.2">
      <c r="A462" s="125"/>
      <c r="B462" s="123"/>
      <c r="C462" s="123"/>
      <c r="D462" s="123"/>
      <c r="E462" s="123"/>
      <c r="F462" s="168"/>
      <c r="G462" s="167" t="str">
        <f>PL!$B$15</f>
        <v>BIN: 230741006561</v>
      </c>
      <c r="H462" s="123"/>
      <c r="I462" s="123"/>
      <c r="J462" s="123"/>
      <c r="K462" s="123"/>
      <c r="L462" s="123"/>
      <c r="M462" s="123"/>
      <c r="N462" s="126"/>
    </row>
    <row r="463" spans="1:15" s="3" customFormat="1" ht="9.9" customHeight="1">
      <c r="A463" s="125"/>
      <c r="B463" s="123"/>
      <c r="C463" s="123"/>
      <c r="D463" s="123"/>
      <c r="E463" s="123"/>
      <c r="F463" s="169"/>
      <c r="G463" s="169"/>
      <c r="H463" s="123"/>
      <c r="I463" s="123"/>
      <c r="J463" s="123"/>
      <c r="K463" s="123"/>
      <c r="L463" s="123"/>
      <c r="M463" s="123"/>
      <c r="N463" s="126"/>
    </row>
    <row r="464" spans="1:15" s="3" customFormat="1" ht="25.2">
      <c r="A464" s="125" t="s">
        <v>1891</v>
      </c>
      <c r="B464" s="123"/>
      <c r="C464" s="123"/>
      <c r="D464" s="123"/>
      <c r="E464" s="123"/>
      <c r="F464" s="167" t="s">
        <v>1892</v>
      </c>
      <c r="G464" s="123"/>
      <c r="H464" s="123"/>
      <c r="I464" s="123"/>
      <c r="J464" s="123"/>
      <c r="K464" s="123"/>
      <c r="L464" s="123"/>
      <c r="M464" s="123"/>
      <c r="N464" s="126"/>
    </row>
    <row r="465" spans="1:14" s="4" customFormat="1" ht="25.2">
      <c r="A465" s="125" t="s">
        <v>1893</v>
      </c>
      <c r="B465" s="123"/>
      <c r="C465" s="123"/>
      <c r="D465" s="123"/>
      <c r="E465" s="123"/>
      <c r="F465" s="167" t="s">
        <v>1894</v>
      </c>
      <c r="G465" s="123"/>
      <c r="H465" s="123"/>
      <c r="I465" s="123"/>
      <c r="J465" s="123"/>
      <c r="K465" s="123"/>
      <c r="L465" s="123"/>
      <c r="M465" s="123"/>
      <c r="N465" s="126"/>
    </row>
    <row r="466" spans="1:14" s="3" customFormat="1" ht="9.9" customHeight="1">
      <c r="A466" s="125"/>
      <c r="B466" s="123"/>
      <c r="C466" s="123"/>
      <c r="D466" s="123"/>
      <c r="E466" s="123"/>
      <c r="F466" s="167"/>
      <c r="G466" s="123"/>
      <c r="H466" s="123"/>
      <c r="I466" s="123"/>
      <c r="J466" s="123"/>
      <c r="K466" s="123"/>
      <c r="L466" s="123"/>
      <c r="M466" s="123"/>
      <c r="N466" s="126"/>
    </row>
    <row r="467" spans="1:14" s="3" customFormat="1" ht="25.2">
      <c r="A467" s="125" t="s">
        <v>1895</v>
      </c>
      <c r="B467" s="123"/>
      <c r="C467" s="123"/>
      <c r="D467" s="123"/>
      <c r="E467" s="123"/>
      <c r="F467" s="167" t="s">
        <v>1896</v>
      </c>
      <c r="G467" s="167" t="str">
        <f>PL!$V$8</f>
        <v>PGU-DE-0139-001</v>
      </c>
      <c r="H467" s="123"/>
      <c r="I467" s="123"/>
      <c r="J467" s="123"/>
      <c r="K467" s="123"/>
      <c r="L467" s="123"/>
      <c r="M467" s="123"/>
      <c r="N467" s="126"/>
    </row>
    <row r="468" spans="1:14" s="3" customFormat="1" ht="25.2">
      <c r="A468" s="125" t="s">
        <v>1897</v>
      </c>
      <c r="B468" s="123"/>
      <c r="C468" s="123"/>
      <c r="D468" s="123"/>
      <c r="E468" s="123"/>
      <c r="F468" s="167"/>
      <c r="G468" s="123"/>
      <c r="H468" s="123"/>
      <c r="I468" s="123"/>
      <c r="J468" s="123"/>
      <c r="K468" s="123"/>
      <c r="L468" s="123"/>
      <c r="M468" s="123"/>
      <c r="N468" s="126"/>
    </row>
    <row r="469" spans="1:14" s="3" customFormat="1" ht="9.9" customHeight="1">
      <c r="A469" s="125"/>
      <c r="B469" s="123"/>
      <c r="C469" s="123"/>
      <c r="D469" s="123"/>
      <c r="E469" s="123"/>
      <c r="F469" s="167"/>
      <c r="G469" s="123"/>
      <c r="H469" s="123"/>
      <c r="I469" s="123"/>
      <c r="J469" s="123"/>
      <c r="K469" s="123"/>
      <c r="L469" s="123"/>
      <c r="M469" s="123"/>
      <c r="N469" s="126"/>
    </row>
    <row r="470" spans="1:14" s="3" customFormat="1" ht="31.2" customHeight="1">
      <c r="A470" s="127" t="s">
        <v>1898</v>
      </c>
      <c r="B470" s="170"/>
      <c r="C470" s="170"/>
      <c r="D470" s="170"/>
      <c r="E470" s="170"/>
      <c r="F470" s="171" t="s">
        <v>1885</v>
      </c>
      <c r="G470" s="597" t="e">
        <f>VLOOKUP(G473, 'Detail PL'!$B$14:$Q$799,2)</f>
        <v>#N/A</v>
      </c>
      <c r="H470" s="597"/>
      <c r="I470" s="597"/>
      <c r="J470" s="597"/>
      <c r="K470" s="597"/>
      <c r="L470" s="597"/>
      <c r="M470" s="597"/>
      <c r="N470" s="128"/>
    </row>
    <row r="471" spans="1:14" s="3" customFormat="1" ht="25.2">
      <c r="A471" s="127" t="s">
        <v>1899</v>
      </c>
      <c r="B471" s="170"/>
      <c r="C471" s="170"/>
      <c r="D471" s="170"/>
      <c r="E471" s="170"/>
      <c r="F471" s="171"/>
      <c r="G471" s="170"/>
      <c r="H471" s="170"/>
      <c r="I471" s="170"/>
      <c r="J471" s="170"/>
      <c r="K471" s="170"/>
      <c r="L471" s="170"/>
      <c r="M471" s="170"/>
      <c r="N471" s="128"/>
    </row>
    <row r="472" spans="1:14" s="3" customFormat="1" ht="9.9" customHeight="1">
      <c r="A472" s="125"/>
      <c r="B472" s="123"/>
      <c r="C472" s="123"/>
      <c r="D472" s="123"/>
      <c r="E472" s="123"/>
      <c r="F472" s="167"/>
      <c r="G472" s="123"/>
      <c r="H472" s="123"/>
      <c r="I472" s="123"/>
      <c r="J472" s="123"/>
      <c r="K472" s="123"/>
      <c r="L472" s="123"/>
      <c r="M472" s="123"/>
      <c r="N472" s="126"/>
    </row>
    <row r="473" spans="1:14" s="3" customFormat="1" ht="25.2">
      <c r="A473" s="125" t="s">
        <v>1900</v>
      </c>
      <c r="B473" s="123"/>
      <c r="C473" s="123"/>
      <c r="D473" s="123"/>
      <c r="E473" s="123"/>
      <c r="F473" s="171" t="s">
        <v>1901</v>
      </c>
      <c r="G473" s="604">
        <f t="shared" ref="G473" si="11">G438+1</f>
        <v>14</v>
      </c>
      <c r="H473" s="604"/>
      <c r="I473" s="604"/>
      <c r="J473" s="604"/>
      <c r="K473" s="604"/>
      <c r="L473" s="123"/>
      <c r="M473" s="123"/>
      <c r="N473" s="126"/>
    </row>
    <row r="474" spans="1:14" s="4" customFormat="1" ht="25.2">
      <c r="A474" s="125" t="s">
        <v>1903</v>
      </c>
      <c r="B474" s="123"/>
      <c r="C474" s="123"/>
      <c r="D474" s="123"/>
      <c r="E474" s="123"/>
      <c r="F474" s="167"/>
      <c r="G474" s="167"/>
      <c r="H474" s="123"/>
      <c r="I474" s="123"/>
      <c r="J474" s="123"/>
      <c r="K474" s="123"/>
      <c r="L474" s="123"/>
      <c r="M474" s="123"/>
      <c r="N474" s="126"/>
    </row>
    <row r="475" spans="1:14" s="3" customFormat="1" ht="9.9" customHeight="1">
      <c r="A475" s="125"/>
      <c r="B475" s="123"/>
      <c r="C475" s="123"/>
      <c r="D475" s="123"/>
      <c r="E475" s="123"/>
      <c r="F475" s="167"/>
      <c r="G475" s="167"/>
      <c r="H475" s="123"/>
      <c r="I475" s="123"/>
      <c r="J475" s="123"/>
      <c r="K475" s="123"/>
      <c r="L475" s="123"/>
      <c r="M475" s="123"/>
      <c r="N475" s="126"/>
    </row>
    <row r="476" spans="1:14" s="3" customFormat="1" ht="25.2">
      <c r="A476" s="125" t="s">
        <v>1904</v>
      </c>
      <c r="B476" s="123"/>
      <c r="C476" s="123"/>
      <c r="D476" s="123"/>
      <c r="E476" s="123"/>
      <c r="F476" s="167" t="s">
        <v>1896</v>
      </c>
      <c r="G476" s="204" t="e">
        <f>VLOOKUP(G473, 'Detail PL'!$B$14:$Q$799, 10)</f>
        <v>#N/A</v>
      </c>
      <c r="H476" s="204" t="s">
        <v>1905</v>
      </c>
      <c r="I476" s="204"/>
      <c r="J476" s="204"/>
      <c r="K476" s="123"/>
      <c r="L476" s="123"/>
      <c r="M476" s="123"/>
      <c r="N476" s="126"/>
    </row>
    <row r="477" spans="1:14" s="4" customFormat="1" ht="25.2">
      <c r="A477" s="125" t="s">
        <v>1906</v>
      </c>
      <c r="B477" s="123"/>
      <c r="C477" s="123"/>
      <c r="D477" s="123"/>
      <c r="E477" s="123"/>
      <c r="F477" s="167"/>
      <c r="G477" s="167"/>
      <c r="H477" s="167"/>
      <c r="I477" s="123"/>
      <c r="J477" s="123"/>
      <c r="K477" s="123"/>
      <c r="L477" s="123"/>
      <c r="M477" s="123"/>
      <c r="N477" s="126"/>
    </row>
    <row r="478" spans="1:14" s="3" customFormat="1" ht="9.9" customHeight="1">
      <c r="A478" s="125"/>
      <c r="B478" s="123"/>
      <c r="C478" s="123"/>
      <c r="D478" s="123"/>
      <c r="E478" s="123"/>
      <c r="F478" s="167"/>
      <c r="G478" s="167"/>
      <c r="H478" s="167"/>
      <c r="I478" s="123"/>
      <c r="J478" s="123"/>
      <c r="K478" s="123"/>
      <c r="L478" s="123"/>
      <c r="M478" s="123"/>
      <c r="N478" s="126"/>
    </row>
    <row r="479" spans="1:14" s="3" customFormat="1" ht="25.2">
      <c r="A479" s="125" t="s">
        <v>1907</v>
      </c>
      <c r="B479" s="123"/>
      <c r="C479" s="123"/>
      <c r="D479" s="123"/>
      <c r="E479" s="123"/>
      <c r="F479" s="167" t="s">
        <v>1896</v>
      </c>
      <c r="G479" s="204" t="e">
        <f>VLOOKUP(G473, 'Detail PL'!$B$14:$Q$799, 11)</f>
        <v>#N/A</v>
      </c>
      <c r="H479" s="204" t="s">
        <v>1905</v>
      </c>
      <c r="I479" s="204"/>
      <c r="J479" s="204"/>
      <c r="K479" s="123"/>
      <c r="L479" s="123"/>
      <c r="M479" s="123"/>
      <c r="N479" s="126"/>
    </row>
    <row r="480" spans="1:14" s="4" customFormat="1" ht="25.2">
      <c r="A480" s="125" t="s">
        <v>1908</v>
      </c>
      <c r="B480" s="123"/>
      <c r="C480" s="123"/>
      <c r="D480" s="123"/>
      <c r="E480" s="123"/>
      <c r="F480" s="167"/>
      <c r="G480" s="167"/>
      <c r="H480" s="123"/>
      <c r="I480" s="123"/>
      <c r="J480" s="123"/>
      <c r="K480" s="123"/>
      <c r="L480" s="123"/>
      <c r="M480" s="123"/>
      <c r="N480" s="126"/>
    </row>
    <row r="481" spans="1:15" s="3" customFormat="1" ht="9.9" customHeight="1">
      <c r="A481" s="125"/>
      <c r="B481" s="123"/>
      <c r="C481" s="123"/>
      <c r="D481" s="123"/>
      <c r="E481" s="123"/>
      <c r="F481" s="167"/>
      <c r="G481" s="167"/>
      <c r="H481" s="123"/>
      <c r="I481" s="123"/>
      <c r="J481" s="123"/>
      <c r="K481" s="123"/>
      <c r="L481" s="123"/>
      <c r="M481" s="123"/>
      <c r="N481" s="126"/>
    </row>
    <row r="482" spans="1:15" s="3" customFormat="1" ht="25.2">
      <c r="A482" s="129" t="s">
        <v>1909</v>
      </c>
      <c r="B482" s="123"/>
      <c r="C482" s="123"/>
      <c r="D482" s="123"/>
      <c r="E482" s="123"/>
      <c r="F482" s="167" t="s">
        <v>1896</v>
      </c>
      <c r="G482" s="204" t="e">
        <f>VLOOKUP(G473, 'Detail PL'!$B$14:$Q$799, 9)</f>
        <v>#N/A</v>
      </c>
      <c r="H482" s="205" t="s">
        <v>1910</v>
      </c>
      <c r="I482" s="203"/>
      <c r="J482" s="203"/>
      <c r="K482" s="172"/>
      <c r="L482" s="123"/>
      <c r="M482" s="123"/>
      <c r="N482" s="126"/>
    </row>
    <row r="483" spans="1:15" s="4" customFormat="1" ht="25.2">
      <c r="A483" s="125" t="s">
        <v>1911</v>
      </c>
      <c r="B483" s="123"/>
      <c r="C483" s="123"/>
      <c r="D483" s="123"/>
      <c r="E483" s="123"/>
      <c r="F483" s="167"/>
      <c r="G483" s="167"/>
      <c r="H483" s="123"/>
      <c r="I483" s="123"/>
      <c r="J483" s="123"/>
      <c r="K483" s="123"/>
      <c r="L483" s="123"/>
      <c r="M483" s="123"/>
      <c r="N483" s="126"/>
    </row>
    <row r="484" spans="1:15" s="3" customFormat="1" ht="9.9" customHeight="1">
      <c r="A484" s="125"/>
      <c r="B484" s="123"/>
      <c r="C484" s="123"/>
      <c r="D484" s="123"/>
      <c r="E484" s="123"/>
      <c r="F484" s="167"/>
      <c r="G484" s="167"/>
      <c r="H484" s="123"/>
      <c r="I484" s="123"/>
      <c r="J484" s="123"/>
      <c r="K484" s="123"/>
      <c r="L484" s="123"/>
      <c r="M484" s="123"/>
      <c r="N484" s="126"/>
    </row>
    <row r="485" spans="1:15" s="3" customFormat="1" ht="42" customHeight="1">
      <c r="A485" s="125" t="s">
        <v>1912</v>
      </c>
      <c r="B485" s="123"/>
      <c r="C485" s="123"/>
      <c r="D485" s="123"/>
      <c r="E485" s="123"/>
      <c r="F485" s="166" t="s">
        <v>1913</v>
      </c>
      <c r="G485" s="595" t="s">
        <v>1914</v>
      </c>
      <c r="H485" s="595"/>
      <c r="I485" s="595"/>
      <c r="J485" s="595"/>
      <c r="K485" s="595"/>
      <c r="L485" s="595"/>
      <c r="M485" s="595"/>
      <c r="N485" s="596"/>
    </row>
    <row r="486" spans="1:15" s="4" customFormat="1" ht="25.8" thickBot="1">
      <c r="A486" s="125" t="s">
        <v>1915</v>
      </c>
      <c r="B486" s="123"/>
      <c r="C486" s="123"/>
      <c r="D486" s="123"/>
      <c r="E486" s="123"/>
      <c r="F486" s="167"/>
      <c r="G486" s="167"/>
      <c r="H486" s="123"/>
      <c r="I486" s="123"/>
      <c r="J486" s="123"/>
      <c r="K486" s="123"/>
      <c r="L486" s="123"/>
      <c r="M486" s="123"/>
      <c r="N486" s="126"/>
    </row>
    <row r="487" spans="1:15" ht="21" customHeight="1">
      <c r="A487" s="598" t="s">
        <v>1916</v>
      </c>
      <c r="B487" s="599"/>
      <c r="C487" s="599"/>
      <c r="D487" s="599"/>
      <c r="E487" s="599"/>
      <c r="F487" s="599"/>
      <c r="G487" s="599"/>
      <c r="H487" s="599"/>
      <c r="I487" s="599"/>
      <c r="J487" s="599"/>
      <c r="K487" s="599"/>
      <c r="L487" s="599"/>
      <c r="M487" s="599"/>
      <c r="N487" s="600"/>
    </row>
    <row r="488" spans="1:15" ht="25.5" customHeight="1" thickBot="1">
      <c r="A488" s="601"/>
      <c r="B488" s="602"/>
      <c r="C488" s="602"/>
      <c r="D488" s="602"/>
      <c r="E488" s="602"/>
      <c r="F488" s="602"/>
      <c r="G488" s="602"/>
      <c r="H488" s="602"/>
      <c r="I488" s="602"/>
      <c r="J488" s="602"/>
      <c r="K488" s="602"/>
      <c r="L488" s="602"/>
      <c r="M488" s="602"/>
      <c r="N488" s="603"/>
    </row>
    <row r="489" spans="1:15" ht="25.5" customHeight="1">
      <c r="E489" s="206"/>
      <c r="F489" s="206"/>
      <c r="G489" s="206"/>
      <c r="H489" s="206"/>
      <c r="I489" s="206"/>
      <c r="J489" s="206"/>
      <c r="K489" s="206"/>
    </row>
    <row r="490" spans="1:15" ht="21.6" thickBot="1"/>
    <row r="491" spans="1:15" ht="95.25" customHeight="1" thickBot="1">
      <c r="A491" s="592" t="s">
        <v>1883</v>
      </c>
      <c r="B491" s="593"/>
      <c r="C491" s="593"/>
      <c r="D491" s="593"/>
      <c r="E491" s="593"/>
      <c r="F491" s="593"/>
      <c r="G491" s="593"/>
      <c r="H491" s="593"/>
      <c r="I491" s="593"/>
      <c r="J491" s="593"/>
      <c r="K491" s="593"/>
      <c r="L491" s="593"/>
      <c r="M491" s="593"/>
      <c r="N491" s="594"/>
    </row>
    <row r="492" spans="1:15" s="3" customFormat="1" ht="37.5" customHeight="1">
      <c r="A492" s="134" t="s">
        <v>1884</v>
      </c>
      <c r="B492" s="166"/>
      <c r="C492" s="166"/>
      <c r="D492" s="123"/>
      <c r="E492" s="123"/>
      <c r="F492" s="167" t="s">
        <v>1885</v>
      </c>
      <c r="G492" s="167" t="s">
        <v>1886</v>
      </c>
      <c r="H492" s="167"/>
      <c r="I492" s="167"/>
      <c r="J492" s="167"/>
      <c r="K492" s="167"/>
      <c r="L492" s="167"/>
      <c r="M492" s="167"/>
      <c r="N492" s="152"/>
      <c r="O492" s="201"/>
    </row>
    <row r="493" spans="1:15" s="4" customFormat="1" ht="25.2">
      <c r="A493" s="125" t="s">
        <v>1887</v>
      </c>
      <c r="B493" s="123"/>
      <c r="C493" s="123"/>
      <c r="D493" s="123"/>
      <c r="E493" s="123"/>
      <c r="F493" s="167"/>
      <c r="G493" s="167" t="s">
        <v>1888</v>
      </c>
      <c r="H493" s="167"/>
      <c r="I493" s="167"/>
      <c r="J493" s="167"/>
      <c r="K493" s="167"/>
      <c r="L493" s="167"/>
      <c r="M493" s="167"/>
      <c r="N493" s="152"/>
    </row>
    <row r="494" spans="1:15" s="3" customFormat="1" ht="9.9" customHeight="1">
      <c r="A494" s="125"/>
      <c r="B494" s="123"/>
      <c r="C494" s="123"/>
      <c r="D494" s="123"/>
      <c r="E494" s="123"/>
      <c r="F494" s="167"/>
      <c r="G494" s="123"/>
      <c r="H494" s="123"/>
      <c r="I494" s="123"/>
      <c r="J494" s="123"/>
      <c r="K494" s="123"/>
      <c r="L494" s="123"/>
      <c r="M494" s="123"/>
      <c r="N494" s="126"/>
    </row>
    <row r="495" spans="1:15" s="3" customFormat="1" ht="42.75" customHeight="1">
      <c r="A495" s="125" t="s">
        <v>1889</v>
      </c>
      <c r="B495" s="123"/>
      <c r="C495" s="123"/>
      <c r="D495" s="123"/>
      <c r="E495" s="123"/>
      <c r="F495" s="167" t="s">
        <v>1885</v>
      </c>
      <c r="G495" s="167" t="str">
        <f>PL!$B$13</f>
        <v>Branch of JSC "Doosan Enerbility" in the Turkestan region</v>
      </c>
      <c r="H495" s="123"/>
      <c r="I495" s="123"/>
      <c r="J495" s="123"/>
      <c r="K495" s="123"/>
      <c r="L495" s="123"/>
      <c r="M495" s="123"/>
      <c r="N495" s="126"/>
    </row>
    <row r="496" spans="1:15" s="3" customFormat="1" ht="24" customHeight="1">
      <c r="A496" s="125" t="s">
        <v>1890</v>
      </c>
      <c r="B496" s="123"/>
      <c r="C496" s="123"/>
      <c r="D496" s="123"/>
      <c r="E496" s="123"/>
      <c r="F496" s="168"/>
      <c r="G496" s="167" t="str">
        <f>PL!$B$14</f>
        <v>321 Tauke Khan Avenue, Turkestan region, Turkestan, Kazakhstan, 161200</v>
      </c>
      <c r="H496" s="123"/>
      <c r="I496" s="123"/>
      <c r="J496" s="123"/>
      <c r="K496" s="123"/>
      <c r="L496" s="123"/>
      <c r="M496" s="123"/>
      <c r="N496" s="126"/>
    </row>
    <row r="497" spans="1:14" s="4" customFormat="1" ht="25.2">
      <c r="A497" s="125"/>
      <c r="B497" s="123"/>
      <c r="C497" s="123"/>
      <c r="D497" s="123"/>
      <c r="E497" s="123"/>
      <c r="F497" s="168"/>
      <c r="G497" s="167" t="str">
        <f>PL!$B$15</f>
        <v>BIN: 230741006561</v>
      </c>
      <c r="H497" s="123"/>
      <c r="I497" s="123"/>
      <c r="J497" s="123"/>
      <c r="K497" s="123"/>
      <c r="L497" s="123"/>
      <c r="M497" s="123"/>
      <c r="N497" s="126"/>
    </row>
    <row r="498" spans="1:14" s="3" customFormat="1" ht="9.9" customHeight="1">
      <c r="A498" s="125"/>
      <c r="B498" s="123"/>
      <c r="C498" s="123"/>
      <c r="D498" s="123"/>
      <c r="E498" s="123"/>
      <c r="F498" s="169"/>
      <c r="G498" s="169"/>
      <c r="H498" s="123"/>
      <c r="I498" s="123"/>
      <c r="J498" s="123"/>
      <c r="K498" s="123"/>
      <c r="L498" s="123"/>
      <c r="M498" s="123"/>
      <c r="N498" s="126"/>
    </row>
    <row r="499" spans="1:14" s="3" customFormat="1" ht="25.2">
      <c r="A499" s="125" t="s">
        <v>1891</v>
      </c>
      <c r="B499" s="123"/>
      <c r="C499" s="123"/>
      <c r="D499" s="123"/>
      <c r="E499" s="123"/>
      <c r="F499" s="167" t="s">
        <v>1892</v>
      </c>
      <c r="G499" s="123"/>
      <c r="H499" s="123"/>
      <c r="I499" s="123"/>
      <c r="J499" s="123"/>
      <c r="K499" s="123"/>
      <c r="L499" s="123"/>
      <c r="M499" s="123"/>
      <c r="N499" s="126"/>
    </row>
    <row r="500" spans="1:14" s="4" customFormat="1" ht="25.2">
      <c r="A500" s="125" t="s">
        <v>1893</v>
      </c>
      <c r="B500" s="123"/>
      <c r="C500" s="123"/>
      <c r="D500" s="123"/>
      <c r="E500" s="123"/>
      <c r="F500" s="167" t="s">
        <v>1894</v>
      </c>
      <c r="G500" s="123"/>
      <c r="H500" s="123"/>
      <c r="I500" s="123"/>
      <c r="J500" s="123"/>
      <c r="K500" s="123"/>
      <c r="L500" s="123"/>
      <c r="M500" s="123"/>
      <c r="N500" s="126"/>
    </row>
    <row r="501" spans="1:14" s="3" customFormat="1" ht="9.9" customHeight="1">
      <c r="A501" s="125"/>
      <c r="B501" s="123"/>
      <c r="C501" s="123"/>
      <c r="D501" s="123"/>
      <c r="E501" s="123"/>
      <c r="F501" s="167"/>
      <c r="G501" s="123"/>
      <c r="H501" s="123"/>
      <c r="I501" s="123"/>
      <c r="J501" s="123"/>
      <c r="K501" s="123"/>
      <c r="L501" s="123"/>
      <c r="M501" s="123"/>
      <c r="N501" s="126"/>
    </row>
    <row r="502" spans="1:14" s="3" customFormat="1" ht="25.2">
      <c r="A502" s="125" t="s">
        <v>1895</v>
      </c>
      <c r="B502" s="123"/>
      <c r="C502" s="123"/>
      <c r="D502" s="123"/>
      <c r="E502" s="123"/>
      <c r="F502" s="167" t="s">
        <v>1896</v>
      </c>
      <c r="G502" s="167" t="str">
        <f>PL!$V$8</f>
        <v>PGU-DE-0139-001</v>
      </c>
      <c r="H502" s="123"/>
      <c r="I502" s="123"/>
      <c r="J502" s="123"/>
      <c r="K502" s="123"/>
      <c r="L502" s="123"/>
      <c r="M502" s="123"/>
      <c r="N502" s="126"/>
    </row>
    <row r="503" spans="1:14" s="3" customFormat="1" ht="25.2">
      <c r="A503" s="125" t="s">
        <v>1897</v>
      </c>
      <c r="B503" s="123"/>
      <c r="C503" s="123"/>
      <c r="D503" s="123"/>
      <c r="E503" s="123"/>
      <c r="F503" s="167"/>
      <c r="G503" s="123"/>
      <c r="H503" s="123"/>
      <c r="I503" s="123"/>
      <c r="J503" s="123"/>
      <c r="K503" s="123"/>
      <c r="L503" s="123"/>
      <c r="M503" s="123"/>
      <c r="N503" s="126"/>
    </row>
    <row r="504" spans="1:14" s="3" customFormat="1" ht="9.9" customHeight="1">
      <c r="A504" s="125"/>
      <c r="B504" s="123"/>
      <c r="C504" s="123"/>
      <c r="D504" s="123"/>
      <c r="E504" s="123"/>
      <c r="F504" s="167"/>
      <c r="G504" s="123"/>
      <c r="H504" s="123"/>
      <c r="I504" s="123"/>
      <c r="J504" s="123"/>
      <c r="K504" s="123"/>
      <c r="L504" s="123"/>
      <c r="M504" s="123"/>
      <c r="N504" s="126"/>
    </row>
    <row r="505" spans="1:14" s="3" customFormat="1" ht="31.2" customHeight="1">
      <c r="A505" s="127" t="s">
        <v>1898</v>
      </c>
      <c r="B505" s="170"/>
      <c r="C505" s="170"/>
      <c r="D505" s="170"/>
      <c r="E505" s="170"/>
      <c r="F505" s="171" t="s">
        <v>1885</v>
      </c>
      <c r="G505" s="597" t="e">
        <f>VLOOKUP(G508, 'Detail PL'!$B$14:$Q$799,2)</f>
        <v>#N/A</v>
      </c>
      <c r="H505" s="597"/>
      <c r="I505" s="597"/>
      <c r="J505" s="597"/>
      <c r="K505" s="597"/>
      <c r="L505" s="597"/>
      <c r="M505" s="597"/>
      <c r="N505" s="128"/>
    </row>
    <row r="506" spans="1:14" s="3" customFormat="1" ht="25.2">
      <c r="A506" s="127" t="s">
        <v>1899</v>
      </c>
      <c r="B506" s="170"/>
      <c r="C506" s="170"/>
      <c r="D506" s="170"/>
      <c r="E506" s="170"/>
      <c r="F506" s="171"/>
      <c r="G506" s="170"/>
      <c r="H506" s="170"/>
      <c r="I506" s="170"/>
      <c r="J506" s="170"/>
      <c r="K506" s="170"/>
      <c r="L506" s="170"/>
      <c r="M506" s="170"/>
      <c r="N506" s="128"/>
    </row>
    <row r="507" spans="1:14" s="3" customFormat="1" ht="9.9" customHeight="1">
      <c r="A507" s="125"/>
      <c r="B507" s="123"/>
      <c r="C507" s="123"/>
      <c r="D507" s="123"/>
      <c r="E507" s="123"/>
      <c r="F507" s="167"/>
      <c r="G507" s="123"/>
      <c r="H507" s="123"/>
      <c r="I507" s="123"/>
      <c r="J507" s="123"/>
      <c r="K507" s="123"/>
      <c r="L507" s="123"/>
      <c r="M507" s="123"/>
      <c r="N507" s="126"/>
    </row>
    <row r="508" spans="1:14" s="3" customFormat="1" ht="25.2">
      <c r="A508" s="125" t="s">
        <v>1900</v>
      </c>
      <c r="B508" s="123"/>
      <c r="C508" s="123"/>
      <c r="D508" s="123"/>
      <c r="E508" s="123"/>
      <c r="F508" s="171" t="s">
        <v>1901</v>
      </c>
      <c r="G508" s="604">
        <f t="shared" ref="G508" si="12">G473+1</f>
        <v>15</v>
      </c>
      <c r="H508" s="604"/>
      <c r="I508" s="604"/>
      <c r="J508" s="604"/>
      <c r="K508" s="604"/>
      <c r="L508" s="123"/>
      <c r="M508" s="123"/>
      <c r="N508" s="126"/>
    </row>
    <row r="509" spans="1:14" s="4" customFormat="1" ht="25.2">
      <c r="A509" s="125" t="s">
        <v>1903</v>
      </c>
      <c r="B509" s="123"/>
      <c r="C509" s="123"/>
      <c r="D509" s="123"/>
      <c r="E509" s="123"/>
      <c r="F509" s="167"/>
      <c r="G509" s="167"/>
      <c r="H509" s="123"/>
      <c r="I509" s="123"/>
      <c r="J509" s="123"/>
      <c r="K509" s="123"/>
      <c r="L509" s="123"/>
      <c r="M509" s="123"/>
      <c r="N509" s="126"/>
    </row>
    <row r="510" spans="1:14" s="3" customFormat="1" ht="9.9" customHeight="1">
      <c r="A510" s="125"/>
      <c r="B510" s="123"/>
      <c r="C510" s="123"/>
      <c r="D510" s="123"/>
      <c r="E510" s="123"/>
      <c r="F510" s="167"/>
      <c r="G510" s="167"/>
      <c r="H510" s="123"/>
      <c r="I510" s="123"/>
      <c r="J510" s="123"/>
      <c r="K510" s="123"/>
      <c r="L510" s="123"/>
      <c r="M510" s="123"/>
      <c r="N510" s="126"/>
    </row>
    <row r="511" spans="1:14" s="3" customFormat="1" ht="25.2">
      <c r="A511" s="125" t="s">
        <v>1904</v>
      </c>
      <c r="B511" s="123"/>
      <c r="C511" s="123"/>
      <c r="D511" s="123"/>
      <c r="E511" s="123"/>
      <c r="F511" s="167" t="s">
        <v>1896</v>
      </c>
      <c r="G511" s="204" t="e">
        <f>VLOOKUP(G508, 'Detail PL'!$B$14:$Q$799, 10)</f>
        <v>#N/A</v>
      </c>
      <c r="H511" s="204" t="s">
        <v>1905</v>
      </c>
      <c r="I511" s="204"/>
      <c r="J511" s="204"/>
      <c r="K511" s="123"/>
      <c r="L511" s="123"/>
      <c r="M511" s="123"/>
      <c r="N511" s="126"/>
    </row>
    <row r="512" spans="1:14" s="4" customFormat="1" ht="25.2">
      <c r="A512" s="125" t="s">
        <v>1906</v>
      </c>
      <c r="B512" s="123"/>
      <c r="C512" s="123"/>
      <c r="D512" s="123"/>
      <c r="E512" s="123"/>
      <c r="F512" s="167"/>
      <c r="G512" s="167"/>
      <c r="H512" s="167"/>
      <c r="I512" s="123"/>
      <c r="J512" s="123"/>
      <c r="K512" s="123"/>
      <c r="L512" s="123"/>
      <c r="M512" s="123"/>
      <c r="N512" s="126"/>
    </row>
    <row r="513" spans="1:15" s="3" customFormat="1" ht="9.9" customHeight="1">
      <c r="A513" s="125"/>
      <c r="B513" s="123"/>
      <c r="C513" s="123"/>
      <c r="D513" s="123"/>
      <c r="E513" s="123"/>
      <c r="F513" s="167"/>
      <c r="G513" s="167"/>
      <c r="H513" s="167"/>
      <c r="I513" s="123"/>
      <c r="J513" s="123"/>
      <c r="K513" s="123"/>
      <c r="L513" s="123"/>
      <c r="M513" s="123"/>
      <c r="N513" s="126"/>
    </row>
    <row r="514" spans="1:15" s="3" customFormat="1" ht="25.2">
      <c r="A514" s="125" t="s">
        <v>1907</v>
      </c>
      <c r="B514" s="123"/>
      <c r="C514" s="123"/>
      <c r="D514" s="123"/>
      <c r="E514" s="123"/>
      <c r="F514" s="167" t="s">
        <v>1896</v>
      </c>
      <c r="G514" s="204" t="e">
        <f>VLOOKUP(G508, 'Detail PL'!$B$14:$Q$799, 11)</f>
        <v>#N/A</v>
      </c>
      <c r="H514" s="204" t="s">
        <v>1905</v>
      </c>
      <c r="I514" s="204"/>
      <c r="J514" s="204"/>
      <c r="K514" s="123"/>
      <c r="L514" s="123"/>
      <c r="M514" s="123"/>
      <c r="N514" s="126"/>
    </row>
    <row r="515" spans="1:15" s="4" customFormat="1" ht="25.2">
      <c r="A515" s="125" t="s">
        <v>1908</v>
      </c>
      <c r="B515" s="123"/>
      <c r="C515" s="123"/>
      <c r="D515" s="123"/>
      <c r="E515" s="123"/>
      <c r="F515" s="167"/>
      <c r="G515" s="167"/>
      <c r="H515" s="123"/>
      <c r="I515" s="123"/>
      <c r="J515" s="123"/>
      <c r="K515" s="123"/>
      <c r="L515" s="123"/>
      <c r="M515" s="123"/>
      <c r="N515" s="126"/>
    </row>
    <row r="516" spans="1:15" s="3" customFormat="1" ht="9.9" customHeight="1">
      <c r="A516" s="125"/>
      <c r="B516" s="123"/>
      <c r="C516" s="123"/>
      <c r="D516" s="123"/>
      <c r="E516" s="123"/>
      <c r="F516" s="167"/>
      <c r="G516" s="167"/>
      <c r="H516" s="123"/>
      <c r="I516" s="123"/>
      <c r="J516" s="123"/>
      <c r="K516" s="123"/>
      <c r="L516" s="123"/>
      <c r="M516" s="123"/>
      <c r="N516" s="126"/>
    </row>
    <row r="517" spans="1:15" s="3" customFormat="1" ht="25.2">
      <c r="A517" s="129" t="s">
        <v>1909</v>
      </c>
      <c r="B517" s="123"/>
      <c r="C517" s="123"/>
      <c r="D517" s="123"/>
      <c r="E517" s="123"/>
      <c r="F517" s="167" t="s">
        <v>1896</v>
      </c>
      <c r="G517" s="204" t="e">
        <f>VLOOKUP(G508, 'Detail PL'!$B$14:$Q$799, 9)</f>
        <v>#N/A</v>
      </c>
      <c r="H517" s="205" t="s">
        <v>1910</v>
      </c>
      <c r="I517" s="203"/>
      <c r="J517" s="203"/>
      <c r="K517" s="172"/>
      <c r="L517" s="123"/>
      <c r="M517" s="123"/>
      <c r="N517" s="126"/>
    </row>
    <row r="518" spans="1:15" s="4" customFormat="1" ht="25.2">
      <c r="A518" s="125" t="s">
        <v>1911</v>
      </c>
      <c r="B518" s="123"/>
      <c r="C518" s="123"/>
      <c r="D518" s="123"/>
      <c r="E518" s="123"/>
      <c r="F518" s="167"/>
      <c r="G518" s="167"/>
      <c r="H518" s="123"/>
      <c r="I518" s="123"/>
      <c r="J518" s="123"/>
      <c r="K518" s="123"/>
      <c r="L518" s="123"/>
      <c r="M518" s="123"/>
      <c r="N518" s="126"/>
    </row>
    <row r="519" spans="1:15" s="3" customFormat="1" ht="9.9" customHeight="1">
      <c r="A519" s="125"/>
      <c r="B519" s="123"/>
      <c r="C519" s="123"/>
      <c r="D519" s="123"/>
      <c r="E519" s="123"/>
      <c r="F519" s="167"/>
      <c r="G519" s="167"/>
      <c r="H519" s="123"/>
      <c r="I519" s="123"/>
      <c r="J519" s="123"/>
      <c r="K519" s="123"/>
      <c r="L519" s="123"/>
      <c r="M519" s="123"/>
      <c r="N519" s="126"/>
    </row>
    <row r="520" spans="1:15" s="3" customFormat="1" ht="42" customHeight="1">
      <c r="A520" s="125" t="s">
        <v>1912</v>
      </c>
      <c r="B520" s="123"/>
      <c r="C520" s="123"/>
      <c r="D520" s="123"/>
      <c r="E520" s="123"/>
      <c r="F520" s="166" t="s">
        <v>1913</v>
      </c>
      <c r="G520" s="595" t="s">
        <v>1914</v>
      </c>
      <c r="H520" s="595"/>
      <c r="I520" s="595"/>
      <c r="J520" s="595"/>
      <c r="K520" s="595"/>
      <c r="L520" s="595"/>
      <c r="M520" s="595"/>
      <c r="N520" s="596"/>
    </row>
    <row r="521" spans="1:15" s="4" customFormat="1" ht="25.8" thickBot="1">
      <c r="A521" s="125" t="s">
        <v>1915</v>
      </c>
      <c r="B521" s="123"/>
      <c r="C521" s="123"/>
      <c r="D521" s="123"/>
      <c r="E521" s="123"/>
      <c r="F521" s="167"/>
      <c r="G521" s="167"/>
      <c r="H521" s="123"/>
      <c r="I521" s="123"/>
      <c r="J521" s="123"/>
      <c r="K521" s="123"/>
      <c r="L521" s="123"/>
      <c r="M521" s="123"/>
      <c r="N521" s="126"/>
    </row>
    <row r="522" spans="1:15" ht="21" customHeight="1">
      <c r="A522" s="598" t="s">
        <v>1916</v>
      </c>
      <c r="B522" s="599"/>
      <c r="C522" s="599"/>
      <c r="D522" s="599"/>
      <c r="E522" s="599"/>
      <c r="F522" s="599"/>
      <c r="G522" s="599"/>
      <c r="H522" s="599"/>
      <c r="I522" s="599"/>
      <c r="J522" s="599"/>
      <c r="K522" s="599"/>
      <c r="L522" s="599"/>
      <c r="M522" s="599"/>
      <c r="N522" s="600"/>
    </row>
    <row r="523" spans="1:15" ht="25.5" customHeight="1" thickBot="1">
      <c r="A523" s="601"/>
      <c r="B523" s="602"/>
      <c r="C523" s="602"/>
      <c r="D523" s="602"/>
      <c r="E523" s="602"/>
      <c r="F523" s="602"/>
      <c r="G523" s="602"/>
      <c r="H523" s="602"/>
      <c r="I523" s="602"/>
      <c r="J523" s="602"/>
      <c r="K523" s="602"/>
      <c r="L523" s="602"/>
      <c r="M523" s="602"/>
      <c r="N523" s="603"/>
    </row>
    <row r="524" spans="1:15" ht="25.5" customHeight="1">
      <c r="E524" s="206"/>
      <c r="F524" s="206"/>
      <c r="G524" s="206"/>
      <c r="H524" s="206"/>
      <c r="I524" s="206"/>
      <c r="J524" s="206"/>
      <c r="K524" s="206"/>
    </row>
    <row r="525" spans="1:15" ht="21.6" thickBot="1"/>
    <row r="526" spans="1:15" ht="95.25" customHeight="1" thickBot="1">
      <c r="A526" s="592" t="s">
        <v>1883</v>
      </c>
      <c r="B526" s="593"/>
      <c r="C526" s="593"/>
      <c r="D526" s="593"/>
      <c r="E526" s="593"/>
      <c r="F526" s="593"/>
      <c r="G526" s="593"/>
      <c r="H526" s="593"/>
      <c r="I526" s="593"/>
      <c r="J526" s="593"/>
      <c r="K526" s="593"/>
      <c r="L526" s="593"/>
      <c r="M526" s="593"/>
      <c r="N526" s="594"/>
    </row>
    <row r="527" spans="1:15" s="3" customFormat="1" ht="37.5" customHeight="1">
      <c r="A527" s="134" t="s">
        <v>1884</v>
      </c>
      <c r="B527" s="166"/>
      <c r="C527" s="166"/>
      <c r="D527" s="123"/>
      <c r="E527" s="123"/>
      <c r="F527" s="167" t="s">
        <v>1885</v>
      </c>
      <c r="G527" s="167" t="s">
        <v>1886</v>
      </c>
      <c r="H527" s="167"/>
      <c r="I527" s="167"/>
      <c r="J527" s="167"/>
      <c r="K527" s="167"/>
      <c r="L527" s="167"/>
      <c r="M527" s="167"/>
      <c r="N527" s="152"/>
      <c r="O527" s="201"/>
    </row>
    <row r="528" spans="1:15" s="4" customFormat="1" ht="25.2">
      <c r="A528" s="125" t="s">
        <v>1887</v>
      </c>
      <c r="B528" s="123"/>
      <c r="C528" s="123"/>
      <c r="D528" s="123"/>
      <c r="E528" s="123"/>
      <c r="F528" s="167"/>
      <c r="G528" s="167" t="s">
        <v>1888</v>
      </c>
      <c r="H528" s="167"/>
      <c r="I528" s="167"/>
      <c r="J528" s="167"/>
      <c r="K528" s="167"/>
      <c r="L528" s="167"/>
      <c r="M528" s="167"/>
      <c r="N528" s="152"/>
    </row>
    <row r="529" spans="1:14" s="3" customFormat="1" ht="9.9" customHeight="1">
      <c r="A529" s="125"/>
      <c r="B529" s="123"/>
      <c r="C529" s="123"/>
      <c r="D529" s="123"/>
      <c r="E529" s="123"/>
      <c r="F529" s="167"/>
      <c r="G529" s="123"/>
      <c r="H529" s="123"/>
      <c r="I529" s="123"/>
      <c r="J529" s="123"/>
      <c r="K529" s="123"/>
      <c r="L529" s="123"/>
      <c r="M529" s="123"/>
      <c r="N529" s="126"/>
    </row>
    <row r="530" spans="1:14" s="3" customFormat="1" ht="42.75" customHeight="1">
      <c r="A530" s="125" t="s">
        <v>1889</v>
      </c>
      <c r="B530" s="123"/>
      <c r="C530" s="123"/>
      <c r="D530" s="123"/>
      <c r="E530" s="123"/>
      <c r="F530" s="167" t="s">
        <v>1885</v>
      </c>
      <c r="G530" s="167" t="str">
        <f>PL!$B$13</f>
        <v>Branch of JSC "Doosan Enerbility" in the Turkestan region</v>
      </c>
      <c r="H530" s="123"/>
      <c r="I530" s="123"/>
      <c r="J530" s="123"/>
      <c r="K530" s="123"/>
      <c r="L530" s="123"/>
      <c r="M530" s="123"/>
      <c r="N530" s="126"/>
    </row>
    <row r="531" spans="1:14" s="3" customFormat="1" ht="24" customHeight="1">
      <c r="A531" s="125" t="s">
        <v>1890</v>
      </c>
      <c r="B531" s="123"/>
      <c r="C531" s="123"/>
      <c r="D531" s="123"/>
      <c r="E531" s="123"/>
      <c r="F531" s="168"/>
      <c r="G531" s="167" t="str">
        <f>PL!$B$14</f>
        <v>321 Tauke Khan Avenue, Turkestan region, Turkestan, Kazakhstan, 161200</v>
      </c>
      <c r="H531" s="123"/>
      <c r="I531" s="123"/>
      <c r="J531" s="123"/>
      <c r="K531" s="123"/>
      <c r="L531" s="123"/>
      <c r="M531" s="123"/>
      <c r="N531" s="126"/>
    </row>
    <row r="532" spans="1:14" s="4" customFormat="1" ht="25.2">
      <c r="A532" s="125"/>
      <c r="B532" s="123"/>
      <c r="C532" s="123"/>
      <c r="D532" s="123"/>
      <c r="E532" s="123"/>
      <c r="F532" s="168"/>
      <c r="G532" s="167" t="str">
        <f>PL!$B$15</f>
        <v>BIN: 230741006561</v>
      </c>
      <c r="H532" s="123"/>
      <c r="I532" s="123"/>
      <c r="J532" s="123"/>
      <c r="K532" s="123"/>
      <c r="L532" s="123"/>
      <c r="M532" s="123"/>
      <c r="N532" s="126"/>
    </row>
    <row r="533" spans="1:14" s="3" customFormat="1" ht="9.9" customHeight="1">
      <c r="A533" s="125"/>
      <c r="B533" s="123"/>
      <c r="C533" s="123"/>
      <c r="D533" s="123"/>
      <c r="E533" s="123"/>
      <c r="F533" s="169"/>
      <c r="G533" s="169"/>
      <c r="H533" s="123"/>
      <c r="I533" s="123"/>
      <c r="J533" s="123"/>
      <c r="K533" s="123"/>
      <c r="L533" s="123"/>
      <c r="M533" s="123"/>
      <c r="N533" s="126"/>
    </row>
    <row r="534" spans="1:14" s="3" customFormat="1" ht="25.2">
      <c r="A534" s="125" t="s">
        <v>1891</v>
      </c>
      <c r="B534" s="123"/>
      <c r="C534" s="123"/>
      <c r="D534" s="123"/>
      <c r="E534" s="123"/>
      <c r="F534" s="167" t="s">
        <v>1892</v>
      </c>
      <c r="G534" s="123"/>
      <c r="H534" s="123"/>
      <c r="I534" s="123"/>
      <c r="J534" s="123"/>
      <c r="K534" s="123"/>
      <c r="L534" s="123"/>
      <c r="M534" s="123"/>
      <c r="N534" s="126"/>
    </row>
    <row r="535" spans="1:14" s="4" customFormat="1" ht="25.2">
      <c r="A535" s="125" t="s">
        <v>1893</v>
      </c>
      <c r="B535" s="123"/>
      <c r="C535" s="123"/>
      <c r="D535" s="123"/>
      <c r="E535" s="123"/>
      <c r="F535" s="167" t="s">
        <v>1894</v>
      </c>
      <c r="G535" s="123"/>
      <c r="H535" s="123"/>
      <c r="I535" s="123"/>
      <c r="J535" s="123"/>
      <c r="K535" s="123"/>
      <c r="L535" s="123"/>
      <c r="M535" s="123"/>
      <c r="N535" s="126"/>
    </row>
    <row r="536" spans="1:14" s="3" customFormat="1" ht="9.9" customHeight="1">
      <c r="A536" s="125"/>
      <c r="B536" s="123"/>
      <c r="C536" s="123"/>
      <c r="D536" s="123"/>
      <c r="E536" s="123"/>
      <c r="F536" s="167"/>
      <c r="G536" s="123"/>
      <c r="H536" s="123"/>
      <c r="I536" s="123"/>
      <c r="J536" s="123"/>
      <c r="K536" s="123"/>
      <c r="L536" s="123"/>
      <c r="M536" s="123"/>
      <c r="N536" s="126"/>
    </row>
    <row r="537" spans="1:14" s="3" customFormat="1" ht="25.2">
      <c r="A537" s="125" t="s">
        <v>1895</v>
      </c>
      <c r="B537" s="123"/>
      <c r="C537" s="123"/>
      <c r="D537" s="123"/>
      <c r="E537" s="123"/>
      <c r="F537" s="167" t="s">
        <v>1896</v>
      </c>
      <c r="G537" s="167" t="str">
        <f>PL!$V$8</f>
        <v>PGU-DE-0139-001</v>
      </c>
      <c r="H537" s="123"/>
      <c r="I537" s="123"/>
      <c r="J537" s="123"/>
      <c r="K537" s="123"/>
      <c r="L537" s="123"/>
      <c r="M537" s="123"/>
      <c r="N537" s="126"/>
    </row>
    <row r="538" spans="1:14" s="3" customFormat="1" ht="25.2">
      <c r="A538" s="125" t="s">
        <v>1897</v>
      </c>
      <c r="B538" s="123"/>
      <c r="C538" s="123"/>
      <c r="D538" s="123"/>
      <c r="E538" s="123"/>
      <c r="F538" s="167"/>
      <c r="G538" s="123"/>
      <c r="H538" s="123"/>
      <c r="I538" s="123"/>
      <c r="J538" s="123"/>
      <c r="K538" s="123"/>
      <c r="L538" s="123"/>
      <c r="M538" s="123"/>
      <c r="N538" s="126"/>
    </row>
    <row r="539" spans="1:14" s="3" customFormat="1" ht="9.9" customHeight="1">
      <c r="A539" s="125"/>
      <c r="B539" s="123"/>
      <c r="C539" s="123"/>
      <c r="D539" s="123"/>
      <c r="E539" s="123"/>
      <c r="F539" s="167"/>
      <c r="G539" s="123"/>
      <c r="H539" s="123"/>
      <c r="I539" s="123"/>
      <c r="J539" s="123"/>
      <c r="K539" s="123"/>
      <c r="L539" s="123"/>
      <c r="M539" s="123"/>
      <c r="N539" s="126"/>
    </row>
    <row r="540" spans="1:14" s="3" customFormat="1" ht="31.2" customHeight="1">
      <c r="A540" s="127" t="s">
        <v>1898</v>
      </c>
      <c r="B540" s="170"/>
      <c r="C540" s="170"/>
      <c r="D540" s="170"/>
      <c r="E540" s="170"/>
      <c r="F540" s="171" t="s">
        <v>1885</v>
      </c>
      <c r="G540" s="597" t="e">
        <f>VLOOKUP(G543, 'Detail PL'!$B$14:$Q$799,2)</f>
        <v>#N/A</v>
      </c>
      <c r="H540" s="597"/>
      <c r="I540" s="597"/>
      <c r="J540" s="597"/>
      <c r="K540" s="597"/>
      <c r="L540" s="597"/>
      <c r="M540" s="597"/>
      <c r="N540" s="128"/>
    </row>
    <row r="541" spans="1:14" s="3" customFormat="1" ht="25.2">
      <c r="A541" s="127" t="s">
        <v>1899</v>
      </c>
      <c r="B541" s="170"/>
      <c r="C541" s="170"/>
      <c r="D541" s="170"/>
      <c r="E541" s="170"/>
      <c r="F541" s="171"/>
      <c r="G541" s="170"/>
      <c r="H541" s="170"/>
      <c r="I541" s="170"/>
      <c r="J541" s="170"/>
      <c r="K541" s="170"/>
      <c r="L541" s="170"/>
      <c r="M541" s="170"/>
      <c r="N541" s="128"/>
    </row>
    <row r="542" spans="1:14" s="3" customFormat="1" ht="9.9" customHeight="1">
      <c r="A542" s="125"/>
      <c r="B542" s="123"/>
      <c r="C542" s="123"/>
      <c r="D542" s="123"/>
      <c r="E542" s="123"/>
      <c r="F542" s="167"/>
      <c r="G542" s="123"/>
      <c r="H542" s="123"/>
      <c r="I542" s="123"/>
      <c r="J542" s="123"/>
      <c r="K542" s="123"/>
      <c r="L542" s="123"/>
      <c r="M542" s="123"/>
      <c r="N542" s="126"/>
    </row>
    <row r="543" spans="1:14" s="3" customFormat="1" ht="25.2">
      <c r="A543" s="125" t="s">
        <v>1900</v>
      </c>
      <c r="B543" s="123"/>
      <c r="C543" s="123"/>
      <c r="D543" s="123"/>
      <c r="E543" s="123"/>
      <c r="F543" s="171" t="s">
        <v>1901</v>
      </c>
      <c r="G543" s="604">
        <f t="shared" ref="G543" si="13">G508+1</f>
        <v>16</v>
      </c>
      <c r="H543" s="604"/>
      <c r="I543" s="604"/>
      <c r="J543" s="604"/>
      <c r="K543" s="604"/>
      <c r="L543" s="123"/>
      <c r="M543" s="123"/>
      <c r="N543" s="126"/>
    </row>
    <row r="544" spans="1:14" s="4" customFormat="1" ht="25.2">
      <c r="A544" s="125" t="s">
        <v>1903</v>
      </c>
      <c r="B544" s="123"/>
      <c r="C544" s="123"/>
      <c r="D544" s="123"/>
      <c r="E544" s="123"/>
      <c r="F544" s="167"/>
      <c r="G544" s="167"/>
      <c r="H544" s="123"/>
      <c r="I544" s="123"/>
      <c r="J544" s="123"/>
      <c r="K544" s="123"/>
      <c r="L544" s="123"/>
      <c r="M544" s="123"/>
      <c r="N544" s="126"/>
    </row>
    <row r="545" spans="1:14" s="3" customFormat="1" ht="9.9" customHeight="1">
      <c r="A545" s="125"/>
      <c r="B545" s="123"/>
      <c r="C545" s="123"/>
      <c r="D545" s="123"/>
      <c r="E545" s="123"/>
      <c r="F545" s="167"/>
      <c r="G545" s="167"/>
      <c r="H545" s="123"/>
      <c r="I545" s="123"/>
      <c r="J545" s="123"/>
      <c r="K545" s="123"/>
      <c r="L545" s="123"/>
      <c r="M545" s="123"/>
      <c r="N545" s="126"/>
    </row>
    <row r="546" spans="1:14" s="3" customFormat="1" ht="25.2">
      <c r="A546" s="125" t="s">
        <v>1904</v>
      </c>
      <c r="B546" s="123"/>
      <c r="C546" s="123"/>
      <c r="D546" s="123"/>
      <c r="E546" s="123"/>
      <c r="F546" s="167" t="s">
        <v>1896</v>
      </c>
      <c r="G546" s="204" t="e">
        <f>VLOOKUP(G543, 'Detail PL'!$B$14:$Q$799, 10)</f>
        <v>#N/A</v>
      </c>
      <c r="H546" s="204" t="s">
        <v>1905</v>
      </c>
      <c r="I546" s="204"/>
      <c r="J546" s="204"/>
      <c r="K546" s="123"/>
      <c r="L546" s="123"/>
      <c r="M546" s="123"/>
      <c r="N546" s="126"/>
    </row>
    <row r="547" spans="1:14" s="4" customFormat="1" ht="25.2">
      <c r="A547" s="125" t="s">
        <v>1906</v>
      </c>
      <c r="B547" s="123"/>
      <c r="C547" s="123"/>
      <c r="D547" s="123"/>
      <c r="E547" s="123"/>
      <c r="F547" s="167"/>
      <c r="G547" s="167"/>
      <c r="H547" s="167"/>
      <c r="I547" s="123"/>
      <c r="J547" s="123"/>
      <c r="K547" s="123"/>
      <c r="L547" s="123"/>
      <c r="M547" s="123"/>
      <c r="N547" s="126"/>
    </row>
    <row r="548" spans="1:14" s="3" customFormat="1" ht="9.9" customHeight="1">
      <c r="A548" s="125"/>
      <c r="B548" s="123"/>
      <c r="C548" s="123"/>
      <c r="D548" s="123"/>
      <c r="E548" s="123"/>
      <c r="F548" s="167"/>
      <c r="G548" s="167"/>
      <c r="H548" s="167"/>
      <c r="I548" s="123"/>
      <c r="J548" s="123"/>
      <c r="K548" s="123"/>
      <c r="L548" s="123"/>
      <c r="M548" s="123"/>
      <c r="N548" s="126"/>
    </row>
    <row r="549" spans="1:14" s="3" customFormat="1" ht="25.2">
      <c r="A549" s="125" t="s">
        <v>1907</v>
      </c>
      <c r="B549" s="123"/>
      <c r="C549" s="123"/>
      <c r="D549" s="123"/>
      <c r="E549" s="123"/>
      <c r="F549" s="167" t="s">
        <v>1896</v>
      </c>
      <c r="G549" s="204" t="e">
        <f>VLOOKUP(G543, 'Detail PL'!$B$14:$Q$799, 11)</f>
        <v>#N/A</v>
      </c>
      <c r="H549" s="204" t="s">
        <v>1905</v>
      </c>
      <c r="I549" s="204"/>
      <c r="J549" s="204"/>
      <c r="K549" s="123"/>
      <c r="L549" s="123"/>
      <c r="M549" s="123"/>
      <c r="N549" s="126"/>
    </row>
    <row r="550" spans="1:14" s="4" customFormat="1" ht="25.2">
      <c r="A550" s="125" t="s">
        <v>1908</v>
      </c>
      <c r="B550" s="123"/>
      <c r="C550" s="123"/>
      <c r="D550" s="123"/>
      <c r="E550" s="123"/>
      <c r="F550" s="167"/>
      <c r="G550" s="167"/>
      <c r="H550" s="123"/>
      <c r="I550" s="123"/>
      <c r="J550" s="123"/>
      <c r="K550" s="123"/>
      <c r="L550" s="123"/>
      <c r="M550" s="123"/>
      <c r="N550" s="126"/>
    </row>
    <row r="551" spans="1:14" s="3" customFormat="1" ht="9.9" customHeight="1">
      <c r="A551" s="125"/>
      <c r="B551" s="123"/>
      <c r="C551" s="123"/>
      <c r="D551" s="123"/>
      <c r="E551" s="123"/>
      <c r="F551" s="167"/>
      <c r="G551" s="167"/>
      <c r="H551" s="123"/>
      <c r="I551" s="123"/>
      <c r="J551" s="123"/>
      <c r="K551" s="123"/>
      <c r="L551" s="123"/>
      <c r="M551" s="123"/>
      <c r="N551" s="126"/>
    </row>
    <row r="552" spans="1:14" s="3" customFormat="1" ht="25.2">
      <c r="A552" s="129" t="s">
        <v>1909</v>
      </c>
      <c r="B552" s="123"/>
      <c r="C552" s="123"/>
      <c r="D552" s="123"/>
      <c r="E552" s="123"/>
      <c r="F552" s="167" t="s">
        <v>1896</v>
      </c>
      <c r="G552" s="204" t="e">
        <f>VLOOKUP(G543, 'Detail PL'!$B$14:$Q$799, 9)</f>
        <v>#N/A</v>
      </c>
      <c r="H552" s="205" t="s">
        <v>1910</v>
      </c>
      <c r="I552" s="203"/>
      <c r="J552" s="203"/>
      <c r="K552" s="172"/>
      <c r="L552" s="123"/>
      <c r="M552" s="123"/>
      <c r="N552" s="126"/>
    </row>
    <row r="553" spans="1:14" s="4" customFormat="1" ht="25.2">
      <c r="A553" s="125" t="s">
        <v>1911</v>
      </c>
      <c r="B553" s="123"/>
      <c r="C553" s="123"/>
      <c r="D553" s="123"/>
      <c r="E553" s="123"/>
      <c r="F553" s="167"/>
      <c r="G553" s="167"/>
      <c r="H553" s="123"/>
      <c r="I553" s="123"/>
      <c r="J553" s="123"/>
      <c r="K553" s="123"/>
      <c r="L553" s="123"/>
      <c r="M553" s="123"/>
      <c r="N553" s="126"/>
    </row>
    <row r="554" spans="1:14" s="3" customFormat="1" ht="9.9" customHeight="1">
      <c r="A554" s="125"/>
      <c r="B554" s="123"/>
      <c r="C554" s="123"/>
      <c r="D554" s="123"/>
      <c r="E554" s="123"/>
      <c r="F554" s="167"/>
      <c r="G554" s="167"/>
      <c r="H554" s="123"/>
      <c r="I554" s="123"/>
      <c r="J554" s="123"/>
      <c r="K554" s="123"/>
      <c r="L554" s="123"/>
      <c r="M554" s="123"/>
      <c r="N554" s="126"/>
    </row>
    <row r="555" spans="1:14" s="3" customFormat="1" ht="42" customHeight="1">
      <c r="A555" s="125" t="s">
        <v>1912</v>
      </c>
      <c r="B555" s="123"/>
      <c r="C555" s="123"/>
      <c r="D555" s="123"/>
      <c r="E555" s="123"/>
      <c r="F555" s="166" t="s">
        <v>1913</v>
      </c>
      <c r="G555" s="595" t="s">
        <v>1914</v>
      </c>
      <c r="H555" s="595"/>
      <c r="I555" s="595"/>
      <c r="J555" s="595"/>
      <c r="K555" s="595"/>
      <c r="L555" s="595"/>
      <c r="M555" s="595"/>
      <c r="N555" s="596"/>
    </row>
    <row r="556" spans="1:14" s="4" customFormat="1" ht="25.8" thickBot="1">
      <c r="A556" s="125" t="s">
        <v>1915</v>
      </c>
      <c r="B556" s="123"/>
      <c r="C556" s="123"/>
      <c r="D556" s="123"/>
      <c r="E556" s="123"/>
      <c r="F556" s="167"/>
      <c r="G556" s="167"/>
      <c r="H556" s="123"/>
      <c r="I556" s="123"/>
      <c r="J556" s="123"/>
      <c r="K556" s="123"/>
      <c r="L556" s="123"/>
      <c r="M556" s="123"/>
      <c r="N556" s="126"/>
    </row>
    <row r="557" spans="1:14" ht="21" customHeight="1">
      <c r="A557" s="598" t="s">
        <v>1916</v>
      </c>
      <c r="B557" s="599"/>
      <c r="C557" s="599"/>
      <c r="D557" s="599"/>
      <c r="E557" s="599"/>
      <c r="F557" s="599"/>
      <c r="G557" s="599"/>
      <c r="H557" s="599"/>
      <c r="I557" s="599"/>
      <c r="J557" s="599"/>
      <c r="K557" s="599"/>
      <c r="L557" s="599"/>
      <c r="M557" s="599"/>
      <c r="N557" s="600"/>
    </row>
    <row r="558" spans="1:14" ht="25.5" customHeight="1" thickBot="1">
      <c r="A558" s="601"/>
      <c r="B558" s="602"/>
      <c r="C558" s="602"/>
      <c r="D558" s="602"/>
      <c r="E558" s="602"/>
      <c r="F558" s="602"/>
      <c r="G558" s="602"/>
      <c r="H558" s="602"/>
      <c r="I558" s="602"/>
      <c r="J558" s="602"/>
      <c r="K558" s="602"/>
      <c r="L558" s="602"/>
      <c r="M558" s="602"/>
      <c r="N558" s="603"/>
    </row>
    <row r="559" spans="1:14" ht="25.5" customHeight="1">
      <c r="E559" s="206"/>
      <c r="F559" s="206"/>
      <c r="G559" s="206"/>
      <c r="H559" s="206"/>
      <c r="I559" s="206"/>
      <c r="J559" s="206"/>
      <c r="K559" s="206"/>
    </row>
    <row r="560" spans="1:14" ht="21.6" thickBot="1"/>
    <row r="561" spans="1:15" ht="95.25" customHeight="1" thickBot="1">
      <c r="A561" s="592" t="s">
        <v>1883</v>
      </c>
      <c r="B561" s="593"/>
      <c r="C561" s="593"/>
      <c r="D561" s="593"/>
      <c r="E561" s="593"/>
      <c r="F561" s="593"/>
      <c r="G561" s="593"/>
      <c r="H561" s="593"/>
      <c r="I561" s="593"/>
      <c r="J561" s="593"/>
      <c r="K561" s="593"/>
      <c r="L561" s="593"/>
      <c r="M561" s="593"/>
      <c r="N561" s="594"/>
    </row>
    <row r="562" spans="1:15" s="3" customFormat="1" ht="37.5" customHeight="1">
      <c r="A562" s="134" t="s">
        <v>1884</v>
      </c>
      <c r="B562" s="166"/>
      <c r="C562" s="166"/>
      <c r="D562" s="123"/>
      <c r="E562" s="123"/>
      <c r="F562" s="167" t="s">
        <v>1885</v>
      </c>
      <c r="G562" s="167" t="s">
        <v>1886</v>
      </c>
      <c r="H562" s="167"/>
      <c r="I562" s="167"/>
      <c r="J562" s="167"/>
      <c r="K562" s="167"/>
      <c r="L562" s="167"/>
      <c r="M562" s="167"/>
      <c r="N562" s="152"/>
      <c r="O562" s="201"/>
    </row>
    <row r="563" spans="1:15" s="4" customFormat="1" ht="25.2">
      <c r="A563" s="125" t="s">
        <v>1887</v>
      </c>
      <c r="B563" s="123"/>
      <c r="C563" s="123"/>
      <c r="D563" s="123"/>
      <c r="E563" s="123"/>
      <c r="F563" s="167"/>
      <c r="G563" s="167" t="s">
        <v>1888</v>
      </c>
      <c r="H563" s="167"/>
      <c r="I563" s="167"/>
      <c r="J563" s="167"/>
      <c r="K563" s="167"/>
      <c r="L563" s="167"/>
      <c r="M563" s="167"/>
      <c r="N563" s="152"/>
    </row>
    <row r="564" spans="1:15" s="3" customFormat="1" ht="9.9" customHeight="1">
      <c r="A564" s="125"/>
      <c r="B564" s="123"/>
      <c r="C564" s="123"/>
      <c r="D564" s="123"/>
      <c r="E564" s="123"/>
      <c r="F564" s="167"/>
      <c r="G564" s="123"/>
      <c r="H564" s="123"/>
      <c r="I564" s="123"/>
      <c r="J564" s="123"/>
      <c r="K564" s="123"/>
      <c r="L564" s="123"/>
      <c r="M564" s="123"/>
      <c r="N564" s="126"/>
    </row>
    <row r="565" spans="1:15" s="3" customFormat="1" ht="42.75" customHeight="1">
      <c r="A565" s="125" t="s">
        <v>1889</v>
      </c>
      <c r="B565" s="123"/>
      <c r="C565" s="123"/>
      <c r="D565" s="123"/>
      <c r="E565" s="123"/>
      <c r="F565" s="167" t="s">
        <v>1885</v>
      </c>
      <c r="G565" s="167" t="str">
        <f>PL!$B$13</f>
        <v>Branch of JSC "Doosan Enerbility" in the Turkestan region</v>
      </c>
      <c r="H565" s="123"/>
      <c r="I565" s="123"/>
      <c r="J565" s="123"/>
      <c r="K565" s="123"/>
      <c r="L565" s="123"/>
      <c r="M565" s="123"/>
      <c r="N565" s="126"/>
    </row>
    <row r="566" spans="1:15" s="3" customFormat="1" ht="24" customHeight="1">
      <c r="A566" s="125" t="s">
        <v>1890</v>
      </c>
      <c r="B566" s="123"/>
      <c r="C566" s="123"/>
      <c r="D566" s="123"/>
      <c r="E566" s="123"/>
      <c r="F566" s="168"/>
      <c r="G566" s="167" t="str">
        <f>PL!$B$14</f>
        <v>321 Tauke Khan Avenue, Turkestan region, Turkestan, Kazakhstan, 161200</v>
      </c>
      <c r="H566" s="123"/>
      <c r="I566" s="123"/>
      <c r="J566" s="123"/>
      <c r="K566" s="123"/>
      <c r="L566" s="123"/>
      <c r="M566" s="123"/>
      <c r="N566" s="126"/>
    </row>
    <row r="567" spans="1:15" s="4" customFormat="1" ht="25.2">
      <c r="A567" s="125"/>
      <c r="B567" s="123"/>
      <c r="C567" s="123"/>
      <c r="D567" s="123"/>
      <c r="E567" s="123"/>
      <c r="F567" s="168"/>
      <c r="G567" s="167" t="str">
        <f>PL!$B$15</f>
        <v>BIN: 230741006561</v>
      </c>
      <c r="H567" s="123"/>
      <c r="I567" s="123"/>
      <c r="J567" s="123"/>
      <c r="K567" s="123"/>
      <c r="L567" s="123"/>
      <c r="M567" s="123"/>
      <c r="N567" s="126"/>
    </row>
    <row r="568" spans="1:15" s="3" customFormat="1" ht="9.9" customHeight="1">
      <c r="A568" s="125"/>
      <c r="B568" s="123"/>
      <c r="C568" s="123"/>
      <c r="D568" s="123"/>
      <c r="E568" s="123"/>
      <c r="F568" s="169"/>
      <c r="G568" s="169"/>
      <c r="H568" s="123"/>
      <c r="I568" s="123"/>
      <c r="J568" s="123"/>
      <c r="K568" s="123"/>
      <c r="L568" s="123"/>
      <c r="M568" s="123"/>
      <c r="N568" s="126"/>
    </row>
    <row r="569" spans="1:15" s="3" customFormat="1" ht="25.2">
      <c r="A569" s="125" t="s">
        <v>1891</v>
      </c>
      <c r="B569" s="123"/>
      <c r="C569" s="123"/>
      <c r="D569" s="123"/>
      <c r="E569" s="123"/>
      <c r="F569" s="167" t="s">
        <v>1892</v>
      </c>
      <c r="G569" s="123"/>
      <c r="H569" s="123"/>
      <c r="I569" s="123"/>
      <c r="J569" s="123"/>
      <c r="K569" s="123"/>
      <c r="L569" s="123"/>
      <c r="M569" s="123"/>
      <c r="N569" s="126"/>
    </row>
    <row r="570" spans="1:15" s="4" customFormat="1" ht="25.2">
      <c r="A570" s="125" t="s">
        <v>1893</v>
      </c>
      <c r="B570" s="123"/>
      <c r="C570" s="123"/>
      <c r="D570" s="123"/>
      <c r="E570" s="123"/>
      <c r="F570" s="167" t="s">
        <v>1894</v>
      </c>
      <c r="G570" s="123"/>
      <c r="H570" s="123"/>
      <c r="I570" s="123"/>
      <c r="J570" s="123"/>
      <c r="K570" s="123"/>
      <c r="L570" s="123"/>
      <c r="M570" s="123"/>
      <c r="N570" s="126"/>
    </row>
    <row r="571" spans="1:15" s="3" customFormat="1" ht="9.9" customHeight="1">
      <c r="A571" s="125"/>
      <c r="B571" s="123"/>
      <c r="C571" s="123"/>
      <c r="D571" s="123"/>
      <c r="E571" s="123"/>
      <c r="F571" s="167"/>
      <c r="G571" s="123"/>
      <c r="H571" s="123"/>
      <c r="I571" s="123"/>
      <c r="J571" s="123"/>
      <c r="K571" s="123"/>
      <c r="L571" s="123"/>
      <c r="M571" s="123"/>
      <c r="N571" s="126"/>
    </row>
    <row r="572" spans="1:15" s="3" customFormat="1" ht="25.2">
      <c r="A572" s="125" t="s">
        <v>1895</v>
      </c>
      <c r="B572" s="123"/>
      <c r="C572" s="123"/>
      <c r="D572" s="123"/>
      <c r="E572" s="123"/>
      <c r="F572" s="167" t="s">
        <v>1896</v>
      </c>
      <c r="G572" s="167" t="str">
        <f>PL!$V$8</f>
        <v>PGU-DE-0139-001</v>
      </c>
      <c r="H572" s="123"/>
      <c r="I572" s="123"/>
      <c r="J572" s="123"/>
      <c r="K572" s="123"/>
      <c r="L572" s="123"/>
      <c r="M572" s="123"/>
      <c r="N572" s="126"/>
    </row>
    <row r="573" spans="1:15" s="3" customFormat="1" ht="25.2">
      <c r="A573" s="125" t="s">
        <v>1897</v>
      </c>
      <c r="B573" s="123"/>
      <c r="C573" s="123"/>
      <c r="D573" s="123"/>
      <c r="E573" s="123"/>
      <c r="F573" s="167"/>
      <c r="G573" s="123"/>
      <c r="H573" s="123"/>
      <c r="I573" s="123"/>
      <c r="J573" s="123"/>
      <c r="K573" s="123"/>
      <c r="L573" s="123"/>
      <c r="M573" s="123"/>
      <c r="N573" s="126"/>
    </row>
    <row r="574" spans="1:15" s="3" customFormat="1" ht="9.9" customHeight="1">
      <c r="A574" s="125"/>
      <c r="B574" s="123"/>
      <c r="C574" s="123"/>
      <c r="D574" s="123"/>
      <c r="E574" s="123"/>
      <c r="F574" s="167"/>
      <c r="G574" s="123"/>
      <c r="H574" s="123"/>
      <c r="I574" s="123"/>
      <c r="J574" s="123"/>
      <c r="K574" s="123"/>
      <c r="L574" s="123"/>
      <c r="M574" s="123"/>
      <c r="N574" s="126"/>
    </row>
    <row r="575" spans="1:15" s="3" customFormat="1" ht="31.2" customHeight="1">
      <c r="A575" s="127" t="s">
        <v>1898</v>
      </c>
      <c r="B575" s="170"/>
      <c r="C575" s="170"/>
      <c r="D575" s="170"/>
      <c r="E575" s="170"/>
      <c r="F575" s="171" t="s">
        <v>1885</v>
      </c>
      <c r="G575" s="597" t="e">
        <f>VLOOKUP(G578, 'Detail PL'!$B$14:$Q$799,2)</f>
        <v>#N/A</v>
      </c>
      <c r="H575" s="597"/>
      <c r="I575" s="597"/>
      <c r="J575" s="597"/>
      <c r="K575" s="597"/>
      <c r="L575" s="597"/>
      <c r="M575" s="597"/>
      <c r="N575" s="128"/>
    </row>
    <row r="576" spans="1:15" s="3" customFormat="1" ht="25.2">
      <c r="A576" s="127" t="s">
        <v>1899</v>
      </c>
      <c r="B576" s="170"/>
      <c r="C576" s="170"/>
      <c r="D576" s="170"/>
      <c r="E576" s="170"/>
      <c r="F576" s="171"/>
      <c r="G576" s="170"/>
      <c r="H576" s="170"/>
      <c r="I576" s="170"/>
      <c r="J576" s="170"/>
      <c r="K576" s="170"/>
      <c r="L576" s="170"/>
      <c r="M576" s="170"/>
      <c r="N576" s="128"/>
    </row>
    <row r="577" spans="1:14" s="3" customFormat="1" ht="9.9" customHeight="1">
      <c r="A577" s="125"/>
      <c r="B577" s="123"/>
      <c r="C577" s="123"/>
      <c r="D577" s="123"/>
      <c r="E577" s="123"/>
      <c r="F577" s="167"/>
      <c r="G577" s="123"/>
      <c r="H577" s="123"/>
      <c r="I577" s="123"/>
      <c r="J577" s="123"/>
      <c r="K577" s="123"/>
      <c r="L577" s="123"/>
      <c r="M577" s="123"/>
      <c r="N577" s="126"/>
    </row>
    <row r="578" spans="1:14" s="3" customFormat="1" ht="25.2">
      <c r="A578" s="125" t="s">
        <v>1900</v>
      </c>
      <c r="B578" s="123"/>
      <c r="C578" s="123"/>
      <c r="D578" s="123"/>
      <c r="E578" s="123"/>
      <c r="F578" s="171" t="s">
        <v>1901</v>
      </c>
      <c r="G578" s="604">
        <f t="shared" ref="G578" si="14">G543+1</f>
        <v>17</v>
      </c>
      <c r="H578" s="604"/>
      <c r="I578" s="604"/>
      <c r="J578" s="604"/>
      <c r="K578" s="604"/>
      <c r="L578" s="123"/>
      <c r="M578" s="123"/>
      <c r="N578" s="126"/>
    </row>
    <row r="579" spans="1:14" s="4" customFormat="1" ht="25.2">
      <c r="A579" s="125" t="s">
        <v>1903</v>
      </c>
      <c r="B579" s="123"/>
      <c r="C579" s="123"/>
      <c r="D579" s="123"/>
      <c r="E579" s="123"/>
      <c r="F579" s="167"/>
      <c r="G579" s="167"/>
      <c r="H579" s="123"/>
      <c r="I579" s="123"/>
      <c r="J579" s="123"/>
      <c r="K579" s="123"/>
      <c r="L579" s="123"/>
      <c r="M579" s="123"/>
      <c r="N579" s="126"/>
    </row>
    <row r="580" spans="1:14" s="3" customFormat="1" ht="9.9" customHeight="1">
      <c r="A580" s="125"/>
      <c r="B580" s="123"/>
      <c r="C580" s="123"/>
      <c r="D580" s="123"/>
      <c r="E580" s="123"/>
      <c r="F580" s="167"/>
      <c r="G580" s="167"/>
      <c r="H580" s="123"/>
      <c r="I580" s="123"/>
      <c r="J580" s="123"/>
      <c r="K580" s="123"/>
      <c r="L580" s="123"/>
      <c r="M580" s="123"/>
      <c r="N580" s="126"/>
    </row>
    <row r="581" spans="1:14" s="3" customFormat="1" ht="25.2">
      <c r="A581" s="125" t="s">
        <v>1904</v>
      </c>
      <c r="B581" s="123"/>
      <c r="C581" s="123"/>
      <c r="D581" s="123"/>
      <c r="E581" s="123"/>
      <c r="F581" s="167" t="s">
        <v>1896</v>
      </c>
      <c r="G581" s="204" t="e">
        <f>VLOOKUP(G578, 'Detail PL'!$B$14:$Q$799, 10)</f>
        <v>#N/A</v>
      </c>
      <c r="H581" s="204" t="s">
        <v>1905</v>
      </c>
      <c r="I581" s="204"/>
      <c r="J581" s="204"/>
      <c r="K581" s="123"/>
      <c r="L581" s="123"/>
      <c r="M581" s="123"/>
      <c r="N581" s="126"/>
    </row>
    <row r="582" spans="1:14" s="4" customFormat="1" ht="25.2">
      <c r="A582" s="125" t="s">
        <v>1906</v>
      </c>
      <c r="B582" s="123"/>
      <c r="C582" s="123"/>
      <c r="D582" s="123"/>
      <c r="E582" s="123"/>
      <c r="F582" s="167"/>
      <c r="G582" s="167"/>
      <c r="H582" s="167"/>
      <c r="I582" s="123"/>
      <c r="J582" s="123"/>
      <c r="K582" s="123"/>
      <c r="L582" s="123"/>
      <c r="M582" s="123"/>
      <c r="N582" s="126"/>
    </row>
    <row r="583" spans="1:14" s="3" customFormat="1" ht="9.9" customHeight="1">
      <c r="A583" s="125"/>
      <c r="B583" s="123"/>
      <c r="C583" s="123"/>
      <c r="D583" s="123"/>
      <c r="E583" s="123"/>
      <c r="F583" s="167"/>
      <c r="G583" s="167"/>
      <c r="H583" s="167"/>
      <c r="I583" s="123"/>
      <c r="J583" s="123"/>
      <c r="K583" s="123"/>
      <c r="L583" s="123"/>
      <c r="M583" s="123"/>
      <c r="N583" s="126"/>
    </row>
    <row r="584" spans="1:14" s="3" customFormat="1" ht="25.2">
      <c r="A584" s="125" t="s">
        <v>1907</v>
      </c>
      <c r="B584" s="123"/>
      <c r="C584" s="123"/>
      <c r="D584" s="123"/>
      <c r="E584" s="123"/>
      <c r="F584" s="167" t="s">
        <v>1896</v>
      </c>
      <c r="G584" s="204" t="e">
        <f>VLOOKUP(G578, 'Detail PL'!$B$14:$Q$799, 11)</f>
        <v>#N/A</v>
      </c>
      <c r="H584" s="204" t="s">
        <v>1905</v>
      </c>
      <c r="I584" s="204"/>
      <c r="J584" s="204"/>
      <c r="K584" s="123"/>
      <c r="L584" s="123"/>
      <c r="M584" s="123"/>
      <c r="N584" s="126"/>
    </row>
    <row r="585" spans="1:14" s="4" customFormat="1" ht="25.2">
      <c r="A585" s="125" t="s">
        <v>1908</v>
      </c>
      <c r="B585" s="123"/>
      <c r="C585" s="123"/>
      <c r="D585" s="123"/>
      <c r="E585" s="123"/>
      <c r="F585" s="167"/>
      <c r="G585" s="167"/>
      <c r="H585" s="123"/>
      <c r="I585" s="123"/>
      <c r="J585" s="123"/>
      <c r="K585" s="123"/>
      <c r="L585" s="123"/>
      <c r="M585" s="123"/>
      <c r="N585" s="126"/>
    </row>
    <row r="586" spans="1:14" s="3" customFormat="1" ht="9.9" customHeight="1">
      <c r="A586" s="125"/>
      <c r="B586" s="123"/>
      <c r="C586" s="123"/>
      <c r="D586" s="123"/>
      <c r="E586" s="123"/>
      <c r="F586" s="167"/>
      <c r="G586" s="167"/>
      <c r="H586" s="123"/>
      <c r="I586" s="123"/>
      <c r="J586" s="123"/>
      <c r="K586" s="123"/>
      <c r="L586" s="123"/>
      <c r="M586" s="123"/>
      <c r="N586" s="126"/>
    </row>
    <row r="587" spans="1:14" s="3" customFormat="1" ht="25.2">
      <c r="A587" s="129" t="s">
        <v>1909</v>
      </c>
      <c r="B587" s="123"/>
      <c r="C587" s="123"/>
      <c r="D587" s="123"/>
      <c r="E587" s="123"/>
      <c r="F587" s="167" t="s">
        <v>1896</v>
      </c>
      <c r="G587" s="204" t="e">
        <f>VLOOKUP(G578, 'Detail PL'!$B$14:$Q$799, 9)</f>
        <v>#N/A</v>
      </c>
      <c r="H587" s="205" t="s">
        <v>1910</v>
      </c>
      <c r="I587" s="203"/>
      <c r="J587" s="203"/>
      <c r="K587" s="172"/>
      <c r="L587" s="123"/>
      <c r="M587" s="123"/>
      <c r="N587" s="126"/>
    </row>
    <row r="588" spans="1:14" s="4" customFormat="1" ht="25.2">
      <c r="A588" s="125" t="s">
        <v>1911</v>
      </c>
      <c r="B588" s="123"/>
      <c r="C588" s="123"/>
      <c r="D588" s="123"/>
      <c r="E588" s="123"/>
      <c r="F588" s="167"/>
      <c r="G588" s="167"/>
      <c r="H588" s="123"/>
      <c r="I588" s="123"/>
      <c r="J588" s="123"/>
      <c r="K588" s="123"/>
      <c r="L588" s="123"/>
      <c r="M588" s="123"/>
      <c r="N588" s="126"/>
    </row>
    <row r="589" spans="1:14" s="3" customFormat="1" ht="9.9" customHeight="1">
      <c r="A589" s="125"/>
      <c r="B589" s="123"/>
      <c r="C589" s="123"/>
      <c r="D589" s="123"/>
      <c r="E589" s="123"/>
      <c r="F589" s="167"/>
      <c r="G589" s="167"/>
      <c r="H589" s="123"/>
      <c r="I589" s="123"/>
      <c r="J589" s="123"/>
      <c r="K589" s="123"/>
      <c r="L589" s="123"/>
      <c r="M589" s="123"/>
      <c r="N589" s="126"/>
    </row>
    <row r="590" spans="1:14" s="3" customFormat="1" ht="42" customHeight="1">
      <c r="A590" s="125" t="s">
        <v>1912</v>
      </c>
      <c r="B590" s="123"/>
      <c r="C590" s="123"/>
      <c r="D590" s="123"/>
      <c r="E590" s="123"/>
      <c r="F590" s="166" t="s">
        <v>1913</v>
      </c>
      <c r="G590" s="595" t="s">
        <v>1914</v>
      </c>
      <c r="H590" s="595"/>
      <c r="I590" s="595"/>
      <c r="J590" s="595"/>
      <c r="K590" s="595"/>
      <c r="L590" s="595"/>
      <c r="M590" s="595"/>
      <c r="N590" s="596"/>
    </row>
    <row r="591" spans="1:14" s="4" customFormat="1" ht="25.8" thickBot="1">
      <c r="A591" s="125" t="s">
        <v>1915</v>
      </c>
      <c r="B591" s="123"/>
      <c r="C591" s="123"/>
      <c r="D591" s="123"/>
      <c r="E591" s="123"/>
      <c r="F591" s="167"/>
      <c r="G591" s="167"/>
      <c r="H591" s="123"/>
      <c r="I591" s="123"/>
      <c r="J591" s="123"/>
      <c r="K591" s="123"/>
      <c r="L591" s="123"/>
      <c r="M591" s="123"/>
      <c r="N591" s="126"/>
    </row>
    <row r="592" spans="1:14" ht="21" customHeight="1">
      <c r="A592" s="598" t="s">
        <v>1916</v>
      </c>
      <c r="B592" s="599"/>
      <c r="C592" s="599"/>
      <c r="D592" s="599"/>
      <c r="E592" s="599"/>
      <c r="F592" s="599"/>
      <c r="G592" s="599"/>
      <c r="H592" s="599"/>
      <c r="I592" s="599"/>
      <c r="J592" s="599"/>
      <c r="K592" s="599"/>
      <c r="L592" s="599"/>
      <c r="M592" s="599"/>
      <c r="N592" s="600"/>
    </row>
    <row r="593" spans="1:15" ht="25.5" customHeight="1" thickBot="1">
      <c r="A593" s="601"/>
      <c r="B593" s="602"/>
      <c r="C593" s="602"/>
      <c r="D593" s="602"/>
      <c r="E593" s="602"/>
      <c r="F593" s="602"/>
      <c r="G593" s="602"/>
      <c r="H593" s="602"/>
      <c r="I593" s="602"/>
      <c r="J593" s="602"/>
      <c r="K593" s="602"/>
      <c r="L593" s="602"/>
      <c r="M593" s="602"/>
      <c r="N593" s="603"/>
    </row>
    <row r="594" spans="1:15" ht="25.5" customHeight="1">
      <c r="E594" s="206"/>
      <c r="F594" s="206"/>
      <c r="G594" s="206"/>
      <c r="H594" s="206"/>
      <c r="I594" s="206"/>
      <c r="J594" s="206"/>
      <c r="K594" s="206"/>
    </row>
    <row r="595" spans="1:15" ht="21.6" thickBot="1"/>
    <row r="596" spans="1:15" ht="95.25" customHeight="1" thickBot="1">
      <c r="A596" s="592" t="s">
        <v>1883</v>
      </c>
      <c r="B596" s="593"/>
      <c r="C596" s="593"/>
      <c r="D596" s="593"/>
      <c r="E596" s="593"/>
      <c r="F596" s="593"/>
      <c r="G596" s="593"/>
      <c r="H596" s="593"/>
      <c r="I596" s="593"/>
      <c r="J596" s="593"/>
      <c r="K596" s="593"/>
      <c r="L596" s="593"/>
      <c r="M596" s="593"/>
      <c r="N596" s="594"/>
    </row>
    <row r="597" spans="1:15" s="3" customFormat="1" ht="37.5" customHeight="1">
      <c r="A597" s="134" t="s">
        <v>1884</v>
      </c>
      <c r="B597" s="166"/>
      <c r="C597" s="166"/>
      <c r="D597" s="123"/>
      <c r="E597" s="123"/>
      <c r="F597" s="167" t="s">
        <v>1885</v>
      </c>
      <c r="G597" s="167" t="s">
        <v>1886</v>
      </c>
      <c r="H597" s="167"/>
      <c r="I597" s="167"/>
      <c r="J597" s="167"/>
      <c r="K597" s="167"/>
      <c r="L597" s="167"/>
      <c r="M597" s="167"/>
      <c r="N597" s="152"/>
      <c r="O597" s="201"/>
    </row>
    <row r="598" spans="1:15" s="4" customFormat="1" ht="25.2">
      <c r="A598" s="125" t="s">
        <v>1887</v>
      </c>
      <c r="B598" s="123"/>
      <c r="C598" s="123"/>
      <c r="D598" s="123"/>
      <c r="E598" s="123"/>
      <c r="F598" s="167"/>
      <c r="G598" s="167" t="s">
        <v>1888</v>
      </c>
      <c r="H598" s="167"/>
      <c r="I598" s="167"/>
      <c r="J598" s="167"/>
      <c r="K598" s="167"/>
      <c r="L598" s="167"/>
      <c r="M598" s="167"/>
      <c r="N598" s="152"/>
    </row>
    <row r="599" spans="1:15" s="3" customFormat="1" ht="9.9" customHeight="1">
      <c r="A599" s="125"/>
      <c r="B599" s="123"/>
      <c r="C599" s="123"/>
      <c r="D599" s="123"/>
      <c r="E599" s="123"/>
      <c r="F599" s="167"/>
      <c r="G599" s="123"/>
      <c r="H599" s="123"/>
      <c r="I599" s="123"/>
      <c r="J599" s="123"/>
      <c r="K599" s="123"/>
      <c r="L599" s="123"/>
      <c r="M599" s="123"/>
      <c r="N599" s="126"/>
    </row>
    <row r="600" spans="1:15" s="3" customFormat="1" ht="42.75" customHeight="1">
      <c r="A600" s="125" t="s">
        <v>1889</v>
      </c>
      <c r="B600" s="123"/>
      <c r="C600" s="123"/>
      <c r="D600" s="123"/>
      <c r="E600" s="123"/>
      <c r="F600" s="167" t="s">
        <v>1885</v>
      </c>
      <c r="G600" s="167" t="str">
        <f>PL!$B$13</f>
        <v>Branch of JSC "Doosan Enerbility" in the Turkestan region</v>
      </c>
      <c r="H600" s="123"/>
      <c r="I600" s="123"/>
      <c r="J600" s="123"/>
      <c r="K600" s="123"/>
      <c r="L600" s="123"/>
      <c r="M600" s="123"/>
      <c r="N600" s="126"/>
    </row>
    <row r="601" spans="1:15" s="3" customFormat="1" ht="24" customHeight="1">
      <c r="A601" s="125" t="s">
        <v>1890</v>
      </c>
      <c r="B601" s="123"/>
      <c r="C601" s="123"/>
      <c r="D601" s="123"/>
      <c r="E601" s="123"/>
      <c r="F601" s="168"/>
      <c r="G601" s="167" t="str">
        <f>PL!$B$14</f>
        <v>321 Tauke Khan Avenue, Turkestan region, Turkestan, Kazakhstan, 161200</v>
      </c>
      <c r="H601" s="123"/>
      <c r="I601" s="123"/>
      <c r="J601" s="123"/>
      <c r="K601" s="123"/>
      <c r="L601" s="123"/>
      <c r="M601" s="123"/>
      <c r="N601" s="126"/>
    </row>
    <row r="602" spans="1:15" s="4" customFormat="1" ht="25.2">
      <c r="A602" s="125"/>
      <c r="B602" s="123"/>
      <c r="C602" s="123"/>
      <c r="D602" s="123"/>
      <c r="E602" s="123"/>
      <c r="F602" s="168"/>
      <c r="G602" s="167" t="str">
        <f>PL!$B$15</f>
        <v>BIN: 230741006561</v>
      </c>
      <c r="H602" s="123"/>
      <c r="I602" s="123"/>
      <c r="J602" s="123"/>
      <c r="K602" s="123"/>
      <c r="L602" s="123"/>
      <c r="M602" s="123"/>
      <c r="N602" s="126"/>
    </row>
    <row r="603" spans="1:15" s="3" customFormat="1" ht="9.9" customHeight="1">
      <c r="A603" s="125"/>
      <c r="B603" s="123"/>
      <c r="C603" s="123"/>
      <c r="D603" s="123"/>
      <c r="E603" s="123"/>
      <c r="F603" s="169"/>
      <c r="G603" s="169"/>
      <c r="H603" s="123"/>
      <c r="I603" s="123"/>
      <c r="J603" s="123"/>
      <c r="K603" s="123"/>
      <c r="L603" s="123"/>
      <c r="M603" s="123"/>
      <c r="N603" s="126"/>
    </row>
    <row r="604" spans="1:15" s="3" customFormat="1" ht="25.2">
      <c r="A604" s="125" t="s">
        <v>1891</v>
      </c>
      <c r="B604" s="123"/>
      <c r="C604" s="123"/>
      <c r="D604" s="123"/>
      <c r="E604" s="123"/>
      <c r="F604" s="167" t="s">
        <v>1892</v>
      </c>
      <c r="G604" s="123"/>
      <c r="H604" s="123"/>
      <c r="I604" s="123"/>
      <c r="J604" s="123"/>
      <c r="K604" s="123"/>
      <c r="L604" s="123"/>
      <c r="M604" s="123"/>
      <c r="N604" s="126"/>
    </row>
    <row r="605" spans="1:15" s="4" customFormat="1" ht="25.2">
      <c r="A605" s="125" t="s">
        <v>1893</v>
      </c>
      <c r="B605" s="123"/>
      <c r="C605" s="123"/>
      <c r="D605" s="123"/>
      <c r="E605" s="123"/>
      <c r="F605" s="167" t="s">
        <v>1894</v>
      </c>
      <c r="G605" s="123"/>
      <c r="H605" s="123"/>
      <c r="I605" s="123"/>
      <c r="J605" s="123"/>
      <c r="K605" s="123"/>
      <c r="L605" s="123"/>
      <c r="M605" s="123"/>
      <c r="N605" s="126"/>
    </row>
    <row r="606" spans="1:15" s="3" customFormat="1" ht="9.9" customHeight="1">
      <c r="A606" s="125"/>
      <c r="B606" s="123"/>
      <c r="C606" s="123"/>
      <c r="D606" s="123"/>
      <c r="E606" s="123"/>
      <c r="F606" s="167"/>
      <c r="G606" s="123"/>
      <c r="H606" s="123"/>
      <c r="I606" s="123"/>
      <c r="J606" s="123"/>
      <c r="K606" s="123"/>
      <c r="L606" s="123"/>
      <c r="M606" s="123"/>
      <c r="N606" s="126"/>
    </row>
    <row r="607" spans="1:15" s="3" customFormat="1" ht="25.2">
      <c r="A607" s="125" t="s">
        <v>1895</v>
      </c>
      <c r="B607" s="123"/>
      <c r="C607" s="123"/>
      <c r="D607" s="123"/>
      <c r="E607" s="123"/>
      <c r="F607" s="167" t="s">
        <v>1896</v>
      </c>
      <c r="G607" s="167" t="str">
        <f>PL!$V$8</f>
        <v>PGU-DE-0139-001</v>
      </c>
      <c r="H607" s="123"/>
      <c r="I607" s="123"/>
      <c r="J607" s="123"/>
      <c r="K607" s="123"/>
      <c r="L607" s="123"/>
      <c r="M607" s="123"/>
      <c r="N607" s="126"/>
    </row>
    <row r="608" spans="1:15" s="3" customFormat="1" ht="25.2">
      <c r="A608" s="125" t="s">
        <v>1897</v>
      </c>
      <c r="B608" s="123"/>
      <c r="C608" s="123"/>
      <c r="D608" s="123"/>
      <c r="E608" s="123"/>
      <c r="F608" s="167"/>
      <c r="G608" s="123"/>
      <c r="H608" s="123"/>
      <c r="I608" s="123"/>
      <c r="J608" s="123"/>
      <c r="K608" s="123"/>
      <c r="L608" s="123"/>
      <c r="M608" s="123"/>
      <c r="N608" s="126"/>
    </row>
    <row r="609" spans="1:14" s="3" customFormat="1" ht="9.9" customHeight="1">
      <c r="A609" s="125"/>
      <c r="B609" s="123"/>
      <c r="C609" s="123"/>
      <c r="D609" s="123"/>
      <c r="E609" s="123"/>
      <c r="F609" s="167"/>
      <c r="G609" s="123"/>
      <c r="H609" s="123"/>
      <c r="I609" s="123"/>
      <c r="J609" s="123"/>
      <c r="K609" s="123"/>
      <c r="L609" s="123"/>
      <c r="M609" s="123"/>
      <c r="N609" s="126"/>
    </row>
    <row r="610" spans="1:14" s="3" customFormat="1" ht="31.2" customHeight="1">
      <c r="A610" s="127" t="s">
        <v>1898</v>
      </c>
      <c r="B610" s="170"/>
      <c r="C610" s="170"/>
      <c r="D610" s="170"/>
      <c r="E610" s="170"/>
      <c r="F610" s="171" t="s">
        <v>1885</v>
      </c>
      <c r="G610" s="597" t="e">
        <f>VLOOKUP(G613, 'Detail PL'!$B$14:$Q$799,2)</f>
        <v>#N/A</v>
      </c>
      <c r="H610" s="597"/>
      <c r="I610" s="597"/>
      <c r="J610" s="597"/>
      <c r="K610" s="597"/>
      <c r="L610" s="597"/>
      <c r="M610" s="597"/>
      <c r="N610" s="128"/>
    </row>
    <row r="611" spans="1:14" s="3" customFormat="1" ht="25.2">
      <c r="A611" s="127" t="s">
        <v>1899</v>
      </c>
      <c r="B611" s="170"/>
      <c r="C611" s="170"/>
      <c r="D611" s="170"/>
      <c r="E611" s="170"/>
      <c r="F611" s="171"/>
      <c r="G611" s="170"/>
      <c r="H611" s="170"/>
      <c r="I611" s="170"/>
      <c r="J611" s="170"/>
      <c r="K611" s="170"/>
      <c r="L611" s="170"/>
      <c r="M611" s="170"/>
      <c r="N611" s="128"/>
    </row>
    <row r="612" spans="1:14" s="3" customFormat="1" ht="9.9" customHeight="1">
      <c r="A612" s="125"/>
      <c r="B612" s="123"/>
      <c r="C612" s="123"/>
      <c r="D612" s="123"/>
      <c r="E612" s="123"/>
      <c r="F612" s="167"/>
      <c r="G612" s="123"/>
      <c r="H612" s="123"/>
      <c r="I612" s="123"/>
      <c r="J612" s="123"/>
      <c r="K612" s="123"/>
      <c r="L612" s="123"/>
      <c r="M612" s="123"/>
      <c r="N612" s="126"/>
    </row>
    <row r="613" spans="1:14" s="3" customFormat="1" ht="25.2">
      <c r="A613" s="125" t="s">
        <v>1900</v>
      </c>
      <c r="B613" s="123"/>
      <c r="C613" s="123"/>
      <c r="D613" s="123"/>
      <c r="E613" s="123"/>
      <c r="F613" s="171" t="s">
        <v>1901</v>
      </c>
      <c r="G613" s="604">
        <f t="shared" ref="G613" si="15">G578+1</f>
        <v>18</v>
      </c>
      <c r="H613" s="604"/>
      <c r="I613" s="604"/>
      <c r="J613" s="604"/>
      <c r="K613" s="604"/>
      <c r="L613" s="123"/>
      <c r="M613" s="123"/>
      <c r="N613" s="126"/>
    </row>
    <row r="614" spans="1:14" s="4" customFormat="1" ht="25.2">
      <c r="A614" s="125" t="s">
        <v>1903</v>
      </c>
      <c r="B614" s="123"/>
      <c r="C614" s="123"/>
      <c r="D614" s="123"/>
      <c r="E614" s="123"/>
      <c r="F614" s="167"/>
      <c r="G614" s="167"/>
      <c r="H614" s="123"/>
      <c r="I614" s="123"/>
      <c r="J614" s="123"/>
      <c r="K614" s="123"/>
      <c r="L614" s="123"/>
      <c r="M614" s="123"/>
      <c r="N614" s="126"/>
    </row>
    <row r="615" spans="1:14" s="3" customFormat="1" ht="9.9" customHeight="1">
      <c r="A615" s="125"/>
      <c r="B615" s="123"/>
      <c r="C615" s="123"/>
      <c r="D615" s="123"/>
      <c r="E615" s="123"/>
      <c r="F615" s="167"/>
      <c r="G615" s="167"/>
      <c r="H615" s="123"/>
      <c r="I615" s="123"/>
      <c r="J615" s="123"/>
      <c r="K615" s="123"/>
      <c r="L615" s="123"/>
      <c r="M615" s="123"/>
      <c r="N615" s="126"/>
    </row>
    <row r="616" spans="1:14" s="3" customFormat="1" ht="25.2">
      <c r="A616" s="125" t="s">
        <v>1904</v>
      </c>
      <c r="B616" s="123"/>
      <c r="C616" s="123"/>
      <c r="D616" s="123"/>
      <c r="E616" s="123"/>
      <c r="F616" s="167" t="s">
        <v>1896</v>
      </c>
      <c r="G616" s="204" t="e">
        <f>VLOOKUP(G613, 'Detail PL'!$B$14:$Q$799, 10)</f>
        <v>#N/A</v>
      </c>
      <c r="H616" s="204" t="s">
        <v>1905</v>
      </c>
      <c r="I616" s="204"/>
      <c r="J616" s="204"/>
      <c r="K616" s="123"/>
      <c r="L616" s="123"/>
      <c r="M616" s="123"/>
      <c r="N616" s="126"/>
    </row>
    <row r="617" spans="1:14" s="4" customFormat="1" ht="25.2">
      <c r="A617" s="125" t="s">
        <v>1906</v>
      </c>
      <c r="B617" s="123"/>
      <c r="C617" s="123"/>
      <c r="D617" s="123"/>
      <c r="E617" s="123"/>
      <c r="F617" s="167"/>
      <c r="G617" s="167"/>
      <c r="H617" s="167"/>
      <c r="I617" s="123"/>
      <c r="J617" s="123"/>
      <c r="K617" s="123"/>
      <c r="L617" s="123"/>
      <c r="M617" s="123"/>
      <c r="N617" s="126"/>
    </row>
    <row r="618" spans="1:14" s="3" customFormat="1" ht="9.9" customHeight="1">
      <c r="A618" s="125"/>
      <c r="B618" s="123"/>
      <c r="C618" s="123"/>
      <c r="D618" s="123"/>
      <c r="E618" s="123"/>
      <c r="F618" s="167"/>
      <c r="G618" s="167"/>
      <c r="H618" s="167"/>
      <c r="I618" s="123"/>
      <c r="J618" s="123"/>
      <c r="K618" s="123"/>
      <c r="L618" s="123"/>
      <c r="M618" s="123"/>
      <c r="N618" s="126"/>
    </row>
    <row r="619" spans="1:14" s="3" customFormat="1" ht="25.2">
      <c r="A619" s="125" t="s">
        <v>1907</v>
      </c>
      <c r="B619" s="123"/>
      <c r="C619" s="123"/>
      <c r="D619" s="123"/>
      <c r="E619" s="123"/>
      <c r="F619" s="167" t="s">
        <v>1896</v>
      </c>
      <c r="G619" s="204" t="e">
        <f>VLOOKUP(G613, 'Detail PL'!$B$14:$Q$799, 11)</f>
        <v>#N/A</v>
      </c>
      <c r="H619" s="204" t="s">
        <v>1905</v>
      </c>
      <c r="I619" s="204"/>
      <c r="J619" s="204"/>
      <c r="K619" s="123"/>
      <c r="L619" s="123"/>
      <c r="M619" s="123"/>
      <c r="N619" s="126"/>
    </row>
    <row r="620" spans="1:14" s="4" customFormat="1" ht="25.2">
      <c r="A620" s="125" t="s">
        <v>1908</v>
      </c>
      <c r="B620" s="123"/>
      <c r="C620" s="123"/>
      <c r="D620" s="123"/>
      <c r="E620" s="123"/>
      <c r="F620" s="167"/>
      <c r="G620" s="167"/>
      <c r="H620" s="123"/>
      <c r="I620" s="123"/>
      <c r="J620" s="123"/>
      <c r="K620" s="123"/>
      <c r="L620" s="123"/>
      <c r="M620" s="123"/>
      <c r="N620" s="126"/>
    </row>
    <row r="621" spans="1:14" s="3" customFormat="1" ht="9.9" customHeight="1">
      <c r="A621" s="125"/>
      <c r="B621" s="123"/>
      <c r="C621" s="123"/>
      <c r="D621" s="123"/>
      <c r="E621" s="123"/>
      <c r="F621" s="167"/>
      <c r="G621" s="167"/>
      <c r="H621" s="123"/>
      <c r="I621" s="123"/>
      <c r="J621" s="123"/>
      <c r="K621" s="123"/>
      <c r="L621" s="123"/>
      <c r="M621" s="123"/>
      <c r="N621" s="126"/>
    </row>
    <row r="622" spans="1:14" s="3" customFormat="1" ht="25.2">
      <c r="A622" s="129" t="s">
        <v>1909</v>
      </c>
      <c r="B622" s="123"/>
      <c r="C622" s="123"/>
      <c r="D622" s="123"/>
      <c r="E622" s="123"/>
      <c r="F622" s="167" t="s">
        <v>1896</v>
      </c>
      <c r="G622" s="204" t="e">
        <f>VLOOKUP(G613, 'Detail PL'!$B$14:$Q$799, 9)</f>
        <v>#N/A</v>
      </c>
      <c r="H622" s="205" t="s">
        <v>1910</v>
      </c>
      <c r="I622" s="203"/>
      <c r="J622" s="203"/>
      <c r="K622" s="172"/>
      <c r="L622" s="123"/>
      <c r="M622" s="123"/>
      <c r="N622" s="126"/>
    </row>
    <row r="623" spans="1:14" s="4" customFormat="1" ht="25.2">
      <c r="A623" s="125" t="s">
        <v>1911</v>
      </c>
      <c r="B623" s="123"/>
      <c r="C623" s="123"/>
      <c r="D623" s="123"/>
      <c r="E623" s="123"/>
      <c r="F623" s="167"/>
      <c r="G623" s="167"/>
      <c r="H623" s="123"/>
      <c r="I623" s="123"/>
      <c r="J623" s="123"/>
      <c r="K623" s="123"/>
      <c r="L623" s="123"/>
      <c r="M623" s="123"/>
      <c r="N623" s="126"/>
    </row>
    <row r="624" spans="1:14" s="3" customFormat="1" ht="9.9" customHeight="1">
      <c r="A624" s="125"/>
      <c r="B624" s="123"/>
      <c r="C624" s="123"/>
      <c r="D624" s="123"/>
      <c r="E624" s="123"/>
      <c r="F624" s="167"/>
      <c r="G624" s="167"/>
      <c r="H624" s="123"/>
      <c r="I624" s="123"/>
      <c r="J624" s="123"/>
      <c r="K624" s="123"/>
      <c r="L624" s="123"/>
      <c r="M624" s="123"/>
      <c r="N624" s="126"/>
    </row>
    <row r="625" spans="1:15" s="3" customFormat="1" ht="42" customHeight="1">
      <c r="A625" s="125" t="s">
        <v>1912</v>
      </c>
      <c r="B625" s="123"/>
      <c r="C625" s="123"/>
      <c r="D625" s="123"/>
      <c r="E625" s="123"/>
      <c r="F625" s="166" t="s">
        <v>1913</v>
      </c>
      <c r="G625" s="595" t="s">
        <v>1914</v>
      </c>
      <c r="H625" s="595"/>
      <c r="I625" s="595"/>
      <c r="J625" s="595"/>
      <c r="K625" s="595"/>
      <c r="L625" s="595"/>
      <c r="M625" s="595"/>
      <c r="N625" s="596"/>
    </row>
    <row r="626" spans="1:15" s="4" customFormat="1" ht="25.8" thickBot="1">
      <c r="A626" s="125" t="s">
        <v>1915</v>
      </c>
      <c r="B626" s="123"/>
      <c r="C626" s="123"/>
      <c r="D626" s="123"/>
      <c r="E626" s="123"/>
      <c r="F626" s="167"/>
      <c r="G626" s="167"/>
      <c r="H626" s="123"/>
      <c r="I626" s="123"/>
      <c r="J626" s="123"/>
      <c r="K626" s="123"/>
      <c r="L626" s="123"/>
      <c r="M626" s="123"/>
      <c r="N626" s="126"/>
    </row>
    <row r="627" spans="1:15" ht="21" customHeight="1">
      <c r="A627" s="598" t="s">
        <v>1916</v>
      </c>
      <c r="B627" s="599"/>
      <c r="C627" s="599"/>
      <c r="D627" s="599"/>
      <c r="E627" s="599"/>
      <c r="F627" s="599"/>
      <c r="G627" s="599"/>
      <c r="H627" s="599"/>
      <c r="I627" s="599"/>
      <c r="J627" s="599"/>
      <c r="K627" s="599"/>
      <c r="L627" s="599"/>
      <c r="M627" s="599"/>
      <c r="N627" s="600"/>
    </row>
    <row r="628" spans="1:15" ht="25.5" customHeight="1" thickBot="1">
      <c r="A628" s="601"/>
      <c r="B628" s="602"/>
      <c r="C628" s="602"/>
      <c r="D628" s="602"/>
      <c r="E628" s="602"/>
      <c r="F628" s="602"/>
      <c r="G628" s="602"/>
      <c r="H628" s="602"/>
      <c r="I628" s="602"/>
      <c r="J628" s="602"/>
      <c r="K628" s="602"/>
      <c r="L628" s="602"/>
      <c r="M628" s="602"/>
      <c r="N628" s="603"/>
    </row>
    <row r="629" spans="1:15" ht="25.5" customHeight="1">
      <c r="E629" s="206"/>
      <c r="F629" s="206"/>
      <c r="G629" s="206"/>
      <c r="H629" s="206"/>
      <c r="I629" s="206"/>
      <c r="J629" s="206"/>
      <c r="K629" s="206"/>
    </row>
    <row r="630" spans="1:15" ht="21.6" thickBot="1"/>
    <row r="631" spans="1:15" ht="95.25" customHeight="1" thickBot="1">
      <c r="A631" s="592" t="s">
        <v>1883</v>
      </c>
      <c r="B631" s="593"/>
      <c r="C631" s="593"/>
      <c r="D631" s="593"/>
      <c r="E631" s="593"/>
      <c r="F631" s="593"/>
      <c r="G631" s="593"/>
      <c r="H631" s="593"/>
      <c r="I631" s="593"/>
      <c r="J631" s="593"/>
      <c r="K631" s="593"/>
      <c r="L631" s="593"/>
      <c r="M631" s="593"/>
      <c r="N631" s="594"/>
    </row>
    <row r="632" spans="1:15" s="3" customFormat="1" ht="37.5" customHeight="1">
      <c r="A632" s="134" t="s">
        <v>1884</v>
      </c>
      <c r="B632" s="166"/>
      <c r="C632" s="166"/>
      <c r="D632" s="123"/>
      <c r="E632" s="123"/>
      <c r="F632" s="167" t="s">
        <v>1885</v>
      </c>
      <c r="G632" s="167" t="s">
        <v>1886</v>
      </c>
      <c r="H632" s="167"/>
      <c r="I632" s="167"/>
      <c r="J632" s="167"/>
      <c r="K632" s="167"/>
      <c r="L632" s="167"/>
      <c r="M632" s="167"/>
      <c r="N632" s="152"/>
      <c r="O632" s="201"/>
    </row>
    <row r="633" spans="1:15" s="4" customFormat="1" ht="25.2">
      <c r="A633" s="125" t="s">
        <v>1887</v>
      </c>
      <c r="B633" s="123"/>
      <c r="C633" s="123"/>
      <c r="D633" s="123"/>
      <c r="E633" s="123"/>
      <c r="F633" s="167"/>
      <c r="G633" s="167" t="s">
        <v>1888</v>
      </c>
      <c r="H633" s="167"/>
      <c r="I633" s="167"/>
      <c r="J633" s="167"/>
      <c r="K633" s="167"/>
      <c r="L633" s="167"/>
      <c r="M633" s="167"/>
      <c r="N633" s="152"/>
    </row>
    <row r="634" spans="1:15" s="3" customFormat="1" ht="9.9" customHeight="1">
      <c r="A634" s="125"/>
      <c r="B634" s="123"/>
      <c r="C634" s="123"/>
      <c r="D634" s="123"/>
      <c r="E634" s="123"/>
      <c r="F634" s="167"/>
      <c r="G634" s="123"/>
      <c r="H634" s="123"/>
      <c r="I634" s="123"/>
      <c r="J634" s="123"/>
      <c r="K634" s="123"/>
      <c r="L634" s="123"/>
      <c r="M634" s="123"/>
      <c r="N634" s="126"/>
    </row>
    <row r="635" spans="1:15" s="3" customFormat="1" ht="42.75" customHeight="1">
      <c r="A635" s="125" t="s">
        <v>1889</v>
      </c>
      <c r="B635" s="123"/>
      <c r="C635" s="123"/>
      <c r="D635" s="123"/>
      <c r="E635" s="123"/>
      <c r="F635" s="167" t="s">
        <v>1885</v>
      </c>
      <c r="G635" s="167" t="str">
        <f>PL!$B$13</f>
        <v>Branch of JSC "Doosan Enerbility" in the Turkestan region</v>
      </c>
      <c r="H635" s="123"/>
      <c r="I635" s="123"/>
      <c r="J635" s="123"/>
      <c r="K635" s="123"/>
      <c r="L635" s="123"/>
      <c r="M635" s="123"/>
      <c r="N635" s="126"/>
    </row>
    <row r="636" spans="1:15" s="3" customFormat="1" ht="24" customHeight="1">
      <c r="A636" s="125" t="s">
        <v>1890</v>
      </c>
      <c r="B636" s="123"/>
      <c r="C636" s="123"/>
      <c r="D636" s="123"/>
      <c r="E636" s="123"/>
      <c r="F636" s="168"/>
      <c r="G636" s="167" t="str">
        <f>PL!$B$14</f>
        <v>321 Tauke Khan Avenue, Turkestan region, Turkestan, Kazakhstan, 161200</v>
      </c>
      <c r="H636" s="123"/>
      <c r="I636" s="123"/>
      <c r="J636" s="123"/>
      <c r="K636" s="123"/>
      <c r="L636" s="123"/>
      <c r="M636" s="123"/>
      <c r="N636" s="126"/>
    </row>
    <row r="637" spans="1:15" s="4" customFormat="1" ht="25.2">
      <c r="A637" s="125"/>
      <c r="B637" s="123"/>
      <c r="C637" s="123"/>
      <c r="D637" s="123"/>
      <c r="E637" s="123"/>
      <c r="F637" s="168"/>
      <c r="G637" s="167" t="str">
        <f>PL!$B$15</f>
        <v>BIN: 230741006561</v>
      </c>
      <c r="H637" s="123"/>
      <c r="I637" s="123"/>
      <c r="J637" s="123"/>
      <c r="K637" s="123"/>
      <c r="L637" s="123"/>
      <c r="M637" s="123"/>
      <c r="N637" s="126"/>
    </row>
    <row r="638" spans="1:15" s="3" customFormat="1" ht="9.9" customHeight="1">
      <c r="A638" s="125"/>
      <c r="B638" s="123"/>
      <c r="C638" s="123"/>
      <c r="D638" s="123"/>
      <c r="E638" s="123"/>
      <c r="F638" s="169"/>
      <c r="G638" s="169"/>
      <c r="H638" s="123"/>
      <c r="I638" s="123"/>
      <c r="J638" s="123"/>
      <c r="K638" s="123"/>
      <c r="L638" s="123"/>
      <c r="M638" s="123"/>
      <c r="N638" s="126"/>
    </row>
    <row r="639" spans="1:15" s="3" customFormat="1" ht="25.2">
      <c r="A639" s="125" t="s">
        <v>1891</v>
      </c>
      <c r="B639" s="123"/>
      <c r="C639" s="123"/>
      <c r="D639" s="123"/>
      <c r="E639" s="123"/>
      <c r="F639" s="167" t="s">
        <v>1892</v>
      </c>
      <c r="G639" s="123"/>
      <c r="H639" s="123"/>
      <c r="I639" s="123"/>
      <c r="J639" s="123"/>
      <c r="K639" s="123"/>
      <c r="L639" s="123"/>
      <c r="M639" s="123"/>
      <c r="N639" s="126"/>
    </row>
    <row r="640" spans="1:15" s="4" customFormat="1" ht="25.2">
      <c r="A640" s="125" t="s">
        <v>1893</v>
      </c>
      <c r="B640" s="123"/>
      <c r="C640" s="123"/>
      <c r="D640" s="123"/>
      <c r="E640" s="123"/>
      <c r="F640" s="167" t="s">
        <v>1894</v>
      </c>
      <c r="G640" s="123"/>
      <c r="H640" s="123"/>
      <c r="I640" s="123"/>
      <c r="J640" s="123"/>
      <c r="K640" s="123"/>
      <c r="L640" s="123"/>
      <c r="M640" s="123"/>
      <c r="N640" s="126"/>
    </row>
    <row r="641" spans="1:14" s="3" customFormat="1" ht="9.9" customHeight="1">
      <c r="A641" s="125"/>
      <c r="B641" s="123"/>
      <c r="C641" s="123"/>
      <c r="D641" s="123"/>
      <c r="E641" s="123"/>
      <c r="F641" s="167"/>
      <c r="G641" s="123"/>
      <c r="H641" s="123"/>
      <c r="I641" s="123"/>
      <c r="J641" s="123"/>
      <c r="K641" s="123"/>
      <c r="L641" s="123"/>
      <c r="M641" s="123"/>
      <c r="N641" s="126"/>
    </row>
    <row r="642" spans="1:14" s="3" customFormat="1" ht="25.2">
      <c r="A642" s="125" t="s">
        <v>1895</v>
      </c>
      <c r="B642" s="123"/>
      <c r="C642" s="123"/>
      <c r="D642" s="123"/>
      <c r="E642" s="123"/>
      <c r="F642" s="167" t="s">
        <v>1896</v>
      </c>
      <c r="G642" s="167" t="str">
        <f>PL!$V$8</f>
        <v>PGU-DE-0139-001</v>
      </c>
      <c r="H642" s="123"/>
      <c r="I642" s="123"/>
      <c r="J642" s="123"/>
      <c r="K642" s="123"/>
      <c r="L642" s="123"/>
      <c r="M642" s="123"/>
      <c r="N642" s="126"/>
    </row>
    <row r="643" spans="1:14" s="3" customFormat="1" ht="25.2">
      <c r="A643" s="125" t="s">
        <v>1897</v>
      </c>
      <c r="B643" s="123"/>
      <c r="C643" s="123"/>
      <c r="D643" s="123"/>
      <c r="E643" s="123"/>
      <c r="F643" s="167"/>
      <c r="G643" s="123"/>
      <c r="H643" s="123"/>
      <c r="I643" s="123"/>
      <c r="J643" s="123"/>
      <c r="K643" s="123"/>
      <c r="L643" s="123"/>
      <c r="M643" s="123"/>
      <c r="N643" s="126"/>
    </row>
    <row r="644" spans="1:14" s="3" customFormat="1" ht="9.9" customHeight="1">
      <c r="A644" s="125"/>
      <c r="B644" s="123"/>
      <c r="C644" s="123"/>
      <c r="D644" s="123"/>
      <c r="E644" s="123"/>
      <c r="F644" s="167"/>
      <c r="G644" s="123"/>
      <c r="H644" s="123"/>
      <c r="I644" s="123"/>
      <c r="J644" s="123"/>
      <c r="K644" s="123"/>
      <c r="L644" s="123"/>
      <c r="M644" s="123"/>
      <c r="N644" s="126"/>
    </row>
    <row r="645" spans="1:14" s="3" customFormat="1" ht="31.2" customHeight="1">
      <c r="A645" s="127" t="s">
        <v>1898</v>
      </c>
      <c r="B645" s="170"/>
      <c r="C645" s="170"/>
      <c r="D645" s="170"/>
      <c r="E645" s="170"/>
      <c r="F645" s="171" t="s">
        <v>1885</v>
      </c>
      <c r="G645" s="597" t="e">
        <f>VLOOKUP(G648, 'Detail PL'!$B$14:$Q$799,2)</f>
        <v>#N/A</v>
      </c>
      <c r="H645" s="597"/>
      <c r="I645" s="597"/>
      <c r="J645" s="597"/>
      <c r="K645" s="597"/>
      <c r="L645" s="597"/>
      <c r="M645" s="597"/>
      <c r="N645" s="128"/>
    </row>
    <row r="646" spans="1:14" s="3" customFormat="1" ht="25.2">
      <c r="A646" s="127" t="s">
        <v>1899</v>
      </c>
      <c r="B646" s="170"/>
      <c r="C646" s="170"/>
      <c r="D646" s="170"/>
      <c r="E646" s="170"/>
      <c r="F646" s="171"/>
      <c r="G646" s="170"/>
      <c r="H646" s="170"/>
      <c r="I646" s="170"/>
      <c r="J646" s="170"/>
      <c r="K646" s="170"/>
      <c r="L646" s="170"/>
      <c r="M646" s="170"/>
      <c r="N646" s="128"/>
    </row>
    <row r="647" spans="1:14" s="3" customFormat="1" ht="9.9" customHeight="1">
      <c r="A647" s="125"/>
      <c r="B647" s="123"/>
      <c r="C647" s="123"/>
      <c r="D647" s="123"/>
      <c r="E647" s="123"/>
      <c r="F647" s="167"/>
      <c r="G647" s="123"/>
      <c r="H647" s="123"/>
      <c r="I647" s="123"/>
      <c r="J647" s="123"/>
      <c r="K647" s="123"/>
      <c r="L647" s="123"/>
      <c r="M647" s="123"/>
      <c r="N647" s="126"/>
    </row>
    <row r="648" spans="1:14" s="3" customFormat="1" ht="25.2">
      <c r="A648" s="125" t="s">
        <v>1900</v>
      </c>
      <c r="B648" s="123"/>
      <c r="C648" s="123"/>
      <c r="D648" s="123"/>
      <c r="E648" s="123"/>
      <c r="F648" s="171" t="s">
        <v>1901</v>
      </c>
      <c r="G648" s="604">
        <f t="shared" ref="G648" si="16">G613+1</f>
        <v>19</v>
      </c>
      <c r="H648" s="604"/>
      <c r="I648" s="604"/>
      <c r="J648" s="604"/>
      <c r="K648" s="604"/>
      <c r="L648" s="123"/>
      <c r="M648" s="123"/>
      <c r="N648" s="126"/>
    </row>
    <row r="649" spans="1:14" s="4" customFormat="1" ht="25.2">
      <c r="A649" s="125" t="s">
        <v>1903</v>
      </c>
      <c r="B649" s="123"/>
      <c r="C649" s="123"/>
      <c r="D649" s="123"/>
      <c r="E649" s="123"/>
      <c r="F649" s="167"/>
      <c r="G649" s="167"/>
      <c r="H649" s="123"/>
      <c r="I649" s="123"/>
      <c r="J649" s="123"/>
      <c r="K649" s="123"/>
      <c r="L649" s="123"/>
      <c r="M649" s="123"/>
      <c r="N649" s="126"/>
    </row>
    <row r="650" spans="1:14" s="3" customFormat="1" ht="9.9" customHeight="1">
      <c r="A650" s="125"/>
      <c r="B650" s="123"/>
      <c r="C650" s="123"/>
      <c r="D650" s="123"/>
      <c r="E650" s="123"/>
      <c r="F650" s="167"/>
      <c r="G650" s="167"/>
      <c r="H650" s="123"/>
      <c r="I650" s="123"/>
      <c r="J650" s="123"/>
      <c r="K650" s="123"/>
      <c r="L650" s="123"/>
      <c r="M650" s="123"/>
      <c r="N650" s="126"/>
    </row>
    <row r="651" spans="1:14" s="3" customFormat="1" ht="25.2">
      <c r="A651" s="125" t="s">
        <v>1904</v>
      </c>
      <c r="B651" s="123"/>
      <c r="C651" s="123"/>
      <c r="D651" s="123"/>
      <c r="E651" s="123"/>
      <c r="F651" s="167" t="s">
        <v>1896</v>
      </c>
      <c r="G651" s="204" t="e">
        <f>VLOOKUP(G648, 'Detail PL'!$B$14:$Q$799, 10)</f>
        <v>#N/A</v>
      </c>
      <c r="H651" s="204" t="s">
        <v>1905</v>
      </c>
      <c r="I651" s="204"/>
      <c r="J651" s="204"/>
      <c r="K651" s="123"/>
      <c r="L651" s="123"/>
      <c r="M651" s="123"/>
      <c r="N651" s="126"/>
    </row>
    <row r="652" spans="1:14" s="4" customFormat="1" ht="25.2">
      <c r="A652" s="125" t="s">
        <v>1906</v>
      </c>
      <c r="B652" s="123"/>
      <c r="C652" s="123"/>
      <c r="D652" s="123"/>
      <c r="E652" s="123"/>
      <c r="F652" s="167"/>
      <c r="G652" s="167"/>
      <c r="H652" s="167"/>
      <c r="I652" s="123"/>
      <c r="J652" s="123"/>
      <c r="K652" s="123"/>
      <c r="L652" s="123"/>
      <c r="M652" s="123"/>
      <c r="N652" s="126"/>
    </row>
    <row r="653" spans="1:14" s="3" customFormat="1" ht="9.9" customHeight="1">
      <c r="A653" s="125"/>
      <c r="B653" s="123"/>
      <c r="C653" s="123"/>
      <c r="D653" s="123"/>
      <c r="E653" s="123"/>
      <c r="F653" s="167"/>
      <c r="G653" s="167"/>
      <c r="H653" s="167"/>
      <c r="I653" s="123"/>
      <c r="J653" s="123"/>
      <c r="K653" s="123"/>
      <c r="L653" s="123"/>
      <c r="M653" s="123"/>
      <c r="N653" s="126"/>
    </row>
    <row r="654" spans="1:14" s="3" customFormat="1" ht="25.2">
      <c r="A654" s="125" t="s">
        <v>1907</v>
      </c>
      <c r="B654" s="123"/>
      <c r="C654" s="123"/>
      <c r="D654" s="123"/>
      <c r="E654" s="123"/>
      <c r="F654" s="167" t="s">
        <v>1896</v>
      </c>
      <c r="G654" s="204" t="e">
        <f>VLOOKUP(G648, 'Detail PL'!$B$14:$Q$799, 11)</f>
        <v>#N/A</v>
      </c>
      <c r="H654" s="204" t="s">
        <v>1905</v>
      </c>
      <c r="I654" s="204"/>
      <c r="J654" s="204"/>
      <c r="K654" s="123"/>
      <c r="L654" s="123"/>
      <c r="M654" s="123"/>
      <c r="N654" s="126"/>
    </row>
    <row r="655" spans="1:14" s="4" customFormat="1" ht="25.2">
      <c r="A655" s="125" t="s">
        <v>1908</v>
      </c>
      <c r="B655" s="123"/>
      <c r="C655" s="123"/>
      <c r="D655" s="123"/>
      <c r="E655" s="123"/>
      <c r="F655" s="167"/>
      <c r="G655" s="167"/>
      <c r="H655" s="123"/>
      <c r="I655" s="123"/>
      <c r="J655" s="123"/>
      <c r="K655" s="123"/>
      <c r="L655" s="123"/>
      <c r="M655" s="123"/>
      <c r="N655" s="126"/>
    </row>
    <row r="656" spans="1:14" s="3" customFormat="1" ht="9.9" customHeight="1">
      <c r="A656" s="125"/>
      <c r="B656" s="123"/>
      <c r="C656" s="123"/>
      <c r="D656" s="123"/>
      <c r="E656" s="123"/>
      <c r="F656" s="167"/>
      <c r="G656" s="167"/>
      <c r="H656" s="123"/>
      <c r="I656" s="123"/>
      <c r="J656" s="123"/>
      <c r="K656" s="123"/>
      <c r="L656" s="123"/>
      <c r="M656" s="123"/>
      <c r="N656" s="126"/>
    </row>
    <row r="657" spans="1:15" s="3" customFormat="1" ht="25.2">
      <c r="A657" s="129" t="s">
        <v>1909</v>
      </c>
      <c r="B657" s="123"/>
      <c r="C657" s="123"/>
      <c r="D657" s="123"/>
      <c r="E657" s="123"/>
      <c r="F657" s="167" t="s">
        <v>1896</v>
      </c>
      <c r="G657" s="204" t="e">
        <f>VLOOKUP(G648, 'Detail PL'!$B$14:$Q$799, 9)</f>
        <v>#N/A</v>
      </c>
      <c r="H657" s="205" t="s">
        <v>1910</v>
      </c>
      <c r="I657" s="203"/>
      <c r="J657" s="203"/>
      <c r="K657" s="172"/>
      <c r="L657" s="123"/>
      <c r="M657" s="123"/>
      <c r="N657" s="126"/>
    </row>
    <row r="658" spans="1:15" s="4" customFormat="1" ht="25.2">
      <c r="A658" s="125" t="s">
        <v>1911</v>
      </c>
      <c r="B658" s="123"/>
      <c r="C658" s="123"/>
      <c r="D658" s="123"/>
      <c r="E658" s="123"/>
      <c r="F658" s="167"/>
      <c r="G658" s="167"/>
      <c r="H658" s="123"/>
      <c r="I658" s="123"/>
      <c r="J658" s="123"/>
      <c r="K658" s="123"/>
      <c r="L658" s="123"/>
      <c r="M658" s="123"/>
      <c r="N658" s="126"/>
    </row>
    <row r="659" spans="1:15" s="3" customFormat="1" ht="9.9" customHeight="1">
      <c r="A659" s="125"/>
      <c r="B659" s="123"/>
      <c r="C659" s="123"/>
      <c r="D659" s="123"/>
      <c r="E659" s="123"/>
      <c r="F659" s="167"/>
      <c r="G659" s="167"/>
      <c r="H659" s="123"/>
      <c r="I659" s="123"/>
      <c r="J659" s="123"/>
      <c r="K659" s="123"/>
      <c r="L659" s="123"/>
      <c r="M659" s="123"/>
      <c r="N659" s="126"/>
    </row>
    <row r="660" spans="1:15" s="3" customFormat="1" ht="42" customHeight="1">
      <c r="A660" s="125" t="s">
        <v>1912</v>
      </c>
      <c r="B660" s="123"/>
      <c r="C660" s="123"/>
      <c r="D660" s="123"/>
      <c r="E660" s="123"/>
      <c r="F660" s="166" t="s">
        <v>1913</v>
      </c>
      <c r="G660" s="595" t="s">
        <v>1914</v>
      </c>
      <c r="H660" s="595"/>
      <c r="I660" s="595"/>
      <c r="J660" s="595"/>
      <c r="K660" s="595"/>
      <c r="L660" s="595"/>
      <c r="M660" s="595"/>
      <c r="N660" s="596"/>
    </row>
    <row r="661" spans="1:15" s="4" customFormat="1" ht="25.8" thickBot="1">
      <c r="A661" s="125" t="s">
        <v>1915</v>
      </c>
      <c r="B661" s="123"/>
      <c r="C661" s="123"/>
      <c r="D661" s="123"/>
      <c r="E661" s="123"/>
      <c r="F661" s="167"/>
      <c r="G661" s="167"/>
      <c r="H661" s="123"/>
      <c r="I661" s="123"/>
      <c r="J661" s="123"/>
      <c r="K661" s="123"/>
      <c r="L661" s="123"/>
      <c r="M661" s="123"/>
      <c r="N661" s="126"/>
    </row>
    <row r="662" spans="1:15" ht="21" customHeight="1">
      <c r="A662" s="598" t="s">
        <v>1916</v>
      </c>
      <c r="B662" s="599"/>
      <c r="C662" s="599"/>
      <c r="D662" s="599"/>
      <c r="E662" s="599"/>
      <c r="F662" s="599"/>
      <c r="G662" s="599"/>
      <c r="H662" s="599"/>
      <c r="I662" s="599"/>
      <c r="J662" s="599"/>
      <c r="K662" s="599"/>
      <c r="L662" s="599"/>
      <c r="M662" s="599"/>
      <c r="N662" s="600"/>
    </row>
    <row r="663" spans="1:15" ht="25.5" customHeight="1" thickBot="1">
      <c r="A663" s="601"/>
      <c r="B663" s="602"/>
      <c r="C663" s="602"/>
      <c r="D663" s="602"/>
      <c r="E663" s="602"/>
      <c r="F663" s="602"/>
      <c r="G663" s="602"/>
      <c r="H663" s="602"/>
      <c r="I663" s="602"/>
      <c r="J663" s="602"/>
      <c r="K663" s="602"/>
      <c r="L663" s="602"/>
      <c r="M663" s="602"/>
      <c r="N663" s="603"/>
    </row>
    <row r="664" spans="1:15" ht="25.5" customHeight="1">
      <c r="E664" s="206"/>
      <c r="F664" s="206"/>
      <c r="G664" s="206"/>
      <c r="H664" s="206"/>
      <c r="I664" s="206"/>
      <c r="J664" s="206"/>
      <c r="K664" s="206"/>
    </row>
    <row r="665" spans="1:15" ht="21.6" thickBot="1"/>
    <row r="666" spans="1:15" ht="95.25" customHeight="1" thickBot="1">
      <c r="A666" s="592" t="s">
        <v>1883</v>
      </c>
      <c r="B666" s="593"/>
      <c r="C666" s="593"/>
      <c r="D666" s="593"/>
      <c r="E666" s="593"/>
      <c r="F666" s="593"/>
      <c r="G666" s="593"/>
      <c r="H666" s="593"/>
      <c r="I666" s="593"/>
      <c r="J666" s="593"/>
      <c r="K666" s="593"/>
      <c r="L666" s="593"/>
      <c r="M666" s="593"/>
      <c r="N666" s="594"/>
    </row>
    <row r="667" spans="1:15" s="3" customFormat="1" ht="37.5" customHeight="1">
      <c r="A667" s="134" t="s">
        <v>1884</v>
      </c>
      <c r="B667" s="166"/>
      <c r="C667" s="166"/>
      <c r="D667" s="123"/>
      <c r="E667" s="123"/>
      <c r="F667" s="167" t="s">
        <v>1885</v>
      </c>
      <c r="G667" s="167" t="s">
        <v>1886</v>
      </c>
      <c r="H667" s="167"/>
      <c r="I667" s="167"/>
      <c r="J667" s="167"/>
      <c r="K667" s="167"/>
      <c r="L667" s="167"/>
      <c r="M667" s="167"/>
      <c r="N667" s="152"/>
      <c r="O667" s="201"/>
    </row>
    <row r="668" spans="1:15" s="4" customFormat="1" ht="25.2">
      <c r="A668" s="125" t="s">
        <v>1887</v>
      </c>
      <c r="B668" s="123"/>
      <c r="C668" s="123"/>
      <c r="D668" s="123"/>
      <c r="E668" s="123"/>
      <c r="F668" s="167"/>
      <c r="G668" s="167" t="s">
        <v>1888</v>
      </c>
      <c r="H668" s="167"/>
      <c r="I668" s="167"/>
      <c r="J668" s="167"/>
      <c r="K668" s="167"/>
      <c r="L668" s="167"/>
      <c r="M668" s="167"/>
      <c r="N668" s="152"/>
    </row>
    <row r="669" spans="1:15" s="3" customFormat="1" ht="9.9" customHeight="1">
      <c r="A669" s="125"/>
      <c r="B669" s="123"/>
      <c r="C669" s="123"/>
      <c r="D669" s="123"/>
      <c r="E669" s="123"/>
      <c r="F669" s="167"/>
      <c r="G669" s="123"/>
      <c r="H669" s="123"/>
      <c r="I669" s="123"/>
      <c r="J669" s="123"/>
      <c r="K669" s="123"/>
      <c r="L669" s="123"/>
      <c r="M669" s="123"/>
      <c r="N669" s="126"/>
    </row>
    <row r="670" spans="1:15" s="3" customFormat="1" ht="42.75" customHeight="1">
      <c r="A670" s="125" t="s">
        <v>1889</v>
      </c>
      <c r="B670" s="123"/>
      <c r="C670" s="123"/>
      <c r="D670" s="123"/>
      <c r="E670" s="123"/>
      <c r="F670" s="167" t="s">
        <v>1885</v>
      </c>
      <c r="G670" s="167" t="str">
        <f>PL!$B$13</f>
        <v>Branch of JSC "Doosan Enerbility" in the Turkestan region</v>
      </c>
      <c r="H670" s="123"/>
      <c r="I670" s="123"/>
      <c r="J670" s="123"/>
      <c r="K670" s="123"/>
      <c r="L670" s="123"/>
      <c r="M670" s="123"/>
      <c r="N670" s="126"/>
    </row>
    <row r="671" spans="1:15" s="3" customFormat="1" ht="24" customHeight="1">
      <c r="A671" s="125" t="s">
        <v>1890</v>
      </c>
      <c r="B671" s="123"/>
      <c r="C671" s="123"/>
      <c r="D671" s="123"/>
      <c r="E671" s="123"/>
      <c r="F671" s="168"/>
      <c r="G671" s="167" t="str">
        <f>PL!$B$14</f>
        <v>321 Tauke Khan Avenue, Turkestan region, Turkestan, Kazakhstan, 161200</v>
      </c>
      <c r="H671" s="123"/>
      <c r="I671" s="123"/>
      <c r="J671" s="123"/>
      <c r="K671" s="123"/>
      <c r="L671" s="123"/>
      <c r="M671" s="123"/>
      <c r="N671" s="126"/>
    </row>
    <row r="672" spans="1:15" s="4" customFormat="1" ht="25.2">
      <c r="A672" s="125"/>
      <c r="B672" s="123"/>
      <c r="C672" s="123"/>
      <c r="D672" s="123"/>
      <c r="E672" s="123"/>
      <c r="F672" s="168"/>
      <c r="G672" s="167" t="str">
        <f>PL!$B$15</f>
        <v>BIN: 230741006561</v>
      </c>
      <c r="H672" s="123"/>
      <c r="I672" s="123"/>
      <c r="J672" s="123"/>
      <c r="K672" s="123"/>
      <c r="L672" s="123"/>
      <c r="M672" s="123"/>
      <c r="N672" s="126"/>
    </row>
    <row r="673" spans="1:14" s="3" customFormat="1" ht="9.9" customHeight="1">
      <c r="A673" s="125"/>
      <c r="B673" s="123"/>
      <c r="C673" s="123"/>
      <c r="D673" s="123"/>
      <c r="E673" s="123"/>
      <c r="F673" s="169"/>
      <c r="G673" s="169"/>
      <c r="H673" s="123"/>
      <c r="I673" s="123"/>
      <c r="J673" s="123"/>
      <c r="K673" s="123"/>
      <c r="L673" s="123"/>
      <c r="M673" s="123"/>
      <c r="N673" s="126"/>
    </row>
    <row r="674" spans="1:14" s="3" customFormat="1" ht="25.2">
      <c r="A674" s="125" t="s">
        <v>1891</v>
      </c>
      <c r="B674" s="123"/>
      <c r="C674" s="123"/>
      <c r="D674" s="123"/>
      <c r="E674" s="123"/>
      <c r="F674" s="167" t="s">
        <v>1892</v>
      </c>
      <c r="G674" s="123"/>
      <c r="H674" s="123"/>
      <c r="I674" s="123"/>
      <c r="J674" s="123"/>
      <c r="K674" s="123"/>
      <c r="L674" s="123"/>
      <c r="M674" s="123"/>
      <c r="N674" s="126"/>
    </row>
    <row r="675" spans="1:14" s="4" customFormat="1" ht="25.2">
      <c r="A675" s="125" t="s">
        <v>1893</v>
      </c>
      <c r="B675" s="123"/>
      <c r="C675" s="123"/>
      <c r="D675" s="123"/>
      <c r="E675" s="123"/>
      <c r="F675" s="167" t="s">
        <v>1894</v>
      </c>
      <c r="G675" s="123"/>
      <c r="H675" s="123"/>
      <c r="I675" s="123"/>
      <c r="J675" s="123"/>
      <c r="K675" s="123"/>
      <c r="L675" s="123"/>
      <c r="M675" s="123"/>
      <c r="N675" s="126"/>
    </row>
    <row r="676" spans="1:14" s="3" customFormat="1" ht="9.9" customHeight="1">
      <c r="A676" s="125"/>
      <c r="B676" s="123"/>
      <c r="C676" s="123"/>
      <c r="D676" s="123"/>
      <c r="E676" s="123"/>
      <c r="F676" s="167"/>
      <c r="G676" s="123"/>
      <c r="H676" s="123"/>
      <c r="I676" s="123"/>
      <c r="J676" s="123"/>
      <c r="K676" s="123"/>
      <c r="L676" s="123"/>
      <c r="M676" s="123"/>
      <c r="N676" s="126"/>
    </row>
    <row r="677" spans="1:14" s="3" customFormat="1" ht="25.2">
      <c r="A677" s="125" t="s">
        <v>1895</v>
      </c>
      <c r="B677" s="123"/>
      <c r="C677" s="123"/>
      <c r="D677" s="123"/>
      <c r="E677" s="123"/>
      <c r="F677" s="167" t="s">
        <v>1896</v>
      </c>
      <c r="G677" s="167" t="str">
        <f>PL!$V$8</f>
        <v>PGU-DE-0139-001</v>
      </c>
      <c r="H677" s="123"/>
      <c r="I677" s="123"/>
      <c r="J677" s="123"/>
      <c r="K677" s="123"/>
      <c r="L677" s="123"/>
      <c r="M677" s="123"/>
      <c r="N677" s="126"/>
    </row>
    <row r="678" spans="1:14" s="3" customFormat="1" ht="25.2">
      <c r="A678" s="125" t="s">
        <v>1897</v>
      </c>
      <c r="B678" s="123"/>
      <c r="C678" s="123"/>
      <c r="D678" s="123"/>
      <c r="E678" s="123"/>
      <c r="F678" s="167"/>
      <c r="G678" s="123"/>
      <c r="H678" s="123"/>
      <c r="I678" s="123"/>
      <c r="J678" s="123"/>
      <c r="K678" s="123"/>
      <c r="L678" s="123"/>
      <c r="M678" s="123"/>
      <c r="N678" s="126"/>
    </row>
    <row r="679" spans="1:14" s="3" customFormat="1" ht="9.9" customHeight="1">
      <c r="A679" s="125"/>
      <c r="B679" s="123"/>
      <c r="C679" s="123"/>
      <c r="D679" s="123"/>
      <c r="E679" s="123"/>
      <c r="F679" s="167"/>
      <c r="G679" s="123"/>
      <c r="H679" s="123"/>
      <c r="I679" s="123"/>
      <c r="J679" s="123"/>
      <c r="K679" s="123"/>
      <c r="L679" s="123"/>
      <c r="M679" s="123"/>
      <c r="N679" s="126"/>
    </row>
    <row r="680" spans="1:14" s="3" customFormat="1" ht="31.2" customHeight="1">
      <c r="A680" s="127" t="s">
        <v>1898</v>
      </c>
      <c r="B680" s="170"/>
      <c r="C680" s="170"/>
      <c r="D680" s="170"/>
      <c r="E680" s="170"/>
      <c r="F680" s="171" t="s">
        <v>1885</v>
      </c>
      <c r="G680" s="597" t="e">
        <f>VLOOKUP(G683, 'Detail PL'!$B$14:$Q$799,2)</f>
        <v>#N/A</v>
      </c>
      <c r="H680" s="597"/>
      <c r="I680" s="597"/>
      <c r="J680" s="597"/>
      <c r="K680" s="597"/>
      <c r="L680" s="597"/>
      <c r="M680" s="597"/>
      <c r="N680" s="128"/>
    </row>
    <row r="681" spans="1:14" s="3" customFormat="1" ht="25.2">
      <c r="A681" s="127" t="s">
        <v>1899</v>
      </c>
      <c r="B681" s="170"/>
      <c r="C681" s="170"/>
      <c r="D681" s="170"/>
      <c r="E681" s="170"/>
      <c r="F681" s="171"/>
      <c r="G681" s="170"/>
      <c r="H681" s="170"/>
      <c r="I681" s="170"/>
      <c r="J681" s="170"/>
      <c r="K681" s="170"/>
      <c r="L681" s="170"/>
      <c r="M681" s="170"/>
      <c r="N681" s="128"/>
    </row>
    <row r="682" spans="1:14" s="3" customFormat="1" ht="9.9" customHeight="1">
      <c r="A682" s="125"/>
      <c r="B682" s="123"/>
      <c r="C682" s="123"/>
      <c r="D682" s="123"/>
      <c r="E682" s="123"/>
      <c r="F682" s="167"/>
      <c r="G682" s="123"/>
      <c r="H682" s="123"/>
      <c r="I682" s="123"/>
      <c r="J682" s="123"/>
      <c r="K682" s="123"/>
      <c r="L682" s="123"/>
      <c r="M682" s="123"/>
      <c r="N682" s="126"/>
    </row>
    <row r="683" spans="1:14" s="3" customFormat="1" ht="25.2">
      <c r="A683" s="125" t="s">
        <v>1900</v>
      </c>
      <c r="B683" s="123"/>
      <c r="C683" s="123"/>
      <c r="D683" s="123"/>
      <c r="E683" s="123"/>
      <c r="F683" s="171" t="s">
        <v>1901</v>
      </c>
      <c r="G683" s="604">
        <f t="shared" ref="G683" si="17">G648+1</f>
        <v>20</v>
      </c>
      <c r="H683" s="604"/>
      <c r="I683" s="604"/>
      <c r="J683" s="604"/>
      <c r="K683" s="604"/>
      <c r="L683" s="123"/>
      <c r="M683" s="123"/>
      <c r="N683" s="126"/>
    </row>
    <row r="684" spans="1:14" s="4" customFormat="1" ht="25.2">
      <c r="A684" s="125" t="s">
        <v>1903</v>
      </c>
      <c r="B684" s="123"/>
      <c r="C684" s="123"/>
      <c r="D684" s="123"/>
      <c r="E684" s="123"/>
      <c r="F684" s="167"/>
      <c r="G684" s="167"/>
      <c r="H684" s="123"/>
      <c r="I684" s="123"/>
      <c r="J684" s="123"/>
      <c r="K684" s="123"/>
      <c r="L684" s="123"/>
      <c r="M684" s="123"/>
      <c r="N684" s="126"/>
    </row>
    <row r="685" spans="1:14" s="3" customFormat="1" ht="9.9" customHeight="1">
      <c r="A685" s="125"/>
      <c r="B685" s="123"/>
      <c r="C685" s="123"/>
      <c r="D685" s="123"/>
      <c r="E685" s="123"/>
      <c r="F685" s="167"/>
      <c r="G685" s="167"/>
      <c r="H685" s="123"/>
      <c r="I685" s="123"/>
      <c r="J685" s="123"/>
      <c r="K685" s="123"/>
      <c r="L685" s="123"/>
      <c r="M685" s="123"/>
      <c r="N685" s="126"/>
    </row>
    <row r="686" spans="1:14" s="3" customFormat="1" ht="25.2">
      <c r="A686" s="125" t="s">
        <v>1904</v>
      </c>
      <c r="B686" s="123"/>
      <c r="C686" s="123"/>
      <c r="D686" s="123"/>
      <c r="E686" s="123"/>
      <c r="F686" s="167" t="s">
        <v>1896</v>
      </c>
      <c r="G686" s="204" t="e">
        <f>VLOOKUP(G683, 'Detail PL'!$B$14:$Q$799, 10)</f>
        <v>#N/A</v>
      </c>
      <c r="H686" s="204" t="s">
        <v>1905</v>
      </c>
      <c r="I686" s="204"/>
      <c r="J686" s="204"/>
      <c r="K686" s="123"/>
      <c r="L686" s="123"/>
      <c r="M686" s="123"/>
      <c r="N686" s="126"/>
    </row>
    <row r="687" spans="1:14" s="4" customFormat="1" ht="25.2">
      <c r="A687" s="125" t="s">
        <v>1906</v>
      </c>
      <c r="B687" s="123"/>
      <c r="C687" s="123"/>
      <c r="D687" s="123"/>
      <c r="E687" s="123"/>
      <c r="F687" s="167"/>
      <c r="G687" s="167"/>
      <c r="H687" s="167"/>
      <c r="I687" s="123"/>
      <c r="J687" s="123"/>
      <c r="K687" s="123"/>
      <c r="L687" s="123"/>
      <c r="M687" s="123"/>
      <c r="N687" s="126"/>
    </row>
    <row r="688" spans="1:14" s="3" customFormat="1" ht="9.9" customHeight="1">
      <c r="A688" s="125"/>
      <c r="B688" s="123"/>
      <c r="C688" s="123"/>
      <c r="D688" s="123"/>
      <c r="E688" s="123"/>
      <c r="F688" s="167"/>
      <c r="G688" s="167"/>
      <c r="H688" s="167"/>
      <c r="I688" s="123"/>
      <c r="J688" s="123"/>
      <c r="K688" s="123"/>
      <c r="L688" s="123"/>
      <c r="M688" s="123"/>
      <c r="N688" s="126"/>
    </row>
    <row r="689" spans="1:15" s="3" customFormat="1" ht="25.2">
      <c r="A689" s="125" t="s">
        <v>1907</v>
      </c>
      <c r="B689" s="123"/>
      <c r="C689" s="123"/>
      <c r="D689" s="123"/>
      <c r="E689" s="123"/>
      <c r="F689" s="167" t="s">
        <v>1896</v>
      </c>
      <c r="G689" s="204" t="e">
        <f>VLOOKUP(G683, 'Detail PL'!$B$14:$Q$799, 11)</f>
        <v>#N/A</v>
      </c>
      <c r="H689" s="204" t="s">
        <v>1905</v>
      </c>
      <c r="I689" s="204"/>
      <c r="J689" s="204"/>
      <c r="K689" s="123"/>
      <c r="L689" s="123"/>
      <c r="M689" s="123"/>
      <c r="N689" s="126"/>
    </row>
    <row r="690" spans="1:15" s="4" customFormat="1" ht="25.2">
      <c r="A690" s="125" t="s">
        <v>1908</v>
      </c>
      <c r="B690" s="123"/>
      <c r="C690" s="123"/>
      <c r="D690" s="123"/>
      <c r="E690" s="123"/>
      <c r="F690" s="167"/>
      <c r="G690" s="167"/>
      <c r="H690" s="123"/>
      <c r="I690" s="123"/>
      <c r="J690" s="123"/>
      <c r="K690" s="123"/>
      <c r="L690" s="123"/>
      <c r="M690" s="123"/>
      <c r="N690" s="126"/>
    </row>
    <row r="691" spans="1:15" s="3" customFormat="1" ht="9.9" customHeight="1">
      <c r="A691" s="125"/>
      <c r="B691" s="123"/>
      <c r="C691" s="123"/>
      <c r="D691" s="123"/>
      <c r="E691" s="123"/>
      <c r="F691" s="167"/>
      <c r="G691" s="167"/>
      <c r="H691" s="123"/>
      <c r="I691" s="123"/>
      <c r="J691" s="123"/>
      <c r="K691" s="123"/>
      <c r="L691" s="123"/>
      <c r="M691" s="123"/>
      <c r="N691" s="126"/>
    </row>
    <row r="692" spans="1:15" s="3" customFormat="1" ht="25.2">
      <c r="A692" s="129" t="s">
        <v>1909</v>
      </c>
      <c r="B692" s="123"/>
      <c r="C692" s="123"/>
      <c r="D692" s="123"/>
      <c r="E692" s="123"/>
      <c r="F692" s="167" t="s">
        <v>1896</v>
      </c>
      <c r="G692" s="204" t="e">
        <f>VLOOKUP(G683, 'Detail PL'!$B$14:$Q$799, 9)</f>
        <v>#N/A</v>
      </c>
      <c r="H692" s="205" t="s">
        <v>1910</v>
      </c>
      <c r="I692" s="203"/>
      <c r="J692" s="203"/>
      <c r="K692" s="172"/>
      <c r="L692" s="123"/>
      <c r="M692" s="123"/>
      <c r="N692" s="126"/>
    </row>
    <row r="693" spans="1:15" s="4" customFormat="1" ht="25.2">
      <c r="A693" s="125" t="s">
        <v>1911</v>
      </c>
      <c r="B693" s="123"/>
      <c r="C693" s="123"/>
      <c r="D693" s="123"/>
      <c r="E693" s="123"/>
      <c r="F693" s="167"/>
      <c r="G693" s="167"/>
      <c r="H693" s="123"/>
      <c r="I693" s="123"/>
      <c r="J693" s="123"/>
      <c r="K693" s="123"/>
      <c r="L693" s="123"/>
      <c r="M693" s="123"/>
      <c r="N693" s="126"/>
    </row>
    <row r="694" spans="1:15" s="3" customFormat="1" ht="9.9" customHeight="1">
      <c r="A694" s="125"/>
      <c r="B694" s="123"/>
      <c r="C694" s="123"/>
      <c r="D694" s="123"/>
      <c r="E694" s="123"/>
      <c r="F694" s="167"/>
      <c r="G694" s="167"/>
      <c r="H694" s="123"/>
      <c r="I694" s="123"/>
      <c r="J694" s="123"/>
      <c r="K694" s="123"/>
      <c r="L694" s="123"/>
      <c r="M694" s="123"/>
      <c r="N694" s="126"/>
    </row>
    <row r="695" spans="1:15" s="3" customFormat="1" ht="42" customHeight="1">
      <c r="A695" s="125" t="s">
        <v>1912</v>
      </c>
      <c r="B695" s="123"/>
      <c r="C695" s="123"/>
      <c r="D695" s="123"/>
      <c r="E695" s="123"/>
      <c r="F695" s="166" t="s">
        <v>1913</v>
      </c>
      <c r="G695" s="595" t="s">
        <v>1914</v>
      </c>
      <c r="H695" s="595"/>
      <c r="I695" s="595"/>
      <c r="J695" s="595"/>
      <c r="K695" s="595"/>
      <c r="L695" s="595"/>
      <c r="M695" s="595"/>
      <c r="N695" s="596"/>
    </row>
    <row r="696" spans="1:15" s="4" customFormat="1" ht="25.8" thickBot="1">
      <c r="A696" s="125" t="s">
        <v>1915</v>
      </c>
      <c r="B696" s="123"/>
      <c r="C696" s="123"/>
      <c r="D696" s="123"/>
      <c r="E696" s="123"/>
      <c r="F696" s="167"/>
      <c r="G696" s="167"/>
      <c r="H696" s="123"/>
      <c r="I696" s="123"/>
      <c r="J696" s="123"/>
      <c r="K696" s="123"/>
      <c r="L696" s="123"/>
      <c r="M696" s="123"/>
      <c r="N696" s="126"/>
    </row>
    <row r="697" spans="1:15" ht="21" customHeight="1">
      <c r="A697" s="598" t="s">
        <v>1916</v>
      </c>
      <c r="B697" s="599"/>
      <c r="C697" s="599"/>
      <c r="D697" s="599"/>
      <c r="E697" s="599"/>
      <c r="F697" s="599"/>
      <c r="G697" s="599"/>
      <c r="H697" s="599"/>
      <c r="I697" s="599"/>
      <c r="J697" s="599"/>
      <c r="K697" s="599"/>
      <c r="L697" s="599"/>
      <c r="M697" s="599"/>
      <c r="N697" s="600"/>
    </row>
    <row r="698" spans="1:15" ht="25.5" customHeight="1" thickBot="1">
      <c r="A698" s="601"/>
      <c r="B698" s="602"/>
      <c r="C698" s="602"/>
      <c r="D698" s="602"/>
      <c r="E698" s="602"/>
      <c r="F698" s="602"/>
      <c r="G698" s="602"/>
      <c r="H698" s="602"/>
      <c r="I698" s="602"/>
      <c r="J698" s="602"/>
      <c r="K698" s="602"/>
      <c r="L698" s="602"/>
      <c r="M698" s="602"/>
      <c r="N698" s="603"/>
    </row>
    <row r="699" spans="1:15" ht="25.5" customHeight="1">
      <c r="E699" s="206"/>
      <c r="F699" s="206"/>
      <c r="G699" s="206"/>
      <c r="H699" s="206"/>
      <c r="I699" s="206"/>
      <c r="J699" s="206"/>
      <c r="K699" s="206"/>
    </row>
    <row r="700" spans="1:15" ht="21.6" thickBot="1"/>
    <row r="701" spans="1:15" ht="95.25" customHeight="1" thickBot="1">
      <c r="A701" s="592" t="s">
        <v>1883</v>
      </c>
      <c r="B701" s="593"/>
      <c r="C701" s="593"/>
      <c r="D701" s="593"/>
      <c r="E701" s="593"/>
      <c r="F701" s="593"/>
      <c r="G701" s="593"/>
      <c r="H701" s="593"/>
      <c r="I701" s="593"/>
      <c r="J701" s="593"/>
      <c r="K701" s="593"/>
      <c r="L701" s="593"/>
      <c r="M701" s="593"/>
      <c r="N701" s="594"/>
    </row>
    <row r="702" spans="1:15" s="3" customFormat="1" ht="37.5" customHeight="1">
      <c r="A702" s="134" t="s">
        <v>1884</v>
      </c>
      <c r="B702" s="166"/>
      <c r="C702" s="166"/>
      <c r="D702" s="123"/>
      <c r="E702" s="123"/>
      <c r="F702" s="167" t="s">
        <v>1885</v>
      </c>
      <c r="G702" s="167" t="s">
        <v>1886</v>
      </c>
      <c r="H702" s="167"/>
      <c r="I702" s="167"/>
      <c r="J702" s="167"/>
      <c r="K702" s="167"/>
      <c r="L702" s="167"/>
      <c r="M702" s="167"/>
      <c r="N702" s="152"/>
      <c r="O702" s="201"/>
    </row>
    <row r="703" spans="1:15" s="4" customFormat="1" ht="25.2">
      <c r="A703" s="125" t="s">
        <v>1887</v>
      </c>
      <c r="B703" s="123"/>
      <c r="C703" s="123"/>
      <c r="D703" s="123"/>
      <c r="E703" s="123"/>
      <c r="F703" s="167"/>
      <c r="G703" s="167" t="s">
        <v>1888</v>
      </c>
      <c r="H703" s="167"/>
      <c r="I703" s="167"/>
      <c r="J703" s="167"/>
      <c r="K703" s="167"/>
      <c r="L703" s="167"/>
      <c r="M703" s="167"/>
      <c r="N703" s="152"/>
    </row>
    <row r="704" spans="1:15" s="3" customFormat="1" ht="9.9" customHeight="1">
      <c r="A704" s="125"/>
      <c r="B704" s="123"/>
      <c r="C704" s="123"/>
      <c r="D704" s="123"/>
      <c r="E704" s="123"/>
      <c r="F704" s="167"/>
      <c r="G704" s="123"/>
      <c r="H704" s="123"/>
      <c r="I704" s="123"/>
      <c r="J704" s="123"/>
      <c r="K704" s="123"/>
      <c r="L704" s="123"/>
      <c r="M704" s="123"/>
      <c r="N704" s="126"/>
    </row>
    <row r="705" spans="1:14" s="3" customFormat="1" ht="42.75" customHeight="1">
      <c r="A705" s="125" t="s">
        <v>1889</v>
      </c>
      <c r="B705" s="123"/>
      <c r="C705" s="123"/>
      <c r="D705" s="123"/>
      <c r="E705" s="123"/>
      <c r="F705" s="167" t="s">
        <v>1885</v>
      </c>
      <c r="G705" s="167" t="str">
        <f>PL!$B$13</f>
        <v>Branch of JSC "Doosan Enerbility" in the Turkestan region</v>
      </c>
      <c r="H705" s="123"/>
      <c r="I705" s="123"/>
      <c r="J705" s="123"/>
      <c r="K705" s="123"/>
      <c r="L705" s="123"/>
      <c r="M705" s="123"/>
      <c r="N705" s="126"/>
    </row>
    <row r="706" spans="1:14" s="3" customFormat="1" ht="24" customHeight="1">
      <c r="A706" s="125" t="s">
        <v>1890</v>
      </c>
      <c r="B706" s="123"/>
      <c r="C706" s="123"/>
      <c r="D706" s="123"/>
      <c r="E706" s="123"/>
      <c r="F706" s="168"/>
      <c r="G706" s="167" t="str">
        <f>PL!$B$14</f>
        <v>321 Tauke Khan Avenue, Turkestan region, Turkestan, Kazakhstan, 161200</v>
      </c>
      <c r="H706" s="123"/>
      <c r="I706" s="123"/>
      <c r="J706" s="123"/>
      <c r="K706" s="123"/>
      <c r="L706" s="123"/>
      <c r="M706" s="123"/>
      <c r="N706" s="126"/>
    </row>
    <row r="707" spans="1:14" s="4" customFormat="1" ht="25.2">
      <c r="A707" s="125"/>
      <c r="B707" s="123"/>
      <c r="C707" s="123"/>
      <c r="D707" s="123"/>
      <c r="E707" s="123"/>
      <c r="F707" s="168"/>
      <c r="G707" s="167" t="str">
        <f>PL!$B$15</f>
        <v>BIN: 230741006561</v>
      </c>
      <c r="H707" s="123"/>
      <c r="I707" s="123"/>
      <c r="J707" s="123"/>
      <c r="K707" s="123"/>
      <c r="L707" s="123"/>
      <c r="M707" s="123"/>
      <c r="N707" s="126"/>
    </row>
    <row r="708" spans="1:14" s="3" customFormat="1" ht="9.9" customHeight="1">
      <c r="A708" s="125"/>
      <c r="B708" s="123"/>
      <c r="C708" s="123"/>
      <c r="D708" s="123"/>
      <c r="E708" s="123"/>
      <c r="F708" s="169"/>
      <c r="G708" s="169"/>
      <c r="H708" s="123"/>
      <c r="I708" s="123"/>
      <c r="J708" s="123"/>
      <c r="K708" s="123"/>
      <c r="L708" s="123"/>
      <c r="M708" s="123"/>
      <c r="N708" s="126"/>
    </row>
    <row r="709" spans="1:14" s="3" customFormat="1" ht="25.2">
      <c r="A709" s="125" t="s">
        <v>1891</v>
      </c>
      <c r="B709" s="123"/>
      <c r="C709" s="123"/>
      <c r="D709" s="123"/>
      <c r="E709" s="123"/>
      <c r="F709" s="167" t="s">
        <v>1892</v>
      </c>
      <c r="G709" s="123"/>
      <c r="H709" s="123"/>
      <c r="I709" s="123"/>
      <c r="J709" s="123"/>
      <c r="K709" s="123"/>
      <c r="L709" s="123"/>
      <c r="M709" s="123"/>
      <c r="N709" s="126"/>
    </row>
    <row r="710" spans="1:14" s="4" customFormat="1" ht="25.2">
      <c r="A710" s="125" t="s">
        <v>1893</v>
      </c>
      <c r="B710" s="123"/>
      <c r="C710" s="123"/>
      <c r="D710" s="123"/>
      <c r="E710" s="123"/>
      <c r="F710" s="167" t="s">
        <v>1894</v>
      </c>
      <c r="G710" s="123"/>
      <c r="H710" s="123"/>
      <c r="I710" s="123"/>
      <c r="J710" s="123"/>
      <c r="K710" s="123"/>
      <c r="L710" s="123"/>
      <c r="M710" s="123"/>
      <c r="N710" s="126"/>
    </row>
    <row r="711" spans="1:14" s="3" customFormat="1" ht="9.9" customHeight="1">
      <c r="A711" s="125"/>
      <c r="B711" s="123"/>
      <c r="C711" s="123"/>
      <c r="D711" s="123"/>
      <c r="E711" s="123"/>
      <c r="F711" s="167"/>
      <c r="G711" s="123"/>
      <c r="H711" s="123"/>
      <c r="I711" s="123"/>
      <c r="J711" s="123"/>
      <c r="K711" s="123"/>
      <c r="L711" s="123"/>
      <c r="M711" s="123"/>
      <c r="N711" s="126"/>
    </row>
    <row r="712" spans="1:14" s="3" customFormat="1" ht="25.2">
      <c r="A712" s="125" t="s">
        <v>1895</v>
      </c>
      <c r="B712" s="123"/>
      <c r="C712" s="123"/>
      <c r="D712" s="123"/>
      <c r="E712" s="123"/>
      <c r="F712" s="167" t="s">
        <v>1896</v>
      </c>
      <c r="G712" s="167" t="str">
        <f>PL!$V$8</f>
        <v>PGU-DE-0139-001</v>
      </c>
      <c r="H712" s="123"/>
      <c r="I712" s="123"/>
      <c r="J712" s="123"/>
      <c r="K712" s="123"/>
      <c r="L712" s="123"/>
      <c r="M712" s="123"/>
      <c r="N712" s="126"/>
    </row>
    <row r="713" spans="1:14" s="3" customFormat="1" ht="25.2">
      <c r="A713" s="125" t="s">
        <v>1897</v>
      </c>
      <c r="B713" s="123"/>
      <c r="C713" s="123"/>
      <c r="D713" s="123"/>
      <c r="E713" s="123"/>
      <c r="F713" s="167"/>
      <c r="G713" s="123"/>
      <c r="H713" s="123"/>
      <c r="I713" s="123"/>
      <c r="J713" s="123"/>
      <c r="K713" s="123"/>
      <c r="L713" s="123"/>
      <c r="M713" s="123"/>
      <c r="N713" s="126"/>
    </row>
    <row r="714" spans="1:14" s="3" customFormat="1" ht="9.9" customHeight="1">
      <c r="A714" s="125"/>
      <c r="B714" s="123"/>
      <c r="C714" s="123"/>
      <c r="D714" s="123"/>
      <c r="E714" s="123"/>
      <c r="F714" s="167"/>
      <c r="G714" s="123"/>
      <c r="H714" s="123"/>
      <c r="I714" s="123"/>
      <c r="J714" s="123"/>
      <c r="K714" s="123"/>
      <c r="L714" s="123"/>
      <c r="M714" s="123"/>
      <c r="N714" s="126"/>
    </row>
    <row r="715" spans="1:14" s="3" customFormat="1" ht="31.2" customHeight="1">
      <c r="A715" s="127" t="s">
        <v>1898</v>
      </c>
      <c r="B715" s="170"/>
      <c r="C715" s="170"/>
      <c r="D715" s="170"/>
      <c r="E715" s="170"/>
      <c r="F715" s="171" t="s">
        <v>1885</v>
      </c>
      <c r="G715" s="597" t="e">
        <f>VLOOKUP(G718, 'Detail PL'!$B$14:$Q$799,2)</f>
        <v>#N/A</v>
      </c>
      <c r="H715" s="597"/>
      <c r="I715" s="597"/>
      <c r="J715" s="597"/>
      <c r="K715" s="597"/>
      <c r="L715" s="597"/>
      <c r="M715" s="597"/>
      <c r="N715" s="128"/>
    </row>
    <row r="716" spans="1:14" s="3" customFormat="1" ht="25.2">
      <c r="A716" s="127" t="s">
        <v>1899</v>
      </c>
      <c r="B716" s="170"/>
      <c r="C716" s="170"/>
      <c r="D716" s="170"/>
      <c r="E716" s="170"/>
      <c r="F716" s="171"/>
      <c r="G716" s="170"/>
      <c r="H716" s="170"/>
      <c r="I716" s="170"/>
      <c r="J716" s="170"/>
      <c r="K716" s="170"/>
      <c r="L716" s="170"/>
      <c r="M716" s="170"/>
      <c r="N716" s="128"/>
    </row>
    <row r="717" spans="1:14" s="3" customFormat="1" ht="9.9" customHeight="1">
      <c r="A717" s="125"/>
      <c r="B717" s="123"/>
      <c r="C717" s="123"/>
      <c r="D717" s="123"/>
      <c r="E717" s="123"/>
      <c r="F717" s="167"/>
      <c r="G717" s="123"/>
      <c r="H717" s="123"/>
      <c r="I717" s="123"/>
      <c r="J717" s="123"/>
      <c r="K717" s="123"/>
      <c r="L717" s="123"/>
      <c r="M717" s="123"/>
      <c r="N717" s="126"/>
    </row>
    <row r="718" spans="1:14" s="3" customFormat="1" ht="25.2">
      <c r="A718" s="125" t="s">
        <v>1900</v>
      </c>
      <c r="B718" s="123"/>
      <c r="C718" s="123"/>
      <c r="D718" s="123"/>
      <c r="E718" s="123"/>
      <c r="F718" s="171" t="s">
        <v>1901</v>
      </c>
      <c r="G718" s="604">
        <f t="shared" ref="G718" si="18">G683+1</f>
        <v>21</v>
      </c>
      <c r="H718" s="604"/>
      <c r="I718" s="604"/>
      <c r="J718" s="604"/>
      <c r="K718" s="604"/>
      <c r="L718" s="123"/>
      <c r="M718" s="123"/>
      <c r="N718" s="126"/>
    </row>
    <row r="719" spans="1:14" s="4" customFormat="1" ht="25.2">
      <c r="A719" s="125" t="s">
        <v>1903</v>
      </c>
      <c r="B719" s="123"/>
      <c r="C719" s="123"/>
      <c r="D719" s="123"/>
      <c r="E719" s="123"/>
      <c r="F719" s="167"/>
      <c r="G719" s="167"/>
      <c r="H719" s="123"/>
      <c r="I719" s="123"/>
      <c r="J719" s="123"/>
      <c r="K719" s="123"/>
      <c r="L719" s="123"/>
      <c r="M719" s="123"/>
      <c r="N719" s="126"/>
    </row>
    <row r="720" spans="1:14" s="3" customFormat="1" ht="9.9" customHeight="1">
      <c r="A720" s="125"/>
      <c r="B720" s="123"/>
      <c r="C720" s="123"/>
      <c r="D720" s="123"/>
      <c r="E720" s="123"/>
      <c r="F720" s="167"/>
      <c r="G720" s="167"/>
      <c r="H720" s="123"/>
      <c r="I720" s="123"/>
      <c r="J720" s="123"/>
      <c r="K720" s="123"/>
      <c r="L720" s="123"/>
      <c r="M720" s="123"/>
      <c r="N720" s="126"/>
    </row>
    <row r="721" spans="1:14" s="3" customFormat="1" ht="25.2">
      <c r="A721" s="125" t="s">
        <v>1904</v>
      </c>
      <c r="B721" s="123"/>
      <c r="C721" s="123"/>
      <c r="D721" s="123"/>
      <c r="E721" s="123"/>
      <c r="F721" s="167" t="s">
        <v>1896</v>
      </c>
      <c r="G721" s="204" t="e">
        <f>VLOOKUP(G718, 'Detail PL'!$B$14:$Q$799, 10)</f>
        <v>#N/A</v>
      </c>
      <c r="H721" s="204" t="s">
        <v>1905</v>
      </c>
      <c r="I721" s="204"/>
      <c r="J721" s="204"/>
      <c r="K721" s="123"/>
      <c r="L721" s="123"/>
      <c r="M721" s="123"/>
      <c r="N721" s="126"/>
    </row>
    <row r="722" spans="1:14" s="4" customFormat="1" ht="25.2">
      <c r="A722" s="125" t="s">
        <v>1906</v>
      </c>
      <c r="B722" s="123"/>
      <c r="C722" s="123"/>
      <c r="D722" s="123"/>
      <c r="E722" s="123"/>
      <c r="F722" s="167"/>
      <c r="G722" s="167"/>
      <c r="H722" s="167"/>
      <c r="I722" s="123"/>
      <c r="J722" s="123"/>
      <c r="K722" s="123"/>
      <c r="L722" s="123"/>
      <c r="M722" s="123"/>
      <c r="N722" s="126"/>
    </row>
    <row r="723" spans="1:14" s="3" customFormat="1" ht="9.9" customHeight="1">
      <c r="A723" s="125"/>
      <c r="B723" s="123"/>
      <c r="C723" s="123"/>
      <c r="D723" s="123"/>
      <c r="E723" s="123"/>
      <c r="F723" s="167"/>
      <c r="G723" s="167"/>
      <c r="H723" s="167"/>
      <c r="I723" s="123"/>
      <c r="J723" s="123"/>
      <c r="K723" s="123"/>
      <c r="L723" s="123"/>
      <c r="M723" s="123"/>
      <c r="N723" s="126"/>
    </row>
    <row r="724" spans="1:14" s="3" customFormat="1" ht="25.2">
      <c r="A724" s="125" t="s">
        <v>1907</v>
      </c>
      <c r="B724" s="123"/>
      <c r="C724" s="123"/>
      <c r="D724" s="123"/>
      <c r="E724" s="123"/>
      <c r="F724" s="167" t="s">
        <v>1896</v>
      </c>
      <c r="G724" s="204" t="e">
        <f>VLOOKUP(G718, 'Detail PL'!$B$14:$Q$799, 11)</f>
        <v>#N/A</v>
      </c>
      <c r="H724" s="204" t="s">
        <v>1905</v>
      </c>
      <c r="I724" s="204"/>
      <c r="J724" s="204"/>
      <c r="K724" s="123"/>
      <c r="L724" s="123"/>
      <c r="M724" s="123"/>
      <c r="N724" s="126"/>
    </row>
    <row r="725" spans="1:14" s="4" customFormat="1" ht="25.2">
      <c r="A725" s="125" t="s">
        <v>1908</v>
      </c>
      <c r="B725" s="123"/>
      <c r="C725" s="123"/>
      <c r="D725" s="123"/>
      <c r="E725" s="123"/>
      <c r="F725" s="167"/>
      <c r="G725" s="167"/>
      <c r="H725" s="123"/>
      <c r="I725" s="123"/>
      <c r="J725" s="123"/>
      <c r="K725" s="123"/>
      <c r="L725" s="123"/>
      <c r="M725" s="123"/>
      <c r="N725" s="126"/>
    </row>
    <row r="726" spans="1:14" s="3" customFormat="1" ht="9.9" customHeight="1">
      <c r="A726" s="125"/>
      <c r="B726" s="123"/>
      <c r="C726" s="123"/>
      <c r="D726" s="123"/>
      <c r="E726" s="123"/>
      <c r="F726" s="167"/>
      <c r="G726" s="167"/>
      <c r="H726" s="123"/>
      <c r="I726" s="123"/>
      <c r="J726" s="123"/>
      <c r="K726" s="123"/>
      <c r="L726" s="123"/>
      <c r="M726" s="123"/>
      <c r="N726" s="126"/>
    </row>
    <row r="727" spans="1:14" s="3" customFormat="1" ht="25.2">
      <c r="A727" s="129" t="s">
        <v>1909</v>
      </c>
      <c r="B727" s="123"/>
      <c r="C727" s="123"/>
      <c r="D727" s="123"/>
      <c r="E727" s="123"/>
      <c r="F727" s="167" t="s">
        <v>1896</v>
      </c>
      <c r="G727" s="204" t="e">
        <f>VLOOKUP(G718, 'Detail PL'!$B$14:$Q$799, 9)</f>
        <v>#N/A</v>
      </c>
      <c r="H727" s="205" t="s">
        <v>1910</v>
      </c>
      <c r="I727" s="203"/>
      <c r="J727" s="203"/>
      <c r="K727" s="172"/>
      <c r="L727" s="123"/>
      <c r="M727" s="123"/>
      <c r="N727" s="126"/>
    </row>
    <row r="728" spans="1:14" s="4" customFormat="1" ht="25.2">
      <c r="A728" s="125" t="s">
        <v>1911</v>
      </c>
      <c r="B728" s="123"/>
      <c r="C728" s="123"/>
      <c r="D728" s="123"/>
      <c r="E728" s="123"/>
      <c r="F728" s="167"/>
      <c r="G728" s="167"/>
      <c r="H728" s="123"/>
      <c r="I728" s="123"/>
      <c r="J728" s="123"/>
      <c r="K728" s="123"/>
      <c r="L728" s="123"/>
      <c r="M728" s="123"/>
      <c r="N728" s="126"/>
    </row>
    <row r="729" spans="1:14" s="3" customFormat="1" ht="9.9" customHeight="1">
      <c r="A729" s="125"/>
      <c r="B729" s="123"/>
      <c r="C729" s="123"/>
      <c r="D729" s="123"/>
      <c r="E729" s="123"/>
      <c r="F729" s="167"/>
      <c r="G729" s="167"/>
      <c r="H729" s="123"/>
      <c r="I729" s="123"/>
      <c r="J729" s="123"/>
      <c r="K729" s="123"/>
      <c r="L729" s="123"/>
      <c r="M729" s="123"/>
      <c r="N729" s="126"/>
    </row>
    <row r="730" spans="1:14" s="3" customFormat="1" ht="42" customHeight="1">
      <c r="A730" s="125" t="s">
        <v>1912</v>
      </c>
      <c r="B730" s="123"/>
      <c r="C730" s="123"/>
      <c r="D730" s="123"/>
      <c r="E730" s="123"/>
      <c r="F730" s="166" t="s">
        <v>1913</v>
      </c>
      <c r="G730" s="595" t="s">
        <v>1914</v>
      </c>
      <c r="H730" s="595"/>
      <c r="I730" s="595"/>
      <c r="J730" s="595"/>
      <c r="K730" s="595"/>
      <c r="L730" s="595"/>
      <c r="M730" s="595"/>
      <c r="N730" s="596"/>
    </row>
    <row r="731" spans="1:14" s="4" customFormat="1" ht="25.8" thickBot="1">
      <c r="A731" s="125" t="s">
        <v>1915</v>
      </c>
      <c r="B731" s="123"/>
      <c r="C731" s="123"/>
      <c r="D731" s="123"/>
      <c r="E731" s="123"/>
      <c r="F731" s="167"/>
      <c r="G731" s="167"/>
      <c r="H731" s="123"/>
      <c r="I731" s="123"/>
      <c r="J731" s="123"/>
      <c r="K731" s="123"/>
      <c r="L731" s="123"/>
      <c r="M731" s="123"/>
      <c r="N731" s="126"/>
    </row>
    <row r="732" spans="1:14" ht="21" customHeight="1">
      <c r="A732" s="598" t="s">
        <v>1916</v>
      </c>
      <c r="B732" s="599"/>
      <c r="C732" s="599"/>
      <c r="D732" s="599"/>
      <c r="E732" s="599"/>
      <c r="F732" s="599"/>
      <c r="G732" s="599"/>
      <c r="H732" s="599"/>
      <c r="I732" s="599"/>
      <c r="J732" s="599"/>
      <c r="K732" s="599"/>
      <c r="L732" s="599"/>
      <c r="M732" s="599"/>
      <c r="N732" s="600"/>
    </row>
    <row r="733" spans="1:14" ht="25.5" customHeight="1" thickBot="1">
      <c r="A733" s="601"/>
      <c r="B733" s="602"/>
      <c r="C733" s="602"/>
      <c r="D733" s="602"/>
      <c r="E733" s="602"/>
      <c r="F733" s="602"/>
      <c r="G733" s="602"/>
      <c r="H733" s="602"/>
      <c r="I733" s="602"/>
      <c r="J733" s="602"/>
      <c r="K733" s="602"/>
      <c r="L733" s="602"/>
      <c r="M733" s="602"/>
      <c r="N733" s="603"/>
    </row>
    <row r="734" spans="1:14" ht="25.5" customHeight="1">
      <c r="E734" s="206"/>
      <c r="F734" s="206"/>
      <c r="G734" s="206"/>
      <c r="H734" s="206"/>
      <c r="I734" s="206"/>
      <c r="J734" s="206"/>
      <c r="K734" s="206"/>
    </row>
    <row r="735" spans="1:14" ht="21.6" thickBot="1"/>
    <row r="736" spans="1:14" ht="95.25" customHeight="1" thickBot="1">
      <c r="A736" s="592" t="s">
        <v>1883</v>
      </c>
      <c r="B736" s="593"/>
      <c r="C736" s="593"/>
      <c r="D736" s="593"/>
      <c r="E736" s="593"/>
      <c r="F736" s="593"/>
      <c r="G736" s="593"/>
      <c r="H736" s="593"/>
      <c r="I736" s="593"/>
      <c r="J736" s="593"/>
      <c r="K736" s="593"/>
      <c r="L736" s="593"/>
      <c r="M736" s="593"/>
      <c r="N736" s="594"/>
    </row>
    <row r="737" spans="1:15" s="3" customFormat="1" ht="37.5" customHeight="1">
      <c r="A737" s="134" t="s">
        <v>1884</v>
      </c>
      <c r="B737" s="166"/>
      <c r="C737" s="166"/>
      <c r="D737" s="123"/>
      <c r="E737" s="123"/>
      <c r="F737" s="167" t="s">
        <v>1885</v>
      </c>
      <c r="G737" s="167" t="s">
        <v>1886</v>
      </c>
      <c r="H737" s="167"/>
      <c r="I737" s="167"/>
      <c r="J737" s="167"/>
      <c r="K737" s="167"/>
      <c r="L737" s="167"/>
      <c r="M737" s="167"/>
      <c r="N737" s="152"/>
      <c r="O737" s="201"/>
    </row>
    <row r="738" spans="1:15" s="4" customFormat="1" ht="25.2">
      <c r="A738" s="125" t="s">
        <v>1887</v>
      </c>
      <c r="B738" s="123"/>
      <c r="C738" s="123"/>
      <c r="D738" s="123"/>
      <c r="E738" s="123"/>
      <c r="F738" s="167"/>
      <c r="G738" s="167" t="s">
        <v>1888</v>
      </c>
      <c r="H738" s="167"/>
      <c r="I738" s="167"/>
      <c r="J738" s="167"/>
      <c r="K738" s="167"/>
      <c r="L738" s="167"/>
      <c r="M738" s="167"/>
      <c r="N738" s="152"/>
    </row>
    <row r="739" spans="1:15" s="3" customFormat="1" ht="9.9" customHeight="1">
      <c r="A739" s="125"/>
      <c r="B739" s="123"/>
      <c r="C739" s="123"/>
      <c r="D739" s="123"/>
      <c r="E739" s="123"/>
      <c r="F739" s="167"/>
      <c r="G739" s="123"/>
      <c r="H739" s="123"/>
      <c r="I739" s="123"/>
      <c r="J739" s="123"/>
      <c r="K739" s="123"/>
      <c r="L739" s="123"/>
      <c r="M739" s="123"/>
      <c r="N739" s="126"/>
    </row>
    <row r="740" spans="1:15" s="3" customFormat="1" ht="42.75" customHeight="1">
      <c r="A740" s="125" t="s">
        <v>1889</v>
      </c>
      <c r="B740" s="123"/>
      <c r="C740" s="123"/>
      <c r="D740" s="123"/>
      <c r="E740" s="123"/>
      <c r="F740" s="167" t="s">
        <v>1885</v>
      </c>
      <c r="G740" s="167" t="str">
        <f>PL!$B$13</f>
        <v>Branch of JSC "Doosan Enerbility" in the Turkestan region</v>
      </c>
      <c r="H740" s="123"/>
      <c r="I740" s="123"/>
      <c r="J740" s="123"/>
      <c r="K740" s="123"/>
      <c r="L740" s="123"/>
      <c r="M740" s="123"/>
      <c r="N740" s="126"/>
    </row>
    <row r="741" spans="1:15" s="3" customFormat="1" ht="24" customHeight="1">
      <c r="A741" s="125" t="s">
        <v>1890</v>
      </c>
      <c r="B741" s="123"/>
      <c r="C741" s="123"/>
      <c r="D741" s="123"/>
      <c r="E741" s="123"/>
      <c r="F741" s="168"/>
      <c r="G741" s="167" t="str">
        <f>PL!$B$14</f>
        <v>321 Tauke Khan Avenue, Turkestan region, Turkestan, Kazakhstan, 161200</v>
      </c>
      <c r="H741" s="123"/>
      <c r="I741" s="123"/>
      <c r="J741" s="123"/>
      <c r="K741" s="123"/>
      <c r="L741" s="123"/>
      <c r="M741" s="123"/>
      <c r="N741" s="126"/>
    </row>
    <row r="742" spans="1:15" s="4" customFormat="1" ht="25.2">
      <c r="A742" s="125"/>
      <c r="B742" s="123"/>
      <c r="C742" s="123"/>
      <c r="D742" s="123"/>
      <c r="E742" s="123"/>
      <c r="F742" s="168"/>
      <c r="G742" s="167" t="str">
        <f>PL!$B$15</f>
        <v>BIN: 230741006561</v>
      </c>
      <c r="H742" s="123"/>
      <c r="I742" s="123"/>
      <c r="J742" s="123"/>
      <c r="K742" s="123"/>
      <c r="L742" s="123"/>
      <c r="M742" s="123"/>
      <c r="N742" s="126"/>
    </row>
    <row r="743" spans="1:15" s="3" customFormat="1" ht="9.9" customHeight="1">
      <c r="A743" s="125"/>
      <c r="B743" s="123"/>
      <c r="C743" s="123"/>
      <c r="D743" s="123"/>
      <c r="E743" s="123"/>
      <c r="F743" s="169"/>
      <c r="G743" s="169"/>
      <c r="H743" s="123"/>
      <c r="I743" s="123"/>
      <c r="J743" s="123"/>
      <c r="K743" s="123"/>
      <c r="L743" s="123"/>
      <c r="M743" s="123"/>
      <c r="N743" s="126"/>
    </row>
    <row r="744" spans="1:15" s="3" customFormat="1" ht="25.2">
      <c r="A744" s="125" t="s">
        <v>1891</v>
      </c>
      <c r="B744" s="123"/>
      <c r="C744" s="123"/>
      <c r="D744" s="123"/>
      <c r="E744" s="123"/>
      <c r="F744" s="167" t="s">
        <v>1892</v>
      </c>
      <c r="G744" s="123"/>
      <c r="H744" s="123"/>
      <c r="I744" s="123"/>
      <c r="J744" s="123"/>
      <c r="K744" s="123"/>
      <c r="L744" s="123"/>
      <c r="M744" s="123"/>
      <c r="N744" s="126"/>
    </row>
    <row r="745" spans="1:15" s="4" customFormat="1" ht="25.2">
      <c r="A745" s="125" t="s">
        <v>1893</v>
      </c>
      <c r="B745" s="123"/>
      <c r="C745" s="123"/>
      <c r="D745" s="123"/>
      <c r="E745" s="123"/>
      <c r="F745" s="167" t="s">
        <v>1894</v>
      </c>
      <c r="G745" s="123"/>
      <c r="H745" s="123"/>
      <c r="I745" s="123"/>
      <c r="J745" s="123"/>
      <c r="K745" s="123"/>
      <c r="L745" s="123"/>
      <c r="M745" s="123"/>
      <c r="N745" s="126"/>
    </row>
    <row r="746" spans="1:15" s="3" customFormat="1" ht="9.9" customHeight="1">
      <c r="A746" s="125"/>
      <c r="B746" s="123"/>
      <c r="C746" s="123"/>
      <c r="D746" s="123"/>
      <c r="E746" s="123"/>
      <c r="F746" s="167"/>
      <c r="G746" s="123"/>
      <c r="H746" s="123"/>
      <c r="I746" s="123"/>
      <c r="J746" s="123"/>
      <c r="K746" s="123"/>
      <c r="L746" s="123"/>
      <c r="M746" s="123"/>
      <c r="N746" s="126"/>
    </row>
    <row r="747" spans="1:15" s="3" customFormat="1" ht="25.2">
      <c r="A747" s="125" t="s">
        <v>1895</v>
      </c>
      <c r="B747" s="123"/>
      <c r="C747" s="123"/>
      <c r="D747" s="123"/>
      <c r="E747" s="123"/>
      <c r="F747" s="167" t="s">
        <v>1896</v>
      </c>
      <c r="G747" s="167" t="str">
        <f>PL!$V$8</f>
        <v>PGU-DE-0139-001</v>
      </c>
      <c r="H747" s="123"/>
      <c r="I747" s="123"/>
      <c r="J747" s="123"/>
      <c r="K747" s="123"/>
      <c r="L747" s="123"/>
      <c r="M747" s="123"/>
      <c r="N747" s="126"/>
    </row>
    <row r="748" spans="1:15" s="3" customFormat="1" ht="25.2">
      <c r="A748" s="125" t="s">
        <v>1897</v>
      </c>
      <c r="B748" s="123"/>
      <c r="C748" s="123"/>
      <c r="D748" s="123"/>
      <c r="E748" s="123"/>
      <c r="F748" s="167"/>
      <c r="G748" s="123"/>
      <c r="H748" s="123"/>
      <c r="I748" s="123"/>
      <c r="J748" s="123"/>
      <c r="K748" s="123"/>
      <c r="L748" s="123"/>
      <c r="M748" s="123"/>
      <c r="N748" s="126"/>
    </row>
    <row r="749" spans="1:15" s="3" customFormat="1" ht="9.9" customHeight="1">
      <c r="A749" s="125"/>
      <c r="B749" s="123"/>
      <c r="C749" s="123"/>
      <c r="D749" s="123"/>
      <c r="E749" s="123"/>
      <c r="F749" s="167"/>
      <c r="G749" s="123"/>
      <c r="H749" s="123"/>
      <c r="I749" s="123"/>
      <c r="J749" s="123"/>
      <c r="K749" s="123"/>
      <c r="L749" s="123"/>
      <c r="M749" s="123"/>
      <c r="N749" s="126"/>
    </row>
    <row r="750" spans="1:15" s="3" customFormat="1" ht="31.2" customHeight="1">
      <c r="A750" s="127" t="s">
        <v>1898</v>
      </c>
      <c r="B750" s="170"/>
      <c r="C750" s="170"/>
      <c r="D750" s="170"/>
      <c r="E750" s="170"/>
      <c r="F750" s="171" t="s">
        <v>1885</v>
      </c>
      <c r="G750" s="597" t="e">
        <f>VLOOKUP(G753, 'Detail PL'!$B$14:$Q$799,2)</f>
        <v>#N/A</v>
      </c>
      <c r="H750" s="597"/>
      <c r="I750" s="597"/>
      <c r="J750" s="597"/>
      <c r="K750" s="597"/>
      <c r="L750" s="597"/>
      <c r="M750" s="597"/>
      <c r="N750" s="128"/>
    </row>
    <row r="751" spans="1:15" s="3" customFormat="1" ht="25.2">
      <c r="A751" s="127" t="s">
        <v>1899</v>
      </c>
      <c r="B751" s="170"/>
      <c r="C751" s="170"/>
      <c r="D751" s="170"/>
      <c r="E751" s="170"/>
      <c r="F751" s="171"/>
      <c r="G751" s="170"/>
      <c r="H751" s="170"/>
      <c r="I751" s="170"/>
      <c r="J751" s="170"/>
      <c r="K751" s="170"/>
      <c r="L751" s="170"/>
      <c r="M751" s="170"/>
      <c r="N751" s="128"/>
    </row>
    <row r="752" spans="1:15" s="3" customFormat="1" ht="9.9" customHeight="1">
      <c r="A752" s="125"/>
      <c r="B752" s="123"/>
      <c r="C752" s="123"/>
      <c r="D752" s="123"/>
      <c r="E752" s="123"/>
      <c r="F752" s="167"/>
      <c r="G752" s="123"/>
      <c r="H752" s="123"/>
      <c r="I752" s="123"/>
      <c r="J752" s="123"/>
      <c r="K752" s="123"/>
      <c r="L752" s="123"/>
      <c r="M752" s="123"/>
      <c r="N752" s="126"/>
    </row>
    <row r="753" spans="1:14" s="3" customFormat="1" ht="25.2">
      <c r="A753" s="125" t="s">
        <v>1900</v>
      </c>
      <c r="B753" s="123"/>
      <c r="C753" s="123"/>
      <c r="D753" s="123"/>
      <c r="E753" s="123"/>
      <c r="F753" s="171" t="s">
        <v>1901</v>
      </c>
      <c r="G753" s="604">
        <f t="shared" ref="G753" si="19">G718+1</f>
        <v>22</v>
      </c>
      <c r="H753" s="604"/>
      <c r="I753" s="604"/>
      <c r="J753" s="604"/>
      <c r="K753" s="604"/>
      <c r="L753" s="123"/>
      <c r="M753" s="123"/>
      <c r="N753" s="126"/>
    </row>
    <row r="754" spans="1:14" s="4" customFormat="1" ht="25.2">
      <c r="A754" s="125" t="s">
        <v>1903</v>
      </c>
      <c r="B754" s="123"/>
      <c r="C754" s="123"/>
      <c r="D754" s="123"/>
      <c r="E754" s="123"/>
      <c r="F754" s="167"/>
      <c r="G754" s="167"/>
      <c r="H754" s="123"/>
      <c r="I754" s="123"/>
      <c r="J754" s="123"/>
      <c r="K754" s="123"/>
      <c r="L754" s="123"/>
      <c r="M754" s="123"/>
      <c r="N754" s="126"/>
    </row>
    <row r="755" spans="1:14" s="3" customFormat="1" ht="9.9" customHeight="1">
      <c r="A755" s="125"/>
      <c r="B755" s="123"/>
      <c r="C755" s="123"/>
      <c r="D755" s="123"/>
      <c r="E755" s="123"/>
      <c r="F755" s="167"/>
      <c r="G755" s="167"/>
      <c r="H755" s="123"/>
      <c r="I755" s="123"/>
      <c r="J755" s="123"/>
      <c r="K755" s="123"/>
      <c r="L755" s="123"/>
      <c r="M755" s="123"/>
      <c r="N755" s="126"/>
    </row>
    <row r="756" spans="1:14" s="3" customFormat="1" ht="25.2">
      <c r="A756" s="125" t="s">
        <v>1904</v>
      </c>
      <c r="B756" s="123"/>
      <c r="C756" s="123"/>
      <c r="D756" s="123"/>
      <c r="E756" s="123"/>
      <c r="F756" s="167" t="s">
        <v>1896</v>
      </c>
      <c r="G756" s="204" t="e">
        <f>VLOOKUP(G753, 'Detail PL'!$B$14:$Q$799, 10)</f>
        <v>#N/A</v>
      </c>
      <c r="H756" s="204" t="s">
        <v>1905</v>
      </c>
      <c r="I756" s="204"/>
      <c r="J756" s="204"/>
      <c r="K756" s="123"/>
      <c r="L756" s="123"/>
      <c r="M756" s="123"/>
      <c r="N756" s="126"/>
    </row>
    <row r="757" spans="1:14" s="4" customFormat="1" ht="25.2">
      <c r="A757" s="125" t="s">
        <v>1906</v>
      </c>
      <c r="B757" s="123"/>
      <c r="C757" s="123"/>
      <c r="D757" s="123"/>
      <c r="E757" s="123"/>
      <c r="F757" s="167"/>
      <c r="G757" s="167"/>
      <c r="H757" s="167"/>
      <c r="I757" s="123"/>
      <c r="J757" s="123"/>
      <c r="K757" s="123"/>
      <c r="L757" s="123"/>
      <c r="M757" s="123"/>
      <c r="N757" s="126"/>
    </row>
    <row r="758" spans="1:14" s="3" customFormat="1" ht="9.9" customHeight="1">
      <c r="A758" s="125"/>
      <c r="B758" s="123"/>
      <c r="C758" s="123"/>
      <c r="D758" s="123"/>
      <c r="E758" s="123"/>
      <c r="F758" s="167"/>
      <c r="G758" s="167"/>
      <c r="H758" s="167"/>
      <c r="I758" s="123"/>
      <c r="J758" s="123"/>
      <c r="K758" s="123"/>
      <c r="L758" s="123"/>
      <c r="M758" s="123"/>
      <c r="N758" s="126"/>
    </row>
    <row r="759" spans="1:14" s="3" customFormat="1" ht="25.2">
      <c r="A759" s="125" t="s">
        <v>1907</v>
      </c>
      <c r="B759" s="123"/>
      <c r="C759" s="123"/>
      <c r="D759" s="123"/>
      <c r="E759" s="123"/>
      <c r="F759" s="167" t="s">
        <v>1896</v>
      </c>
      <c r="G759" s="204" t="e">
        <f>VLOOKUP(G753, 'Detail PL'!$B$14:$Q$799, 11)</f>
        <v>#N/A</v>
      </c>
      <c r="H759" s="204" t="s">
        <v>1905</v>
      </c>
      <c r="I759" s="204"/>
      <c r="J759" s="204"/>
      <c r="K759" s="123"/>
      <c r="L759" s="123"/>
      <c r="M759" s="123"/>
      <c r="N759" s="126"/>
    </row>
    <row r="760" spans="1:14" s="4" customFormat="1" ht="25.2">
      <c r="A760" s="125" t="s">
        <v>1908</v>
      </c>
      <c r="B760" s="123"/>
      <c r="C760" s="123"/>
      <c r="D760" s="123"/>
      <c r="E760" s="123"/>
      <c r="F760" s="167"/>
      <c r="G760" s="167"/>
      <c r="H760" s="123"/>
      <c r="I760" s="123"/>
      <c r="J760" s="123"/>
      <c r="K760" s="123"/>
      <c r="L760" s="123"/>
      <c r="M760" s="123"/>
      <c r="N760" s="126"/>
    </row>
    <row r="761" spans="1:14" s="3" customFormat="1" ht="9.9" customHeight="1">
      <c r="A761" s="125"/>
      <c r="B761" s="123"/>
      <c r="C761" s="123"/>
      <c r="D761" s="123"/>
      <c r="E761" s="123"/>
      <c r="F761" s="167"/>
      <c r="G761" s="167"/>
      <c r="H761" s="123"/>
      <c r="I761" s="123"/>
      <c r="J761" s="123"/>
      <c r="K761" s="123"/>
      <c r="L761" s="123"/>
      <c r="M761" s="123"/>
      <c r="N761" s="126"/>
    </row>
    <row r="762" spans="1:14" s="3" customFormat="1" ht="25.2">
      <c r="A762" s="129" t="s">
        <v>1909</v>
      </c>
      <c r="B762" s="123"/>
      <c r="C762" s="123"/>
      <c r="D762" s="123"/>
      <c r="E762" s="123"/>
      <c r="F762" s="167" t="s">
        <v>1896</v>
      </c>
      <c r="G762" s="204" t="e">
        <f>VLOOKUP(G753, 'Detail PL'!$B$14:$Q$799, 9)</f>
        <v>#N/A</v>
      </c>
      <c r="H762" s="205" t="s">
        <v>1910</v>
      </c>
      <c r="I762" s="203"/>
      <c r="J762" s="203"/>
      <c r="K762" s="172"/>
      <c r="L762" s="123"/>
      <c r="M762" s="123"/>
      <c r="N762" s="126"/>
    </row>
    <row r="763" spans="1:14" s="4" customFormat="1" ht="25.2">
      <c r="A763" s="125" t="s">
        <v>1911</v>
      </c>
      <c r="B763" s="123"/>
      <c r="C763" s="123"/>
      <c r="D763" s="123"/>
      <c r="E763" s="123"/>
      <c r="F763" s="167"/>
      <c r="G763" s="167"/>
      <c r="H763" s="123"/>
      <c r="I763" s="123"/>
      <c r="J763" s="123"/>
      <c r="K763" s="123"/>
      <c r="L763" s="123"/>
      <c r="M763" s="123"/>
      <c r="N763" s="126"/>
    </row>
    <row r="764" spans="1:14" s="3" customFormat="1" ht="9.9" customHeight="1">
      <c r="A764" s="125"/>
      <c r="B764" s="123"/>
      <c r="C764" s="123"/>
      <c r="D764" s="123"/>
      <c r="E764" s="123"/>
      <c r="F764" s="167"/>
      <c r="G764" s="167"/>
      <c r="H764" s="123"/>
      <c r="I764" s="123"/>
      <c r="J764" s="123"/>
      <c r="K764" s="123"/>
      <c r="L764" s="123"/>
      <c r="M764" s="123"/>
      <c r="N764" s="126"/>
    </row>
    <row r="765" spans="1:14" s="3" customFormat="1" ht="42" customHeight="1">
      <c r="A765" s="125" t="s">
        <v>1912</v>
      </c>
      <c r="B765" s="123"/>
      <c r="C765" s="123"/>
      <c r="D765" s="123"/>
      <c r="E765" s="123"/>
      <c r="F765" s="166" t="s">
        <v>1913</v>
      </c>
      <c r="G765" s="595" t="s">
        <v>1914</v>
      </c>
      <c r="H765" s="595"/>
      <c r="I765" s="595"/>
      <c r="J765" s="595"/>
      <c r="K765" s="595"/>
      <c r="L765" s="595"/>
      <c r="M765" s="595"/>
      <c r="N765" s="596"/>
    </row>
    <row r="766" spans="1:14" s="4" customFormat="1" ht="25.8" thickBot="1">
      <c r="A766" s="125" t="s">
        <v>1915</v>
      </c>
      <c r="B766" s="123"/>
      <c r="C766" s="123"/>
      <c r="D766" s="123"/>
      <c r="E766" s="123"/>
      <c r="F766" s="167"/>
      <c r="G766" s="167"/>
      <c r="H766" s="123"/>
      <c r="I766" s="123"/>
      <c r="J766" s="123"/>
      <c r="K766" s="123"/>
      <c r="L766" s="123"/>
      <c r="M766" s="123"/>
      <c r="N766" s="126"/>
    </row>
    <row r="767" spans="1:14" ht="21" customHeight="1">
      <c r="A767" s="598" t="s">
        <v>1916</v>
      </c>
      <c r="B767" s="599"/>
      <c r="C767" s="599"/>
      <c r="D767" s="599"/>
      <c r="E767" s="599"/>
      <c r="F767" s="599"/>
      <c r="G767" s="599"/>
      <c r="H767" s="599"/>
      <c r="I767" s="599"/>
      <c r="J767" s="599"/>
      <c r="K767" s="599"/>
      <c r="L767" s="599"/>
      <c r="M767" s="599"/>
      <c r="N767" s="600"/>
    </row>
    <row r="768" spans="1:14" ht="25.5" customHeight="1" thickBot="1">
      <c r="A768" s="601"/>
      <c r="B768" s="602"/>
      <c r="C768" s="602"/>
      <c r="D768" s="602"/>
      <c r="E768" s="602"/>
      <c r="F768" s="602"/>
      <c r="G768" s="602"/>
      <c r="H768" s="602"/>
      <c r="I768" s="602"/>
      <c r="J768" s="602"/>
      <c r="K768" s="602"/>
      <c r="L768" s="602"/>
      <c r="M768" s="602"/>
      <c r="N768" s="603"/>
    </row>
    <row r="769" spans="1:15" ht="25.5" customHeight="1">
      <c r="E769" s="206"/>
      <c r="F769" s="206"/>
      <c r="G769" s="206"/>
      <c r="H769" s="206"/>
      <c r="I769" s="206"/>
      <c r="J769" s="206"/>
      <c r="K769" s="206"/>
    </row>
    <row r="770" spans="1:15" ht="21.6" thickBot="1"/>
    <row r="771" spans="1:15" ht="95.25" customHeight="1" thickBot="1">
      <c r="A771" s="592" t="s">
        <v>1883</v>
      </c>
      <c r="B771" s="593"/>
      <c r="C771" s="593"/>
      <c r="D771" s="593"/>
      <c r="E771" s="593"/>
      <c r="F771" s="593"/>
      <c r="G771" s="593"/>
      <c r="H771" s="593"/>
      <c r="I771" s="593"/>
      <c r="J771" s="593"/>
      <c r="K771" s="593"/>
      <c r="L771" s="593"/>
      <c r="M771" s="593"/>
      <c r="N771" s="594"/>
    </row>
    <row r="772" spans="1:15" s="3" customFormat="1" ht="37.5" customHeight="1">
      <c r="A772" s="134" t="s">
        <v>1884</v>
      </c>
      <c r="B772" s="166"/>
      <c r="C772" s="166"/>
      <c r="D772" s="123"/>
      <c r="E772" s="123"/>
      <c r="F772" s="167" t="s">
        <v>1885</v>
      </c>
      <c r="G772" s="167" t="s">
        <v>1886</v>
      </c>
      <c r="H772" s="167"/>
      <c r="I772" s="167"/>
      <c r="J772" s="167"/>
      <c r="K772" s="167"/>
      <c r="L772" s="167"/>
      <c r="M772" s="167"/>
      <c r="N772" s="152"/>
      <c r="O772" s="201"/>
    </row>
    <row r="773" spans="1:15" s="4" customFormat="1" ht="25.2">
      <c r="A773" s="125" t="s">
        <v>1887</v>
      </c>
      <c r="B773" s="123"/>
      <c r="C773" s="123"/>
      <c r="D773" s="123"/>
      <c r="E773" s="123"/>
      <c r="F773" s="167"/>
      <c r="G773" s="167" t="s">
        <v>1888</v>
      </c>
      <c r="H773" s="167"/>
      <c r="I773" s="167"/>
      <c r="J773" s="167"/>
      <c r="K773" s="167"/>
      <c r="L773" s="167"/>
      <c r="M773" s="167"/>
      <c r="N773" s="152"/>
    </row>
    <row r="774" spans="1:15" s="3" customFormat="1" ht="9.9" customHeight="1">
      <c r="A774" s="125"/>
      <c r="B774" s="123"/>
      <c r="C774" s="123"/>
      <c r="D774" s="123"/>
      <c r="E774" s="123"/>
      <c r="F774" s="167"/>
      <c r="G774" s="123"/>
      <c r="H774" s="123"/>
      <c r="I774" s="123"/>
      <c r="J774" s="123"/>
      <c r="K774" s="123"/>
      <c r="L774" s="123"/>
      <c r="M774" s="123"/>
      <c r="N774" s="126"/>
    </row>
    <row r="775" spans="1:15" s="3" customFormat="1" ht="42.75" customHeight="1">
      <c r="A775" s="125" t="s">
        <v>1889</v>
      </c>
      <c r="B775" s="123"/>
      <c r="C775" s="123"/>
      <c r="D775" s="123"/>
      <c r="E775" s="123"/>
      <c r="F775" s="167" t="s">
        <v>1885</v>
      </c>
      <c r="G775" s="167" t="str">
        <f>PL!$B$13</f>
        <v>Branch of JSC "Doosan Enerbility" in the Turkestan region</v>
      </c>
      <c r="H775" s="123"/>
      <c r="I775" s="123"/>
      <c r="J775" s="123"/>
      <c r="K775" s="123"/>
      <c r="L775" s="123"/>
      <c r="M775" s="123"/>
      <c r="N775" s="126"/>
    </row>
    <row r="776" spans="1:15" s="3" customFormat="1" ht="24" customHeight="1">
      <c r="A776" s="125" t="s">
        <v>1890</v>
      </c>
      <c r="B776" s="123"/>
      <c r="C776" s="123"/>
      <c r="D776" s="123"/>
      <c r="E776" s="123"/>
      <c r="F776" s="168"/>
      <c r="G776" s="167" t="str">
        <f>PL!$B$14</f>
        <v>321 Tauke Khan Avenue, Turkestan region, Turkestan, Kazakhstan, 161200</v>
      </c>
      <c r="H776" s="123"/>
      <c r="I776" s="123"/>
      <c r="J776" s="123"/>
      <c r="K776" s="123"/>
      <c r="L776" s="123"/>
      <c r="M776" s="123"/>
      <c r="N776" s="126"/>
    </row>
    <row r="777" spans="1:15" s="4" customFormat="1" ht="25.2">
      <c r="A777" s="125"/>
      <c r="B777" s="123"/>
      <c r="C777" s="123"/>
      <c r="D777" s="123"/>
      <c r="E777" s="123"/>
      <c r="F777" s="168"/>
      <c r="G777" s="167" t="str">
        <f>PL!$B$15</f>
        <v>BIN: 230741006561</v>
      </c>
      <c r="H777" s="123"/>
      <c r="I777" s="123"/>
      <c r="J777" s="123"/>
      <c r="K777" s="123"/>
      <c r="L777" s="123"/>
      <c r="M777" s="123"/>
      <c r="N777" s="126"/>
    </row>
    <row r="778" spans="1:15" s="3" customFormat="1" ht="9.9" customHeight="1">
      <c r="A778" s="125"/>
      <c r="B778" s="123"/>
      <c r="C778" s="123"/>
      <c r="D778" s="123"/>
      <c r="E778" s="123"/>
      <c r="F778" s="169"/>
      <c r="G778" s="169"/>
      <c r="H778" s="123"/>
      <c r="I778" s="123"/>
      <c r="J778" s="123"/>
      <c r="K778" s="123"/>
      <c r="L778" s="123"/>
      <c r="M778" s="123"/>
      <c r="N778" s="126"/>
    </row>
    <row r="779" spans="1:15" s="3" customFormat="1" ht="25.2">
      <c r="A779" s="125" t="s">
        <v>1891</v>
      </c>
      <c r="B779" s="123"/>
      <c r="C779" s="123"/>
      <c r="D779" s="123"/>
      <c r="E779" s="123"/>
      <c r="F779" s="167" t="s">
        <v>1892</v>
      </c>
      <c r="G779" s="123"/>
      <c r="H779" s="123"/>
      <c r="I779" s="123"/>
      <c r="J779" s="123"/>
      <c r="K779" s="123"/>
      <c r="L779" s="123"/>
      <c r="M779" s="123"/>
      <c r="N779" s="126"/>
    </row>
    <row r="780" spans="1:15" s="4" customFormat="1" ht="25.2">
      <c r="A780" s="125" t="s">
        <v>1893</v>
      </c>
      <c r="B780" s="123"/>
      <c r="C780" s="123"/>
      <c r="D780" s="123"/>
      <c r="E780" s="123"/>
      <c r="F780" s="167" t="s">
        <v>1894</v>
      </c>
      <c r="G780" s="123"/>
      <c r="H780" s="123"/>
      <c r="I780" s="123"/>
      <c r="J780" s="123"/>
      <c r="K780" s="123"/>
      <c r="L780" s="123"/>
      <c r="M780" s="123"/>
      <c r="N780" s="126"/>
    </row>
    <row r="781" spans="1:15" s="3" customFormat="1" ht="9.9" customHeight="1">
      <c r="A781" s="125"/>
      <c r="B781" s="123"/>
      <c r="C781" s="123"/>
      <c r="D781" s="123"/>
      <c r="E781" s="123"/>
      <c r="F781" s="167"/>
      <c r="G781" s="123"/>
      <c r="H781" s="123"/>
      <c r="I781" s="123"/>
      <c r="J781" s="123"/>
      <c r="K781" s="123"/>
      <c r="L781" s="123"/>
      <c r="M781" s="123"/>
      <c r="N781" s="126"/>
    </row>
    <row r="782" spans="1:15" s="3" customFormat="1" ht="25.2">
      <c r="A782" s="125" t="s">
        <v>1895</v>
      </c>
      <c r="B782" s="123"/>
      <c r="C782" s="123"/>
      <c r="D782" s="123"/>
      <c r="E782" s="123"/>
      <c r="F782" s="167" t="s">
        <v>1896</v>
      </c>
      <c r="G782" s="167" t="str">
        <f>PL!$V$8</f>
        <v>PGU-DE-0139-001</v>
      </c>
      <c r="H782" s="123"/>
      <c r="I782" s="123"/>
      <c r="J782" s="123"/>
      <c r="K782" s="123"/>
      <c r="L782" s="123"/>
      <c r="M782" s="123"/>
      <c r="N782" s="126"/>
    </row>
    <row r="783" spans="1:15" s="3" customFormat="1" ht="25.2">
      <c r="A783" s="125" t="s">
        <v>1897</v>
      </c>
      <c r="B783" s="123"/>
      <c r="C783" s="123"/>
      <c r="D783" s="123"/>
      <c r="E783" s="123"/>
      <c r="F783" s="167"/>
      <c r="G783" s="123"/>
      <c r="H783" s="123"/>
      <c r="I783" s="123"/>
      <c r="J783" s="123"/>
      <c r="K783" s="123"/>
      <c r="L783" s="123"/>
      <c r="M783" s="123"/>
      <c r="N783" s="126"/>
    </row>
    <row r="784" spans="1:15" s="3" customFormat="1" ht="9.9" customHeight="1">
      <c r="A784" s="125"/>
      <c r="B784" s="123"/>
      <c r="C784" s="123"/>
      <c r="D784" s="123"/>
      <c r="E784" s="123"/>
      <c r="F784" s="167"/>
      <c r="G784" s="123"/>
      <c r="H784" s="123"/>
      <c r="I784" s="123"/>
      <c r="J784" s="123"/>
      <c r="K784" s="123"/>
      <c r="L784" s="123"/>
      <c r="M784" s="123"/>
      <c r="N784" s="126"/>
    </row>
    <row r="785" spans="1:14" s="3" customFormat="1" ht="31.2" customHeight="1">
      <c r="A785" s="127" t="s">
        <v>1898</v>
      </c>
      <c r="B785" s="170"/>
      <c r="C785" s="170"/>
      <c r="D785" s="170"/>
      <c r="E785" s="170"/>
      <c r="F785" s="171" t="s">
        <v>1885</v>
      </c>
      <c r="G785" s="597" t="e">
        <f>VLOOKUP(G788, 'Detail PL'!$B$14:$Q$799,2)</f>
        <v>#N/A</v>
      </c>
      <c r="H785" s="597"/>
      <c r="I785" s="597"/>
      <c r="J785" s="597"/>
      <c r="K785" s="597"/>
      <c r="L785" s="597"/>
      <c r="M785" s="597"/>
      <c r="N785" s="128"/>
    </row>
    <row r="786" spans="1:14" s="3" customFormat="1" ht="25.2">
      <c r="A786" s="127" t="s">
        <v>1899</v>
      </c>
      <c r="B786" s="170"/>
      <c r="C786" s="170"/>
      <c r="D786" s="170"/>
      <c r="E786" s="170"/>
      <c r="F786" s="171"/>
      <c r="G786" s="170"/>
      <c r="H786" s="170"/>
      <c r="I786" s="170"/>
      <c r="J786" s="170"/>
      <c r="K786" s="170"/>
      <c r="L786" s="170"/>
      <c r="M786" s="170"/>
      <c r="N786" s="128"/>
    </row>
    <row r="787" spans="1:14" s="3" customFormat="1" ht="9.9" customHeight="1">
      <c r="A787" s="125"/>
      <c r="B787" s="123"/>
      <c r="C787" s="123"/>
      <c r="D787" s="123"/>
      <c r="E787" s="123"/>
      <c r="F787" s="167"/>
      <c r="G787" s="123"/>
      <c r="H787" s="123"/>
      <c r="I787" s="123"/>
      <c r="J787" s="123"/>
      <c r="K787" s="123"/>
      <c r="L787" s="123"/>
      <c r="M787" s="123"/>
      <c r="N787" s="126"/>
    </row>
    <row r="788" spans="1:14" s="3" customFormat="1" ht="25.2">
      <c r="A788" s="125" t="s">
        <v>1900</v>
      </c>
      <c r="B788" s="123"/>
      <c r="C788" s="123"/>
      <c r="D788" s="123"/>
      <c r="E788" s="123"/>
      <c r="F788" s="171" t="s">
        <v>1901</v>
      </c>
      <c r="G788" s="604">
        <f t="shared" ref="G788" si="20">G753+1</f>
        <v>23</v>
      </c>
      <c r="H788" s="604"/>
      <c r="I788" s="604"/>
      <c r="J788" s="604"/>
      <c r="K788" s="604"/>
      <c r="L788" s="123"/>
      <c r="M788" s="123"/>
      <c r="N788" s="126"/>
    </row>
    <row r="789" spans="1:14" s="4" customFormat="1" ht="25.2">
      <c r="A789" s="125" t="s">
        <v>1903</v>
      </c>
      <c r="B789" s="123"/>
      <c r="C789" s="123"/>
      <c r="D789" s="123"/>
      <c r="E789" s="123"/>
      <c r="F789" s="167"/>
      <c r="G789" s="167"/>
      <c r="H789" s="123"/>
      <c r="I789" s="123"/>
      <c r="J789" s="123"/>
      <c r="K789" s="123"/>
      <c r="L789" s="123"/>
      <c r="M789" s="123"/>
      <c r="N789" s="126"/>
    </row>
    <row r="790" spans="1:14" s="3" customFormat="1" ht="9.9" customHeight="1">
      <c r="A790" s="125"/>
      <c r="B790" s="123"/>
      <c r="C790" s="123"/>
      <c r="D790" s="123"/>
      <c r="E790" s="123"/>
      <c r="F790" s="167"/>
      <c r="G790" s="167"/>
      <c r="H790" s="123"/>
      <c r="I790" s="123"/>
      <c r="J790" s="123"/>
      <c r="K790" s="123"/>
      <c r="L790" s="123"/>
      <c r="M790" s="123"/>
      <c r="N790" s="126"/>
    </row>
    <row r="791" spans="1:14" s="3" customFormat="1" ht="25.2">
      <c r="A791" s="125" t="s">
        <v>1904</v>
      </c>
      <c r="B791" s="123"/>
      <c r="C791" s="123"/>
      <c r="D791" s="123"/>
      <c r="E791" s="123"/>
      <c r="F791" s="167" t="s">
        <v>1896</v>
      </c>
      <c r="G791" s="204" t="e">
        <f>VLOOKUP(G788, 'Detail PL'!$B$14:$Q$799, 10)</f>
        <v>#N/A</v>
      </c>
      <c r="H791" s="204" t="s">
        <v>1905</v>
      </c>
      <c r="I791" s="204"/>
      <c r="J791" s="204"/>
      <c r="K791" s="123"/>
      <c r="L791" s="123"/>
      <c r="M791" s="123"/>
      <c r="N791" s="126"/>
    </row>
    <row r="792" spans="1:14" s="4" customFormat="1" ht="25.2">
      <c r="A792" s="125" t="s">
        <v>1906</v>
      </c>
      <c r="B792" s="123"/>
      <c r="C792" s="123"/>
      <c r="D792" s="123"/>
      <c r="E792" s="123"/>
      <c r="F792" s="167"/>
      <c r="G792" s="167"/>
      <c r="H792" s="167"/>
      <c r="I792" s="123"/>
      <c r="J792" s="123"/>
      <c r="K792" s="123"/>
      <c r="L792" s="123"/>
      <c r="M792" s="123"/>
      <c r="N792" s="126"/>
    </row>
    <row r="793" spans="1:14" s="3" customFormat="1" ht="9.9" customHeight="1">
      <c r="A793" s="125"/>
      <c r="B793" s="123"/>
      <c r="C793" s="123"/>
      <c r="D793" s="123"/>
      <c r="E793" s="123"/>
      <c r="F793" s="167"/>
      <c r="G793" s="167"/>
      <c r="H793" s="167"/>
      <c r="I793" s="123"/>
      <c r="J793" s="123"/>
      <c r="K793" s="123"/>
      <c r="L793" s="123"/>
      <c r="M793" s="123"/>
      <c r="N793" s="126"/>
    </row>
    <row r="794" spans="1:14" s="3" customFormat="1" ht="25.2">
      <c r="A794" s="125" t="s">
        <v>1907</v>
      </c>
      <c r="B794" s="123"/>
      <c r="C794" s="123"/>
      <c r="D794" s="123"/>
      <c r="E794" s="123"/>
      <c r="F794" s="167" t="s">
        <v>1896</v>
      </c>
      <c r="G794" s="204" t="e">
        <f>VLOOKUP(G788, 'Detail PL'!$B$14:$Q$799, 11)</f>
        <v>#N/A</v>
      </c>
      <c r="H794" s="204" t="s">
        <v>1905</v>
      </c>
      <c r="I794" s="204"/>
      <c r="J794" s="204"/>
      <c r="K794" s="123"/>
      <c r="L794" s="123"/>
      <c r="M794" s="123"/>
      <c r="N794" s="126"/>
    </row>
    <row r="795" spans="1:14" s="4" customFormat="1" ht="25.2">
      <c r="A795" s="125" t="s">
        <v>1908</v>
      </c>
      <c r="B795" s="123"/>
      <c r="C795" s="123"/>
      <c r="D795" s="123"/>
      <c r="E795" s="123"/>
      <c r="F795" s="167"/>
      <c r="G795" s="167"/>
      <c r="H795" s="123"/>
      <c r="I795" s="123"/>
      <c r="J795" s="123"/>
      <c r="K795" s="123"/>
      <c r="L795" s="123"/>
      <c r="M795" s="123"/>
      <c r="N795" s="126"/>
    </row>
    <row r="796" spans="1:14" s="3" customFormat="1" ht="9.9" customHeight="1">
      <c r="A796" s="125"/>
      <c r="B796" s="123"/>
      <c r="C796" s="123"/>
      <c r="D796" s="123"/>
      <c r="E796" s="123"/>
      <c r="F796" s="167"/>
      <c r="G796" s="167"/>
      <c r="H796" s="123"/>
      <c r="I796" s="123"/>
      <c r="J796" s="123"/>
      <c r="K796" s="123"/>
      <c r="L796" s="123"/>
      <c r="M796" s="123"/>
      <c r="N796" s="126"/>
    </row>
    <row r="797" spans="1:14" s="3" customFormat="1" ht="25.2">
      <c r="A797" s="129" t="s">
        <v>1909</v>
      </c>
      <c r="B797" s="123"/>
      <c r="C797" s="123"/>
      <c r="D797" s="123"/>
      <c r="E797" s="123"/>
      <c r="F797" s="167" t="s">
        <v>1896</v>
      </c>
      <c r="G797" s="204" t="e">
        <f>VLOOKUP(G788, 'Detail PL'!$B$14:$Q$799, 9)</f>
        <v>#N/A</v>
      </c>
      <c r="H797" s="205" t="s">
        <v>1910</v>
      </c>
      <c r="I797" s="203"/>
      <c r="J797" s="203"/>
      <c r="K797" s="172"/>
      <c r="L797" s="123"/>
      <c r="M797" s="123"/>
      <c r="N797" s="126"/>
    </row>
    <row r="798" spans="1:14" s="4" customFormat="1" ht="25.2">
      <c r="A798" s="125" t="s">
        <v>1911</v>
      </c>
      <c r="B798" s="123"/>
      <c r="C798" s="123"/>
      <c r="D798" s="123"/>
      <c r="E798" s="123"/>
      <c r="F798" s="167"/>
      <c r="G798" s="167"/>
      <c r="H798" s="123"/>
      <c r="I798" s="123"/>
      <c r="J798" s="123"/>
      <c r="K798" s="123"/>
      <c r="L798" s="123"/>
      <c r="M798" s="123"/>
      <c r="N798" s="126"/>
    </row>
    <row r="799" spans="1:14" s="3" customFormat="1" ht="9.9" customHeight="1">
      <c r="A799" s="125"/>
      <c r="B799" s="123"/>
      <c r="C799" s="123"/>
      <c r="D799" s="123"/>
      <c r="E799" s="123"/>
      <c r="F799" s="167"/>
      <c r="G799" s="167"/>
      <c r="H799" s="123"/>
      <c r="I799" s="123"/>
      <c r="J799" s="123"/>
      <c r="K799" s="123"/>
      <c r="L799" s="123"/>
      <c r="M799" s="123"/>
      <c r="N799" s="126"/>
    </row>
    <row r="800" spans="1:14" s="3" customFormat="1" ht="42" customHeight="1">
      <c r="A800" s="125" t="s">
        <v>1912</v>
      </c>
      <c r="B800" s="123"/>
      <c r="C800" s="123"/>
      <c r="D800" s="123"/>
      <c r="E800" s="123"/>
      <c r="F800" s="166" t="s">
        <v>1913</v>
      </c>
      <c r="G800" s="595" t="s">
        <v>1914</v>
      </c>
      <c r="H800" s="595"/>
      <c r="I800" s="595"/>
      <c r="J800" s="595"/>
      <c r="K800" s="595"/>
      <c r="L800" s="595"/>
      <c r="M800" s="595"/>
      <c r="N800" s="596"/>
    </row>
    <row r="801" spans="1:15" s="4" customFormat="1" ht="25.8" thickBot="1">
      <c r="A801" s="125" t="s">
        <v>1915</v>
      </c>
      <c r="B801" s="123"/>
      <c r="C801" s="123"/>
      <c r="D801" s="123"/>
      <c r="E801" s="123"/>
      <c r="F801" s="167"/>
      <c r="G801" s="167"/>
      <c r="H801" s="123"/>
      <c r="I801" s="123"/>
      <c r="J801" s="123"/>
      <c r="K801" s="123"/>
      <c r="L801" s="123"/>
      <c r="M801" s="123"/>
      <c r="N801" s="126"/>
    </row>
    <row r="802" spans="1:15" ht="21" customHeight="1">
      <c r="A802" s="598" t="s">
        <v>1916</v>
      </c>
      <c r="B802" s="599"/>
      <c r="C802" s="599"/>
      <c r="D802" s="599"/>
      <c r="E802" s="599"/>
      <c r="F802" s="599"/>
      <c r="G802" s="599"/>
      <c r="H802" s="599"/>
      <c r="I802" s="599"/>
      <c r="J802" s="599"/>
      <c r="K802" s="599"/>
      <c r="L802" s="599"/>
      <c r="M802" s="599"/>
      <c r="N802" s="600"/>
    </row>
    <row r="803" spans="1:15" ht="25.5" customHeight="1" thickBot="1">
      <c r="A803" s="601"/>
      <c r="B803" s="602"/>
      <c r="C803" s="602"/>
      <c r="D803" s="602"/>
      <c r="E803" s="602"/>
      <c r="F803" s="602"/>
      <c r="G803" s="602"/>
      <c r="H803" s="602"/>
      <c r="I803" s="602"/>
      <c r="J803" s="602"/>
      <c r="K803" s="602"/>
      <c r="L803" s="602"/>
      <c r="M803" s="602"/>
      <c r="N803" s="603"/>
    </row>
    <row r="804" spans="1:15" ht="25.5" customHeight="1">
      <c r="E804" s="206"/>
      <c r="F804" s="206"/>
      <c r="G804" s="206"/>
      <c r="H804" s="206"/>
      <c r="I804" s="206"/>
      <c r="J804" s="206"/>
      <c r="K804" s="206"/>
    </row>
    <row r="805" spans="1:15" ht="21.6" thickBot="1"/>
    <row r="806" spans="1:15" ht="95.25" customHeight="1" thickBot="1">
      <c r="A806" s="592" t="s">
        <v>1883</v>
      </c>
      <c r="B806" s="593"/>
      <c r="C806" s="593"/>
      <c r="D806" s="593"/>
      <c r="E806" s="593"/>
      <c r="F806" s="593"/>
      <c r="G806" s="593"/>
      <c r="H806" s="593"/>
      <c r="I806" s="593"/>
      <c r="J806" s="593"/>
      <c r="K806" s="593"/>
      <c r="L806" s="593"/>
      <c r="M806" s="593"/>
      <c r="N806" s="594"/>
    </row>
    <row r="807" spans="1:15" s="3" customFormat="1" ht="37.5" customHeight="1">
      <c r="A807" s="134" t="s">
        <v>1884</v>
      </c>
      <c r="B807" s="166"/>
      <c r="C807" s="166"/>
      <c r="D807" s="123"/>
      <c r="E807" s="123"/>
      <c r="F807" s="167" t="s">
        <v>1885</v>
      </c>
      <c r="G807" s="167" t="s">
        <v>1886</v>
      </c>
      <c r="H807" s="167"/>
      <c r="I807" s="167"/>
      <c r="J807" s="167"/>
      <c r="K807" s="167"/>
      <c r="L807" s="167"/>
      <c r="M807" s="167"/>
      <c r="N807" s="152"/>
      <c r="O807" s="201"/>
    </row>
    <row r="808" spans="1:15" s="4" customFormat="1" ht="25.2">
      <c r="A808" s="125" t="s">
        <v>1887</v>
      </c>
      <c r="B808" s="123"/>
      <c r="C808" s="123"/>
      <c r="D808" s="123"/>
      <c r="E808" s="123"/>
      <c r="F808" s="167"/>
      <c r="G808" s="167" t="s">
        <v>1888</v>
      </c>
      <c r="H808" s="167"/>
      <c r="I808" s="167"/>
      <c r="J808" s="167"/>
      <c r="K808" s="167"/>
      <c r="L808" s="167"/>
      <c r="M808" s="167"/>
      <c r="N808" s="152"/>
    </row>
    <row r="809" spans="1:15" s="3" customFormat="1" ht="9.9" customHeight="1">
      <c r="A809" s="125"/>
      <c r="B809" s="123"/>
      <c r="C809" s="123"/>
      <c r="D809" s="123"/>
      <c r="E809" s="123"/>
      <c r="F809" s="167"/>
      <c r="G809" s="123"/>
      <c r="H809" s="123"/>
      <c r="I809" s="123"/>
      <c r="J809" s="123"/>
      <c r="K809" s="123"/>
      <c r="L809" s="123"/>
      <c r="M809" s="123"/>
      <c r="N809" s="126"/>
    </row>
    <row r="810" spans="1:15" s="3" customFormat="1" ht="42.75" customHeight="1">
      <c r="A810" s="125" t="s">
        <v>1889</v>
      </c>
      <c r="B810" s="123"/>
      <c r="C810" s="123"/>
      <c r="D810" s="123"/>
      <c r="E810" s="123"/>
      <c r="F810" s="167" t="s">
        <v>1885</v>
      </c>
      <c r="G810" s="167" t="str">
        <f>PL!$B$13</f>
        <v>Branch of JSC "Doosan Enerbility" in the Turkestan region</v>
      </c>
      <c r="H810" s="123"/>
      <c r="I810" s="123"/>
      <c r="J810" s="123"/>
      <c r="K810" s="123"/>
      <c r="L810" s="123"/>
      <c r="M810" s="123"/>
      <c r="N810" s="126"/>
    </row>
    <row r="811" spans="1:15" s="3" customFormat="1" ht="24" customHeight="1">
      <c r="A811" s="125" t="s">
        <v>1890</v>
      </c>
      <c r="B811" s="123"/>
      <c r="C811" s="123"/>
      <c r="D811" s="123"/>
      <c r="E811" s="123"/>
      <c r="F811" s="168"/>
      <c r="G811" s="167" t="str">
        <f>PL!$B$14</f>
        <v>321 Tauke Khan Avenue, Turkestan region, Turkestan, Kazakhstan, 161200</v>
      </c>
      <c r="H811" s="123"/>
      <c r="I811" s="123"/>
      <c r="J811" s="123"/>
      <c r="K811" s="123"/>
      <c r="L811" s="123"/>
      <c r="M811" s="123"/>
      <c r="N811" s="126"/>
    </row>
    <row r="812" spans="1:15" s="4" customFormat="1" ht="25.2">
      <c r="A812" s="125"/>
      <c r="B812" s="123"/>
      <c r="C812" s="123"/>
      <c r="D812" s="123"/>
      <c r="E812" s="123"/>
      <c r="F812" s="168"/>
      <c r="G812" s="167" t="str">
        <f>PL!$B$15</f>
        <v>BIN: 230741006561</v>
      </c>
      <c r="H812" s="123"/>
      <c r="I812" s="123"/>
      <c r="J812" s="123"/>
      <c r="K812" s="123"/>
      <c r="L812" s="123"/>
      <c r="M812" s="123"/>
      <c r="N812" s="126"/>
    </row>
    <row r="813" spans="1:15" s="3" customFormat="1" ht="9.9" customHeight="1">
      <c r="A813" s="125"/>
      <c r="B813" s="123"/>
      <c r="C813" s="123"/>
      <c r="D813" s="123"/>
      <c r="E813" s="123"/>
      <c r="F813" s="169"/>
      <c r="G813" s="169"/>
      <c r="H813" s="123"/>
      <c r="I813" s="123"/>
      <c r="J813" s="123"/>
      <c r="K813" s="123"/>
      <c r="L813" s="123"/>
      <c r="M813" s="123"/>
      <c r="N813" s="126"/>
    </row>
    <row r="814" spans="1:15" s="3" customFormat="1" ht="25.2">
      <c r="A814" s="125" t="s">
        <v>1891</v>
      </c>
      <c r="B814" s="123"/>
      <c r="C814" s="123"/>
      <c r="D814" s="123"/>
      <c r="E814" s="123"/>
      <c r="F814" s="167" t="s">
        <v>1892</v>
      </c>
      <c r="G814" s="123"/>
      <c r="H814" s="123"/>
      <c r="I814" s="123"/>
      <c r="J814" s="123"/>
      <c r="K814" s="123"/>
      <c r="L814" s="123"/>
      <c r="M814" s="123"/>
      <c r="N814" s="126"/>
    </row>
    <row r="815" spans="1:15" s="4" customFormat="1" ht="25.2">
      <c r="A815" s="125" t="s">
        <v>1893</v>
      </c>
      <c r="B815" s="123"/>
      <c r="C815" s="123"/>
      <c r="D815" s="123"/>
      <c r="E815" s="123"/>
      <c r="F815" s="167" t="s">
        <v>1894</v>
      </c>
      <c r="G815" s="123"/>
      <c r="H815" s="123"/>
      <c r="I815" s="123"/>
      <c r="J815" s="123"/>
      <c r="K815" s="123"/>
      <c r="L815" s="123"/>
      <c r="M815" s="123"/>
      <c r="N815" s="126"/>
    </row>
    <row r="816" spans="1:15" s="3" customFormat="1" ht="9.9" customHeight="1">
      <c r="A816" s="125"/>
      <c r="B816" s="123"/>
      <c r="C816" s="123"/>
      <c r="D816" s="123"/>
      <c r="E816" s="123"/>
      <c r="F816" s="167"/>
      <c r="G816" s="123"/>
      <c r="H816" s="123"/>
      <c r="I816" s="123"/>
      <c r="J816" s="123"/>
      <c r="K816" s="123"/>
      <c r="L816" s="123"/>
      <c r="M816" s="123"/>
      <c r="N816" s="126"/>
    </row>
    <row r="817" spans="1:14" s="3" customFormat="1" ht="25.2">
      <c r="A817" s="125" t="s">
        <v>1895</v>
      </c>
      <c r="B817" s="123"/>
      <c r="C817" s="123"/>
      <c r="D817" s="123"/>
      <c r="E817" s="123"/>
      <c r="F817" s="167" t="s">
        <v>1896</v>
      </c>
      <c r="G817" s="167" t="str">
        <f>PL!$V$8</f>
        <v>PGU-DE-0139-001</v>
      </c>
      <c r="H817" s="123"/>
      <c r="I817" s="123"/>
      <c r="J817" s="123"/>
      <c r="K817" s="123"/>
      <c r="L817" s="123"/>
      <c r="M817" s="123"/>
      <c r="N817" s="126"/>
    </row>
    <row r="818" spans="1:14" s="3" customFormat="1" ht="25.2">
      <c r="A818" s="125" t="s">
        <v>1897</v>
      </c>
      <c r="B818" s="123"/>
      <c r="C818" s="123"/>
      <c r="D818" s="123"/>
      <c r="E818" s="123"/>
      <c r="F818" s="167"/>
      <c r="G818" s="123"/>
      <c r="H818" s="123"/>
      <c r="I818" s="123"/>
      <c r="J818" s="123"/>
      <c r="K818" s="123"/>
      <c r="L818" s="123"/>
      <c r="M818" s="123"/>
      <c r="N818" s="126"/>
    </row>
    <row r="819" spans="1:14" s="3" customFormat="1" ht="9.9" customHeight="1">
      <c r="A819" s="125"/>
      <c r="B819" s="123"/>
      <c r="C819" s="123"/>
      <c r="D819" s="123"/>
      <c r="E819" s="123"/>
      <c r="F819" s="167"/>
      <c r="G819" s="123"/>
      <c r="H819" s="123"/>
      <c r="I819" s="123"/>
      <c r="J819" s="123"/>
      <c r="K819" s="123"/>
      <c r="L819" s="123"/>
      <c r="M819" s="123"/>
      <c r="N819" s="126"/>
    </row>
    <row r="820" spans="1:14" s="3" customFormat="1" ht="31.2" customHeight="1">
      <c r="A820" s="127" t="s">
        <v>1898</v>
      </c>
      <c r="B820" s="170"/>
      <c r="C820" s="170"/>
      <c r="D820" s="170"/>
      <c r="E820" s="170"/>
      <c r="F820" s="171" t="s">
        <v>1885</v>
      </c>
      <c r="G820" s="597" t="e">
        <f>VLOOKUP(G823, 'Detail PL'!$B$14:$Q$799,2)</f>
        <v>#N/A</v>
      </c>
      <c r="H820" s="597"/>
      <c r="I820" s="597"/>
      <c r="J820" s="597"/>
      <c r="K820" s="597"/>
      <c r="L820" s="597"/>
      <c r="M820" s="597"/>
      <c r="N820" s="128"/>
    </row>
    <row r="821" spans="1:14" s="3" customFormat="1" ht="25.2">
      <c r="A821" s="127" t="s">
        <v>1899</v>
      </c>
      <c r="B821" s="170"/>
      <c r="C821" s="170"/>
      <c r="D821" s="170"/>
      <c r="E821" s="170"/>
      <c r="F821" s="171"/>
      <c r="G821" s="170"/>
      <c r="H821" s="170"/>
      <c r="I821" s="170"/>
      <c r="J821" s="170"/>
      <c r="K821" s="170"/>
      <c r="L821" s="170"/>
      <c r="M821" s="170"/>
      <c r="N821" s="128"/>
    </row>
    <row r="822" spans="1:14" s="3" customFormat="1" ht="9.9" customHeight="1">
      <c r="A822" s="125"/>
      <c r="B822" s="123"/>
      <c r="C822" s="123"/>
      <c r="D822" s="123"/>
      <c r="E822" s="123"/>
      <c r="F822" s="167"/>
      <c r="G822" s="123"/>
      <c r="H822" s="123"/>
      <c r="I822" s="123"/>
      <c r="J822" s="123"/>
      <c r="K822" s="123"/>
      <c r="L822" s="123"/>
      <c r="M822" s="123"/>
      <c r="N822" s="126"/>
    </row>
    <row r="823" spans="1:14" s="3" customFormat="1" ht="25.2">
      <c r="A823" s="125" t="s">
        <v>1900</v>
      </c>
      <c r="B823" s="123"/>
      <c r="C823" s="123"/>
      <c r="D823" s="123"/>
      <c r="E823" s="123"/>
      <c r="F823" s="171" t="s">
        <v>1901</v>
      </c>
      <c r="G823" s="604">
        <f t="shared" ref="G823" si="21">G788+1</f>
        <v>24</v>
      </c>
      <c r="H823" s="604"/>
      <c r="I823" s="604"/>
      <c r="J823" s="604"/>
      <c r="K823" s="604"/>
      <c r="L823" s="123"/>
      <c r="M823" s="123"/>
      <c r="N823" s="126"/>
    </row>
    <row r="824" spans="1:14" s="4" customFormat="1" ht="25.2">
      <c r="A824" s="125" t="s">
        <v>1903</v>
      </c>
      <c r="B824" s="123"/>
      <c r="C824" s="123"/>
      <c r="D824" s="123"/>
      <c r="E824" s="123"/>
      <c r="F824" s="167"/>
      <c r="G824" s="167"/>
      <c r="H824" s="123"/>
      <c r="I824" s="123"/>
      <c r="J824" s="123"/>
      <c r="K824" s="123"/>
      <c r="L824" s="123"/>
      <c r="M824" s="123"/>
      <c r="N824" s="126"/>
    </row>
    <row r="825" spans="1:14" s="3" customFormat="1" ht="9.9" customHeight="1">
      <c r="A825" s="125"/>
      <c r="B825" s="123"/>
      <c r="C825" s="123"/>
      <c r="D825" s="123"/>
      <c r="E825" s="123"/>
      <c r="F825" s="167"/>
      <c r="G825" s="167"/>
      <c r="H825" s="123"/>
      <c r="I825" s="123"/>
      <c r="J825" s="123"/>
      <c r="K825" s="123"/>
      <c r="L825" s="123"/>
      <c r="M825" s="123"/>
      <c r="N825" s="126"/>
    </row>
    <row r="826" spans="1:14" s="3" customFormat="1" ht="25.2">
      <c r="A826" s="125" t="s">
        <v>1904</v>
      </c>
      <c r="B826" s="123"/>
      <c r="C826" s="123"/>
      <c r="D826" s="123"/>
      <c r="E826" s="123"/>
      <c r="F826" s="167" t="s">
        <v>1896</v>
      </c>
      <c r="G826" s="204" t="e">
        <f>VLOOKUP(G823, 'Detail PL'!$B$14:$Q$799, 10)</f>
        <v>#N/A</v>
      </c>
      <c r="H826" s="204" t="s">
        <v>1905</v>
      </c>
      <c r="I826" s="204"/>
      <c r="J826" s="204"/>
      <c r="K826" s="123"/>
      <c r="L826" s="123"/>
      <c r="M826" s="123"/>
      <c r="N826" s="126"/>
    </row>
    <row r="827" spans="1:14" s="4" customFormat="1" ht="25.2">
      <c r="A827" s="125" t="s">
        <v>1906</v>
      </c>
      <c r="B827" s="123"/>
      <c r="C827" s="123"/>
      <c r="D827" s="123"/>
      <c r="E827" s="123"/>
      <c r="F827" s="167"/>
      <c r="G827" s="167"/>
      <c r="H827" s="167"/>
      <c r="I827" s="123"/>
      <c r="J827" s="123"/>
      <c r="K827" s="123"/>
      <c r="L827" s="123"/>
      <c r="M827" s="123"/>
      <c r="N827" s="126"/>
    </row>
    <row r="828" spans="1:14" s="3" customFormat="1" ht="9.9" customHeight="1">
      <c r="A828" s="125"/>
      <c r="B828" s="123"/>
      <c r="C828" s="123"/>
      <c r="D828" s="123"/>
      <c r="E828" s="123"/>
      <c r="F828" s="167"/>
      <c r="G828" s="167"/>
      <c r="H828" s="167"/>
      <c r="I828" s="123"/>
      <c r="J828" s="123"/>
      <c r="K828" s="123"/>
      <c r="L828" s="123"/>
      <c r="M828" s="123"/>
      <c r="N828" s="126"/>
    </row>
    <row r="829" spans="1:14" s="3" customFormat="1" ht="25.2">
      <c r="A829" s="125" t="s">
        <v>1907</v>
      </c>
      <c r="B829" s="123"/>
      <c r="C829" s="123"/>
      <c r="D829" s="123"/>
      <c r="E829" s="123"/>
      <c r="F829" s="167" t="s">
        <v>1896</v>
      </c>
      <c r="G829" s="204" t="e">
        <f>VLOOKUP(G823, 'Detail PL'!$B$14:$Q$799, 11)</f>
        <v>#N/A</v>
      </c>
      <c r="H829" s="204" t="s">
        <v>1905</v>
      </c>
      <c r="I829" s="204"/>
      <c r="J829" s="204"/>
      <c r="K829" s="123"/>
      <c r="L829" s="123"/>
      <c r="M829" s="123"/>
      <c r="N829" s="126"/>
    </row>
    <row r="830" spans="1:14" s="4" customFormat="1" ht="25.2">
      <c r="A830" s="125" t="s">
        <v>1908</v>
      </c>
      <c r="B830" s="123"/>
      <c r="C830" s="123"/>
      <c r="D830" s="123"/>
      <c r="E830" s="123"/>
      <c r="F830" s="167"/>
      <c r="G830" s="167"/>
      <c r="H830" s="123"/>
      <c r="I830" s="123"/>
      <c r="J830" s="123"/>
      <c r="K830" s="123"/>
      <c r="L830" s="123"/>
      <c r="M830" s="123"/>
      <c r="N830" s="126"/>
    </row>
    <row r="831" spans="1:14" s="3" customFormat="1" ht="9.9" customHeight="1">
      <c r="A831" s="125"/>
      <c r="B831" s="123"/>
      <c r="C831" s="123"/>
      <c r="D831" s="123"/>
      <c r="E831" s="123"/>
      <c r="F831" s="167"/>
      <c r="G831" s="167"/>
      <c r="H831" s="123"/>
      <c r="I831" s="123"/>
      <c r="J831" s="123"/>
      <c r="K831" s="123"/>
      <c r="L831" s="123"/>
      <c r="M831" s="123"/>
      <c r="N831" s="126"/>
    </row>
    <row r="832" spans="1:14" s="3" customFormat="1" ht="25.2">
      <c r="A832" s="129" t="s">
        <v>1909</v>
      </c>
      <c r="B832" s="123"/>
      <c r="C832" s="123"/>
      <c r="D832" s="123"/>
      <c r="E832" s="123"/>
      <c r="F832" s="167" t="s">
        <v>1896</v>
      </c>
      <c r="G832" s="204" t="e">
        <f>VLOOKUP(G823, 'Detail PL'!$B$14:$Q$799, 9)</f>
        <v>#N/A</v>
      </c>
      <c r="H832" s="205" t="s">
        <v>1910</v>
      </c>
      <c r="I832" s="203"/>
      <c r="J832" s="203"/>
      <c r="K832" s="172"/>
      <c r="L832" s="123"/>
      <c r="M832" s="123"/>
      <c r="N832" s="126"/>
    </row>
    <row r="833" spans="1:15" s="4" customFormat="1" ht="25.2">
      <c r="A833" s="125" t="s">
        <v>1911</v>
      </c>
      <c r="B833" s="123"/>
      <c r="C833" s="123"/>
      <c r="D833" s="123"/>
      <c r="E833" s="123"/>
      <c r="F833" s="167"/>
      <c r="G833" s="167"/>
      <c r="H833" s="123"/>
      <c r="I833" s="123"/>
      <c r="J833" s="123"/>
      <c r="K833" s="123"/>
      <c r="L833" s="123"/>
      <c r="M833" s="123"/>
      <c r="N833" s="126"/>
    </row>
    <row r="834" spans="1:15" s="3" customFormat="1" ht="9.9" customHeight="1">
      <c r="A834" s="125"/>
      <c r="B834" s="123"/>
      <c r="C834" s="123"/>
      <c r="D834" s="123"/>
      <c r="E834" s="123"/>
      <c r="F834" s="167"/>
      <c r="G834" s="167"/>
      <c r="H834" s="123"/>
      <c r="I834" s="123"/>
      <c r="J834" s="123"/>
      <c r="K834" s="123"/>
      <c r="L834" s="123"/>
      <c r="M834" s="123"/>
      <c r="N834" s="126"/>
    </row>
    <row r="835" spans="1:15" s="3" customFormat="1" ht="42" customHeight="1">
      <c r="A835" s="125" t="s">
        <v>1912</v>
      </c>
      <c r="B835" s="123"/>
      <c r="C835" s="123"/>
      <c r="D835" s="123"/>
      <c r="E835" s="123"/>
      <c r="F835" s="166" t="s">
        <v>1913</v>
      </c>
      <c r="G835" s="595" t="s">
        <v>1914</v>
      </c>
      <c r="H835" s="595"/>
      <c r="I835" s="595"/>
      <c r="J835" s="595"/>
      <c r="K835" s="595"/>
      <c r="L835" s="595"/>
      <c r="M835" s="595"/>
      <c r="N835" s="596"/>
    </row>
    <row r="836" spans="1:15" s="4" customFormat="1" ht="25.8" thickBot="1">
      <c r="A836" s="125" t="s">
        <v>1915</v>
      </c>
      <c r="B836" s="123"/>
      <c r="C836" s="123"/>
      <c r="D836" s="123"/>
      <c r="E836" s="123"/>
      <c r="F836" s="167"/>
      <c r="G836" s="167"/>
      <c r="H836" s="123"/>
      <c r="I836" s="123"/>
      <c r="J836" s="123"/>
      <c r="K836" s="123"/>
      <c r="L836" s="123"/>
      <c r="M836" s="123"/>
      <c r="N836" s="126"/>
    </row>
    <row r="837" spans="1:15" ht="21" customHeight="1">
      <c r="A837" s="598" t="s">
        <v>1916</v>
      </c>
      <c r="B837" s="599"/>
      <c r="C837" s="599"/>
      <c r="D837" s="599"/>
      <c r="E837" s="599"/>
      <c r="F837" s="599"/>
      <c r="G837" s="599"/>
      <c r="H837" s="599"/>
      <c r="I837" s="599"/>
      <c r="J837" s="599"/>
      <c r="K837" s="599"/>
      <c r="L837" s="599"/>
      <c r="M837" s="599"/>
      <c r="N837" s="600"/>
    </row>
    <row r="838" spans="1:15" ht="25.5" customHeight="1" thickBot="1">
      <c r="A838" s="601"/>
      <c r="B838" s="602"/>
      <c r="C838" s="602"/>
      <c r="D838" s="602"/>
      <c r="E838" s="602"/>
      <c r="F838" s="602"/>
      <c r="G838" s="602"/>
      <c r="H838" s="602"/>
      <c r="I838" s="602"/>
      <c r="J838" s="602"/>
      <c r="K838" s="602"/>
      <c r="L838" s="602"/>
      <c r="M838" s="602"/>
      <c r="N838" s="603"/>
    </row>
    <row r="839" spans="1:15" ht="25.5" customHeight="1">
      <c r="E839" s="206"/>
      <c r="F839" s="206"/>
      <c r="G839" s="206"/>
      <c r="H839" s="206"/>
      <c r="I839" s="206"/>
      <c r="J839" s="206"/>
      <c r="K839" s="206"/>
    </row>
    <row r="840" spans="1:15" ht="21.6" thickBot="1"/>
    <row r="841" spans="1:15" ht="95.25" customHeight="1" thickBot="1">
      <c r="A841" s="592" t="s">
        <v>1883</v>
      </c>
      <c r="B841" s="593"/>
      <c r="C841" s="593"/>
      <c r="D841" s="593"/>
      <c r="E841" s="593"/>
      <c r="F841" s="593"/>
      <c r="G841" s="593"/>
      <c r="H841" s="593"/>
      <c r="I841" s="593"/>
      <c r="J841" s="593"/>
      <c r="K841" s="593"/>
      <c r="L841" s="593"/>
      <c r="M841" s="593"/>
      <c r="N841" s="594"/>
    </row>
    <row r="842" spans="1:15" s="3" customFormat="1" ht="37.5" customHeight="1">
      <c r="A842" s="134" t="s">
        <v>1884</v>
      </c>
      <c r="B842" s="166"/>
      <c r="C842" s="166"/>
      <c r="D842" s="123"/>
      <c r="E842" s="123"/>
      <c r="F842" s="167" t="s">
        <v>1885</v>
      </c>
      <c r="G842" s="167" t="s">
        <v>1886</v>
      </c>
      <c r="H842" s="167"/>
      <c r="I842" s="167"/>
      <c r="J842" s="167"/>
      <c r="K842" s="167"/>
      <c r="L842" s="167"/>
      <c r="M842" s="167"/>
      <c r="N842" s="152"/>
      <c r="O842" s="201"/>
    </row>
    <row r="843" spans="1:15" s="4" customFormat="1" ht="25.2">
      <c r="A843" s="125" t="s">
        <v>1887</v>
      </c>
      <c r="B843" s="123"/>
      <c r="C843" s="123"/>
      <c r="D843" s="123"/>
      <c r="E843" s="123"/>
      <c r="F843" s="167"/>
      <c r="G843" s="167" t="s">
        <v>1888</v>
      </c>
      <c r="H843" s="167"/>
      <c r="I843" s="167"/>
      <c r="J843" s="167"/>
      <c r="K843" s="167"/>
      <c r="L843" s="167"/>
      <c r="M843" s="167"/>
      <c r="N843" s="152"/>
    </row>
    <row r="844" spans="1:15" s="3" customFormat="1" ht="9.9" customHeight="1">
      <c r="A844" s="125"/>
      <c r="B844" s="123"/>
      <c r="C844" s="123"/>
      <c r="D844" s="123"/>
      <c r="E844" s="123"/>
      <c r="F844" s="167"/>
      <c r="G844" s="123"/>
      <c r="H844" s="123"/>
      <c r="I844" s="123"/>
      <c r="J844" s="123"/>
      <c r="K844" s="123"/>
      <c r="L844" s="123"/>
      <c r="M844" s="123"/>
      <c r="N844" s="126"/>
    </row>
    <row r="845" spans="1:15" s="3" customFormat="1" ht="42.75" customHeight="1">
      <c r="A845" s="125" t="s">
        <v>1889</v>
      </c>
      <c r="B845" s="123"/>
      <c r="C845" s="123"/>
      <c r="D845" s="123"/>
      <c r="E845" s="123"/>
      <c r="F845" s="167" t="s">
        <v>1885</v>
      </c>
      <c r="G845" s="167" t="str">
        <f>PL!$B$13</f>
        <v>Branch of JSC "Doosan Enerbility" in the Turkestan region</v>
      </c>
      <c r="H845" s="123"/>
      <c r="I845" s="123"/>
      <c r="J845" s="123"/>
      <c r="K845" s="123"/>
      <c r="L845" s="123"/>
      <c r="M845" s="123"/>
      <c r="N845" s="126"/>
    </row>
    <row r="846" spans="1:15" s="3" customFormat="1" ht="24" customHeight="1">
      <c r="A846" s="125" t="s">
        <v>1890</v>
      </c>
      <c r="B846" s="123"/>
      <c r="C846" s="123"/>
      <c r="D846" s="123"/>
      <c r="E846" s="123"/>
      <c r="F846" s="168"/>
      <c r="G846" s="167" t="str">
        <f>PL!$B$14</f>
        <v>321 Tauke Khan Avenue, Turkestan region, Turkestan, Kazakhstan, 161200</v>
      </c>
      <c r="H846" s="123"/>
      <c r="I846" s="123"/>
      <c r="J846" s="123"/>
      <c r="K846" s="123"/>
      <c r="L846" s="123"/>
      <c r="M846" s="123"/>
      <c r="N846" s="126"/>
    </row>
    <row r="847" spans="1:15" s="4" customFormat="1" ht="25.2">
      <c r="A847" s="125"/>
      <c r="B847" s="123"/>
      <c r="C847" s="123"/>
      <c r="D847" s="123"/>
      <c r="E847" s="123"/>
      <c r="F847" s="168"/>
      <c r="G847" s="167" t="str">
        <f>PL!$B$15</f>
        <v>BIN: 230741006561</v>
      </c>
      <c r="H847" s="123"/>
      <c r="I847" s="123"/>
      <c r="J847" s="123"/>
      <c r="K847" s="123"/>
      <c r="L847" s="123"/>
      <c r="M847" s="123"/>
      <c r="N847" s="126"/>
    </row>
    <row r="848" spans="1:15" s="3" customFormat="1" ht="9.9" customHeight="1">
      <c r="A848" s="125"/>
      <c r="B848" s="123"/>
      <c r="C848" s="123"/>
      <c r="D848" s="123"/>
      <c r="E848" s="123"/>
      <c r="F848" s="169"/>
      <c r="G848" s="169"/>
      <c r="H848" s="123"/>
      <c r="I848" s="123"/>
      <c r="J848" s="123"/>
      <c r="K848" s="123"/>
      <c r="L848" s="123"/>
      <c r="M848" s="123"/>
      <c r="N848" s="126"/>
    </row>
    <row r="849" spans="1:14" s="3" customFormat="1" ht="25.2">
      <c r="A849" s="125" t="s">
        <v>1891</v>
      </c>
      <c r="B849" s="123"/>
      <c r="C849" s="123"/>
      <c r="D849" s="123"/>
      <c r="E849" s="123"/>
      <c r="F849" s="167" t="s">
        <v>1892</v>
      </c>
      <c r="G849" s="123"/>
      <c r="H849" s="123"/>
      <c r="I849" s="123"/>
      <c r="J849" s="123"/>
      <c r="K849" s="123"/>
      <c r="L849" s="123"/>
      <c r="M849" s="123"/>
      <c r="N849" s="126"/>
    </row>
    <row r="850" spans="1:14" s="4" customFormat="1" ht="25.2">
      <c r="A850" s="125" t="s">
        <v>1893</v>
      </c>
      <c r="B850" s="123"/>
      <c r="C850" s="123"/>
      <c r="D850" s="123"/>
      <c r="E850" s="123"/>
      <c r="F850" s="167" t="s">
        <v>1894</v>
      </c>
      <c r="G850" s="123"/>
      <c r="H850" s="123"/>
      <c r="I850" s="123"/>
      <c r="J850" s="123"/>
      <c r="K850" s="123"/>
      <c r="L850" s="123"/>
      <c r="M850" s="123"/>
      <c r="N850" s="126"/>
    </row>
    <row r="851" spans="1:14" s="3" customFormat="1" ht="9.9" customHeight="1">
      <c r="A851" s="125"/>
      <c r="B851" s="123"/>
      <c r="C851" s="123"/>
      <c r="D851" s="123"/>
      <c r="E851" s="123"/>
      <c r="F851" s="167"/>
      <c r="G851" s="123"/>
      <c r="H851" s="123"/>
      <c r="I851" s="123"/>
      <c r="J851" s="123"/>
      <c r="K851" s="123"/>
      <c r="L851" s="123"/>
      <c r="M851" s="123"/>
      <c r="N851" s="126"/>
    </row>
    <row r="852" spans="1:14" s="3" customFormat="1" ht="25.2">
      <c r="A852" s="125" t="s">
        <v>1895</v>
      </c>
      <c r="B852" s="123"/>
      <c r="C852" s="123"/>
      <c r="D852" s="123"/>
      <c r="E852" s="123"/>
      <c r="F852" s="167" t="s">
        <v>1896</v>
      </c>
      <c r="G852" s="167" t="str">
        <f>PL!$V$8</f>
        <v>PGU-DE-0139-001</v>
      </c>
      <c r="H852" s="123"/>
      <c r="I852" s="123"/>
      <c r="J852" s="123"/>
      <c r="K852" s="123"/>
      <c r="L852" s="123"/>
      <c r="M852" s="123"/>
      <c r="N852" s="126"/>
    </row>
    <row r="853" spans="1:14" s="3" customFormat="1" ht="25.2">
      <c r="A853" s="125" t="s">
        <v>1897</v>
      </c>
      <c r="B853" s="123"/>
      <c r="C853" s="123"/>
      <c r="D853" s="123"/>
      <c r="E853" s="123"/>
      <c r="F853" s="167"/>
      <c r="G853" s="123"/>
      <c r="H853" s="123"/>
      <c r="I853" s="123"/>
      <c r="J853" s="123"/>
      <c r="K853" s="123"/>
      <c r="L853" s="123"/>
      <c r="M853" s="123"/>
      <c r="N853" s="126"/>
    </row>
    <row r="854" spans="1:14" s="3" customFormat="1" ht="9.9" customHeight="1">
      <c r="A854" s="125"/>
      <c r="B854" s="123"/>
      <c r="C854" s="123"/>
      <c r="D854" s="123"/>
      <c r="E854" s="123"/>
      <c r="F854" s="167"/>
      <c r="G854" s="123"/>
      <c r="H854" s="123"/>
      <c r="I854" s="123"/>
      <c r="J854" s="123"/>
      <c r="K854" s="123"/>
      <c r="L854" s="123"/>
      <c r="M854" s="123"/>
      <c r="N854" s="126"/>
    </row>
    <row r="855" spans="1:14" s="3" customFormat="1" ht="31.2" customHeight="1">
      <c r="A855" s="127" t="s">
        <v>1898</v>
      </c>
      <c r="B855" s="170"/>
      <c r="C855" s="170"/>
      <c r="D855" s="170"/>
      <c r="E855" s="170"/>
      <c r="F855" s="171" t="s">
        <v>1885</v>
      </c>
      <c r="G855" s="597" t="e">
        <f>VLOOKUP(G858, 'Detail PL'!$B$14:$Q$799,2)</f>
        <v>#N/A</v>
      </c>
      <c r="H855" s="597"/>
      <c r="I855" s="597"/>
      <c r="J855" s="597"/>
      <c r="K855" s="597"/>
      <c r="L855" s="597"/>
      <c r="M855" s="597"/>
      <c r="N855" s="128"/>
    </row>
    <row r="856" spans="1:14" s="3" customFormat="1" ht="25.2">
      <c r="A856" s="127" t="s">
        <v>1899</v>
      </c>
      <c r="B856" s="170"/>
      <c r="C856" s="170"/>
      <c r="D856" s="170"/>
      <c r="E856" s="170"/>
      <c r="F856" s="171"/>
      <c r="G856" s="170"/>
      <c r="H856" s="170"/>
      <c r="I856" s="170"/>
      <c r="J856" s="170"/>
      <c r="K856" s="170"/>
      <c r="L856" s="170"/>
      <c r="M856" s="170"/>
      <c r="N856" s="128"/>
    </row>
    <row r="857" spans="1:14" s="3" customFormat="1" ht="9.9" customHeight="1">
      <c r="A857" s="125"/>
      <c r="B857" s="123"/>
      <c r="C857" s="123"/>
      <c r="D857" s="123"/>
      <c r="E857" s="123"/>
      <c r="F857" s="167"/>
      <c r="G857" s="123"/>
      <c r="H857" s="123"/>
      <c r="I857" s="123"/>
      <c r="J857" s="123"/>
      <c r="K857" s="123"/>
      <c r="L857" s="123"/>
      <c r="M857" s="123"/>
      <c r="N857" s="126"/>
    </row>
    <row r="858" spans="1:14" s="3" customFormat="1" ht="25.2">
      <c r="A858" s="125" t="s">
        <v>1900</v>
      </c>
      <c r="B858" s="123"/>
      <c r="C858" s="123"/>
      <c r="D858" s="123"/>
      <c r="E858" s="123"/>
      <c r="F858" s="171" t="s">
        <v>1901</v>
      </c>
      <c r="G858" s="604">
        <f t="shared" ref="G858" si="22">G823+1</f>
        <v>25</v>
      </c>
      <c r="H858" s="604"/>
      <c r="I858" s="604"/>
      <c r="J858" s="604"/>
      <c r="K858" s="604"/>
      <c r="L858" s="123"/>
      <c r="M858" s="123"/>
      <c r="N858" s="126"/>
    </row>
    <row r="859" spans="1:14" s="4" customFormat="1" ht="25.2">
      <c r="A859" s="125" t="s">
        <v>1903</v>
      </c>
      <c r="B859" s="123"/>
      <c r="C859" s="123"/>
      <c r="D859" s="123"/>
      <c r="E859" s="123"/>
      <c r="F859" s="167"/>
      <c r="G859" s="167"/>
      <c r="H859" s="123"/>
      <c r="I859" s="123"/>
      <c r="J859" s="123"/>
      <c r="K859" s="123"/>
      <c r="L859" s="123"/>
      <c r="M859" s="123"/>
      <c r="N859" s="126"/>
    </row>
    <row r="860" spans="1:14" s="3" customFormat="1" ht="9.9" customHeight="1">
      <c r="A860" s="125"/>
      <c r="B860" s="123"/>
      <c r="C860" s="123"/>
      <c r="D860" s="123"/>
      <c r="E860" s="123"/>
      <c r="F860" s="167"/>
      <c r="G860" s="167"/>
      <c r="H860" s="123"/>
      <c r="I860" s="123"/>
      <c r="J860" s="123"/>
      <c r="K860" s="123"/>
      <c r="L860" s="123"/>
      <c r="M860" s="123"/>
      <c r="N860" s="126"/>
    </row>
    <row r="861" spans="1:14" s="3" customFormat="1" ht="25.2">
      <c r="A861" s="125" t="s">
        <v>1904</v>
      </c>
      <c r="B861" s="123"/>
      <c r="C861" s="123"/>
      <c r="D861" s="123"/>
      <c r="E861" s="123"/>
      <c r="F861" s="167" t="s">
        <v>1896</v>
      </c>
      <c r="G861" s="204" t="e">
        <f>VLOOKUP(G858, 'Detail PL'!$B$14:$Q$799, 10)</f>
        <v>#N/A</v>
      </c>
      <c r="H861" s="204" t="s">
        <v>1905</v>
      </c>
      <c r="I861" s="204"/>
      <c r="J861" s="204"/>
      <c r="K861" s="123"/>
      <c r="L861" s="123"/>
      <c r="M861" s="123"/>
      <c r="N861" s="126"/>
    </row>
    <row r="862" spans="1:14" s="4" customFormat="1" ht="25.2">
      <c r="A862" s="125" t="s">
        <v>1906</v>
      </c>
      <c r="B862" s="123"/>
      <c r="C862" s="123"/>
      <c r="D862" s="123"/>
      <c r="E862" s="123"/>
      <c r="F862" s="167"/>
      <c r="G862" s="167"/>
      <c r="H862" s="167"/>
      <c r="I862" s="123"/>
      <c r="J862" s="123"/>
      <c r="K862" s="123"/>
      <c r="L862" s="123"/>
      <c r="M862" s="123"/>
      <c r="N862" s="126"/>
    </row>
    <row r="863" spans="1:14" s="3" customFormat="1" ht="9.9" customHeight="1">
      <c r="A863" s="125"/>
      <c r="B863" s="123"/>
      <c r="C863" s="123"/>
      <c r="D863" s="123"/>
      <c r="E863" s="123"/>
      <c r="F863" s="167"/>
      <c r="G863" s="167"/>
      <c r="H863" s="167"/>
      <c r="I863" s="123"/>
      <c r="J863" s="123"/>
      <c r="K863" s="123"/>
      <c r="L863" s="123"/>
      <c r="M863" s="123"/>
      <c r="N863" s="126"/>
    </row>
    <row r="864" spans="1:14" s="3" customFormat="1" ht="25.2">
      <c r="A864" s="125" t="s">
        <v>1907</v>
      </c>
      <c r="B864" s="123"/>
      <c r="C864" s="123"/>
      <c r="D864" s="123"/>
      <c r="E864" s="123"/>
      <c r="F864" s="167" t="s">
        <v>1896</v>
      </c>
      <c r="G864" s="204" t="e">
        <f>VLOOKUP(G858, 'Detail PL'!$B$14:$Q$799, 11)</f>
        <v>#N/A</v>
      </c>
      <c r="H864" s="204" t="s">
        <v>1905</v>
      </c>
      <c r="I864" s="204"/>
      <c r="J864" s="204"/>
      <c r="K864" s="123"/>
      <c r="L864" s="123"/>
      <c r="M864" s="123"/>
      <c r="N864" s="126"/>
    </row>
    <row r="865" spans="1:15" s="4" customFormat="1" ht="25.2">
      <c r="A865" s="125" t="s">
        <v>1908</v>
      </c>
      <c r="B865" s="123"/>
      <c r="C865" s="123"/>
      <c r="D865" s="123"/>
      <c r="E865" s="123"/>
      <c r="F865" s="167"/>
      <c r="G865" s="167"/>
      <c r="H865" s="123"/>
      <c r="I865" s="123"/>
      <c r="J865" s="123"/>
      <c r="K865" s="123"/>
      <c r="L865" s="123"/>
      <c r="M865" s="123"/>
      <c r="N865" s="126"/>
    </row>
    <row r="866" spans="1:15" s="3" customFormat="1" ht="9.9" customHeight="1">
      <c r="A866" s="125"/>
      <c r="B866" s="123"/>
      <c r="C866" s="123"/>
      <c r="D866" s="123"/>
      <c r="E866" s="123"/>
      <c r="F866" s="167"/>
      <c r="G866" s="167"/>
      <c r="H866" s="123"/>
      <c r="I866" s="123"/>
      <c r="J866" s="123"/>
      <c r="K866" s="123"/>
      <c r="L866" s="123"/>
      <c r="M866" s="123"/>
      <c r="N866" s="126"/>
    </row>
    <row r="867" spans="1:15" s="3" customFormat="1" ht="25.2">
      <c r="A867" s="129" t="s">
        <v>1909</v>
      </c>
      <c r="B867" s="123"/>
      <c r="C867" s="123"/>
      <c r="D867" s="123"/>
      <c r="E867" s="123"/>
      <c r="F867" s="167" t="s">
        <v>1896</v>
      </c>
      <c r="G867" s="204" t="e">
        <f>VLOOKUP(G858, 'Detail PL'!$B$14:$Q$799, 9)</f>
        <v>#N/A</v>
      </c>
      <c r="H867" s="205" t="s">
        <v>1910</v>
      </c>
      <c r="I867" s="203"/>
      <c r="J867" s="203"/>
      <c r="K867" s="172"/>
      <c r="L867" s="123"/>
      <c r="M867" s="123"/>
      <c r="N867" s="126"/>
    </row>
    <row r="868" spans="1:15" s="4" customFormat="1" ht="25.2">
      <c r="A868" s="125" t="s">
        <v>1911</v>
      </c>
      <c r="B868" s="123"/>
      <c r="C868" s="123"/>
      <c r="D868" s="123"/>
      <c r="E868" s="123"/>
      <c r="F868" s="167"/>
      <c r="G868" s="167"/>
      <c r="H868" s="123"/>
      <c r="I868" s="123"/>
      <c r="J868" s="123"/>
      <c r="K868" s="123"/>
      <c r="L868" s="123"/>
      <c r="M868" s="123"/>
      <c r="N868" s="126"/>
    </row>
    <row r="869" spans="1:15" s="3" customFormat="1" ht="9.9" customHeight="1">
      <c r="A869" s="125"/>
      <c r="B869" s="123"/>
      <c r="C869" s="123"/>
      <c r="D869" s="123"/>
      <c r="E869" s="123"/>
      <c r="F869" s="167"/>
      <c r="G869" s="167"/>
      <c r="H869" s="123"/>
      <c r="I869" s="123"/>
      <c r="J869" s="123"/>
      <c r="K869" s="123"/>
      <c r="L869" s="123"/>
      <c r="M869" s="123"/>
      <c r="N869" s="126"/>
    </row>
    <row r="870" spans="1:15" s="3" customFormat="1" ht="42" customHeight="1">
      <c r="A870" s="125" t="s">
        <v>1912</v>
      </c>
      <c r="B870" s="123"/>
      <c r="C870" s="123"/>
      <c r="D870" s="123"/>
      <c r="E870" s="123"/>
      <c r="F870" s="166" t="s">
        <v>1913</v>
      </c>
      <c r="G870" s="595" t="s">
        <v>1914</v>
      </c>
      <c r="H870" s="595"/>
      <c r="I870" s="595"/>
      <c r="J870" s="595"/>
      <c r="K870" s="595"/>
      <c r="L870" s="595"/>
      <c r="M870" s="595"/>
      <c r="N870" s="596"/>
    </row>
    <row r="871" spans="1:15" s="4" customFormat="1" ht="25.8" thickBot="1">
      <c r="A871" s="125" t="s">
        <v>1915</v>
      </c>
      <c r="B871" s="123"/>
      <c r="C871" s="123"/>
      <c r="D871" s="123"/>
      <c r="E871" s="123"/>
      <c r="F871" s="167"/>
      <c r="G871" s="167"/>
      <c r="H871" s="123"/>
      <c r="I871" s="123"/>
      <c r="J871" s="123"/>
      <c r="K871" s="123"/>
      <c r="L871" s="123"/>
      <c r="M871" s="123"/>
      <c r="N871" s="126"/>
    </row>
    <row r="872" spans="1:15" ht="21" customHeight="1">
      <c r="A872" s="598" t="s">
        <v>1916</v>
      </c>
      <c r="B872" s="599"/>
      <c r="C872" s="599"/>
      <c r="D872" s="599"/>
      <c r="E872" s="599"/>
      <c r="F872" s="599"/>
      <c r="G872" s="599"/>
      <c r="H872" s="599"/>
      <c r="I872" s="599"/>
      <c r="J872" s="599"/>
      <c r="K872" s="599"/>
      <c r="L872" s="599"/>
      <c r="M872" s="599"/>
      <c r="N872" s="600"/>
    </row>
    <row r="873" spans="1:15" ht="25.5" customHeight="1" thickBot="1">
      <c r="A873" s="601"/>
      <c r="B873" s="602"/>
      <c r="C873" s="602"/>
      <c r="D873" s="602"/>
      <c r="E873" s="602"/>
      <c r="F873" s="602"/>
      <c r="G873" s="602"/>
      <c r="H873" s="602"/>
      <c r="I873" s="602"/>
      <c r="J873" s="602"/>
      <c r="K873" s="602"/>
      <c r="L873" s="602"/>
      <c r="M873" s="602"/>
      <c r="N873" s="603"/>
    </row>
    <row r="874" spans="1:15" ht="25.5" customHeight="1">
      <c r="E874" s="206"/>
      <c r="F874" s="206"/>
      <c r="G874" s="206"/>
      <c r="H874" s="206"/>
      <c r="I874" s="206"/>
      <c r="J874" s="206"/>
      <c r="K874" s="206"/>
    </row>
    <row r="875" spans="1:15" ht="21.6" thickBot="1"/>
    <row r="876" spans="1:15" ht="95.25" customHeight="1" thickBot="1">
      <c r="A876" s="592" t="s">
        <v>1883</v>
      </c>
      <c r="B876" s="593"/>
      <c r="C876" s="593"/>
      <c r="D876" s="593"/>
      <c r="E876" s="593"/>
      <c r="F876" s="593"/>
      <c r="G876" s="593"/>
      <c r="H876" s="593"/>
      <c r="I876" s="593"/>
      <c r="J876" s="593"/>
      <c r="K876" s="593"/>
      <c r="L876" s="593"/>
      <c r="M876" s="593"/>
      <c r="N876" s="594"/>
    </row>
    <row r="877" spans="1:15" s="3" customFormat="1" ht="37.5" customHeight="1">
      <c r="A877" s="134" t="s">
        <v>1884</v>
      </c>
      <c r="B877" s="166"/>
      <c r="C877" s="166"/>
      <c r="D877" s="123"/>
      <c r="E877" s="123"/>
      <c r="F877" s="167" t="s">
        <v>1885</v>
      </c>
      <c r="G877" s="167" t="s">
        <v>1886</v>
      </c>
      <c r="H877" s="167"/>
      <c r="I877" s="167"/>
      <c r="J877" s="167"/>
      <c r="K877" s="167"/>
      <c r="L877" s="167"/>
      <c r="M877" s="167"/>
      <c r="N877" s="152"/>
      <c r="O877" s="201"/>
    </row>
    <row r="878" spans="1:15" s="4" customFormat="1" ht="25.2">
      <c r="A878" s="125" t="s">
        <v>1887</v>
      </c>
      <c r="B878" s="123"/>
      <c r="C878" s="123"/>
      <c r="D878" s="123"/>
      <c r="E878" s="123"/>
      <c r="F878" s="167"/>
      <c r="G878" s="167" t="s">
        <v>1888</v>
      </c>
      <c r="H878" s="167"/>
      <c r="I878" s="167"/>
      <c r="J878" s="167"/>
      <c r="K878" s="167"/>
      <c r="L878" s="167"/>
      <c r="M878" s="167"/>
      <c r="N878" s="152"/>
    </row>
    <row r="879" spans="1:15" s="3" customFormat="1" ht="9.9" customHeight="1">
      <c r="A879" s="125"/>
      <c r="B879" s="123"/>
      <c r="C879" s="123"/>
      <c r="D879" s="123"/>
      <c r="E879" s="123"/>
      <c r="F879" s="167"/>
      <c r="G879" s="123"/>
      <c r="H879" s="123"/>
      <c r="I879" s="123"/>
      <c r="J879" s="123"/>
      <c r="K879" s="123"/>
      <c r="L879" s="123"/>
      <c r="M879" s="123"/>
      <c r="N879" s="126"/>
    </row>
    <row r="880" spans="1:15" s="3" customFormat="1" ht="42.75" customHeight="1">
      <c r="A880" s="125" t="s">
        <v>1889</v>
      </c>
      <c r="B880" s="123"/>
      <c r="C880" s="123"/>
      <c r="D880" s="123"/>
      <c r="E880" s="123"/>
      <c r="F880" s="167" t="s">
        <v>1885</v>
      </c>
      <c r="G880" s="167" t="str">
        <f>PL!$B$13</f>
        <v>Branch of JSC "Doosan Enerbility" in the Turkestan region</v>
      </c>
      <c r="H880" s="123"/>
      <c r="I880" s="123"/>
      <c r="J880" s="123"/>
      <c r="K880" s="123"/>
      <c r="L880" s="123"/>
      <c r="M880" s="123"/>
      <c r="N880" s="126"/>
    </row>
    <row r="881" spans="1:14" s="3" customFormat="1" ht="24" customHeight="1">
      <c r="A881" s="125" t="s">
        <v>1890</v>
      </c>
      <c r="B881" s="123"/>
      <c r="C881" s="123"/>
      <c r="D881" s="123"/>
      <c r="E881" s="123"/>
      <c r="F881" s="168"/>
      <c r="G881" s="167" t="str">
        <f>PL!$B$14</f>
        <v>321 Tauke Khan Avenue, Turkestan region, Turkestan, Kazakhstan, 161200</v>
      </c>
      <c r="H881" s="123"/>
      <c r="I881" s="123"/>
      <c r="J881" s="123"/>
      <c r="K881" s="123"/>
      <c r="L881" s="123"/>
      <c r="M881" s="123"/>
      <c r="N881" s="126"/>
    </row>
    <row r="882" spans="1:14" s="4" customFormat="1" ht="25.2">
      <c r="A882" s="125"/>
      <c r="B882" s="123"/>
      <c r="C882" s="123"/>
      <c r="D882" s="123"/>
      <c r="E882" s="123"/>
      <c r="F882" s="168"/>
      <c r="G882" s="167" t="str">
        <f>PL!$B$15</f>
        <v>BIN: 230741006561</v>
      </c>
      <c r="H882" s="123"/>
      <c r="I882" s="123"/>
      <c r="J882" s="123"/>
      <c r="K882" s="123"/>
      <c r="L882" s="123"/>
      <c r="M882" s="123"/>
      <c r="N882" s="126"/>
    </row>
    <row r="883" spans="1:14" s="3" customFormat="1" ht="9.9" customHeight="1">
      <c r="A883" s="125"/>
      <c r="B883" s="123"/>
      <c r="C883" s="123"/>
      <c r="D883" s="123"/>
      <c r="E883" s="123"/>
      <c r="F883" s="169"/>
      <c r="G883" s="169"/>
      <c r="H883" s="123"/>
      <c r="I883" s="123"/>
      <c r="J883" s="123"/>
      <c r="K883" s="123"/>
      <c r="L883" s="123"/>
      <c r="M883" s="123"/>
      <c r="N883" s="126"/>
    </row>
    <row r="884" spans="1:14" s="3" customFormat="1" ht="25.2">
      <c r="A884" s="125" t="s">
        <v>1891</v>
      </c>
      <c r="B884" s="123"/>
      <c r="C884" s="123"/>
      <c r="D884" s="123"/>
      <c r="E884" s="123"/>
      <c r="F884" s="167" t="s">
        <v>1892</v>
      </c>
      <c r="G884" s="123"/>
      <c r="H884" s="123"/>
      <c r="I884" s="123"/>
      <c r="J884" s="123"/>
      <c r="K884" s="123"/>
      <c r="L884" s="123"/>
      <c r="M884" s="123"/>
      <c r="N884" s="126"/>
    </row>
    <row r="885" spans="1:14" s="4" customFormat="1" ht="25.2">
      <c r="A885" s="125" t="s">
        <v>1893</v>
      </c>
      <c r="B885" s="123"/>
      <c r="C885" s="123"/>
      <c r="D885" s="123"/>
      <c r="E885" s="123"/>
      <c r="F885" s="167" t="s">
        <v>1894</v>
      </c>
      <c r="G885" s="123"/>
      <c r="H885" s="123"/>
      <c r="I885" s="123"/>
      <c r="J885" s="123"/>
      <c r="K885" s="123"/>
      <c r="L885" s="123"/>
      <c r="M885" s="123"/>
      <c r="N885" s="126"/>
    </row>
    <row r="886" spans="1:14" s="3" customFormat="1" ht="9.9" customHeight="1">
      <c r="A886" s="125"/>
      <c r="B886" s="123"/>
      <c r="C886" s="123"/>
      <c r="D886" s="123"/>
      <c r="E886" s="123"/>
      <c r="F886" s="167"/>
      <c r="G886" s="123"/>
      <c r="H886" s="123"/>
      <c r="I886" s="123"/>
      <c r="J886" s="123"/>
      <c r="K886" s="123"/>
      <c r="L886" s="123"/>
      <c r="M886" s="123"/>
      <c r="N886" s="126"/>
    </row>
    <row r="887" spans="1:14" s="3" customFormat="1" ht="25.2">
      <c r="A887" s="125" t="s">
        <v>1895</v>
      </c>
      <c r="B887" s="123"/>
      <c r="C887" s="123"/>
      <c r="D887" s="123"/>
      <c r="E887" s="123"/>
      <c r="F887" s="167" t="s">
        <v>1896</v>
      </c>
      <c r="G887" s="167" t="str">
        <f>PL!$V$8</f>
        <v>PGU-DE-0139-001</v>
      </c>
      <c r="H887" s="123"/>
      <c r="I887" s="123"/>
      <c r="J887" s="123"/>
      <c r="K887" s="123"/>
      <c r="L887" s="123"/>
      <c r="M887" s="123"/>
      <c r="N887" s="126"/>
    </row>
    <row r="888" spans="1:14" s="3" customFormat="1" ht="25.2">
      <c r="A888" s="125" t="s">
        <v>1897</v>
      </c>
      <c r="B888" s="123"/>
      <c r="C888" s="123"/>
      <c r="D888" s="123"/>
      <c r="E888" s="123"/>
      <c r="F888" s="167"/>
      <c r="G888" s="123"/>
      <c r="H888" s="123"/>
      <c r="I888" s="123"/>
      <c r="J888" s="123"/>
      <c r="K888" s="123"/>
      <c r="L888" s="123"/>
      <c r="M888" s="123"/>
      <c r="N888" s="126"/>
    </row>
    <row r="889" spans="1:14" s="3" customFormat="1" ht="9.9" customHeight="1">
      <c r="A889" s="125"/>
      <c r="B889" s="123"/>
      <c r="C889" s="123"/>
      <c r="D889" s="123"/>
      <c r="E889" s="123"/>
      <c r="F889" s="167"/>
      <c r="G889" s="123"/>
      <c r="H889" s="123"/>
      <c r="I889" s="123"/>
      <c r="J889" s="123"/>
      <c r="K889" s="123"/>
      <c r="L889" s="123"/>
      <c r="M889" s="123"/>
      <c r="N889" s="126"/>
    </row>
    <row r="890" spans="1:14" s="3" customFormat="1" ht="31.2" customHeight="1">
      <c r="A890" s="127" t="s">
        <v>1898</v>
      </c>
      <c r="B890" s="170"/>
      <c r="C890" s="170"/>
      <c r="D890" s="170"/>
      <c r="E890" s="170"/>
      <c r="F890" s="171" t="s">
        <v>1885</v>
      </c>
      <c r="G890" s="597" t="e">
        <f>VLOOKUP(G893, 'Detail PL'!$B$14:$Q$799,2)</f>
        <v>#N/A</v>
      </c>
      <c r="H890" s="597"/>
      <c r="I890" s="597"/>
      <c r="J890" s="597"/>
      <c r="K890" s="597"/>
      <c r="L890" s="597"/>
      <c r="M890" s="597"/>
      <c r="N890" s="128"/>
    </row>
    <row r="891" spans="1:14" s="3" customFormat="1" ht="25.2">
      <c r="A891" s="127" t="s">
        <v>1899</v>
      </c>
      <c r="B891" s="170"/>
      <c r="C891" s="170"/>
      <c r="D891" s="170"/>
      <c r="E891" s="170"/>
      <c r="F891" s="171"/>
      <c r="G891" s="170"/>
      <c r="H891" s="170"/>
      <c r="I891" s="170"/>
      <c r="J891" s="170"/>
      <c r="K891" s="170"/>
      <c r="L891" s="170"/>
      <c r="M891" s="170"/>
      <c r="N891" s="128"/>
    </row>
    <row r="892" spans="1:14" s="3" customFormat="1" ht="9.9" customHeight="1">
      <c r="A892" s="125"/>
      <c r="B892" s="123"/>
      <c r="C892" s="123"/>
      <c r="D892" s="123"/>
      <c r="E892" s="123"/>
      <c r="F892" s="167"/>
      <c r="G892" s="123"/>
      <c r="H892" s="123"/>
      <c r="I892" s="123"/>
      <c r="J892" s="123"/>
      <c r="K892" s="123"/>
      <c r="L892" s="123"/>
      <c r="M892" s="123"/>
      <c r="N892" s="126"/>
    </row>
    <row r="893" spans="1:14" s="3" customFormat="1" ht="25.2">
      <c r="A893" s="125" t="s">
        <v>1900</v>
      </c>
      <c r="B893" s="123"/>
      <c r="C893" s="123"/>
      <c r="D893" s="123"/>
      <c r="E893" s="123"/>
      <c r="F893" s="171" t="s">
        <v>1901</v>
      </c>
      <c r="G893" s="604">
        <f t="shared" ref="G893" si="23">G858+1</f>
        <v>26</v>
      </c>
      <c r="H893" s="604"/>
      <c r="I893" s="604"/>
      <c r="J893" s="604"/>
      <c r="K893" s="604"/>
      <c r="L893" s="123"/>
      <c r="M893" s="123"/>
      <c r="N893" s="126"/>
    </row>
    <row r="894" spans="1:14" s="4" customFormat="1" ht="25.2">
      <c r="A894" s="125" t="s">
        <v>1903</v>
      </c>
      <c r="B894" s="123"/>
      <c r="C894" s="123"/>
      <c r="D894" s="123"/>
      <c r="E894" s="123"/>
      <c r="F894" s="167"/>
      <c r="G894" s="167"/>
      <c r="H894" s="123"/>
      <c r="I894" s="123"/>
      <c r="J894" s="123"/>
      <c r="K894" s="123"/>
      <c r="L894" s="123"/>
      <c r="M894" s="123"/>
      <c r="N894" s="126"/>
    </row>
    <row r="895" spans="1:14" s="3" customFormat="1" ht="9.9" customHeight="1">
      <c r="A895" s="125"/>
      <c r="B895" s="123"/>
      <c r="C895" s="123"/>
      <c r="D895" s="123"/>
      <c r="E895" s="123"/>
      <c r="F895" s="167"/>
      <c r="G895" s="167"/>
      <c r="H895" s="123"/>
      <c r="I895" s="123"/>
      <c r="J895" s="123"/>
      <c r="K895" s="123"/>
      <c r="L895" s="123"/>
      <c r="M895" s="123"/>
      <c r="N895" s="126"/>
    </row>
    <row r="896" spans="1:14" s="3" customFormat="1" ht="25.2">
      <c r="A896" s="125" t="s">
        <v>1904</v>
      </c>
      <c r="B896" s="123"/>
      <c r="C896" s="123"/>
      <c r="D896" s="123"/>
      <c r="E896" s="123"/>
      <c r="F896" s="167" t="s">
        <v>1896</v>
      </c>
      <c r="G896" s="204" t="e">
        <f>VLOOKUP(G893, 'Detail PL'!$B$14:$Q$799, 10)</f>
        <v>#N/A</v>
      </c>
      <c r="H896" s="204" t="s">
        <v>1905</v>
      </c>
      <c r="I896" s="204"/>
      <c r="J896" s="204"/>
      <c r="K896" s="123"/>
      <c r="L896" s="123"/>
      <c r="M896" s="123"/>
      <c r="N896" s="126"/>
    </row>
    <row r="897" spans="1:15" s="4" customFormat="1" ht="25.2">
      <c r="A897" s="125" t="s">
        <v>1906</v>
      </c>
      <c r="B897" s="123"/>
      <c r="C897" s="123"/>
      <c r="D897" s="123"/>
      <c r="E897" s="123"/>
      <c r="F897" s="167"/>
      <c r="G897" s="167"/>
      <c r="H897" s="167"/>
      <c r="I897" s="123"/>
      <c r="J897" s="123"/>
      <c r="K897" s="123"/>
      <c r="L897" s="123"/>
      <c r="M897" s="123"/>
      <c r="N897" s="126"/>
    </row>
    <row r="898" spans="1:15" s="3" customFormat="1" ht="9.9" customHeight="1">
      <c r="A898" s="125"/>
      <c r="B898" s="123"/>
      <c r="C898" s="123"/>
      <c r="D898" s="123"/>
      <c r="E898" s="123"/>
      <c r="F898" s="167"/>
      <c r="G898" s="167"/>
      <c r="H898" s="167"/>
      <c r="I898" s="123"/>
      <c r="J898" s="123"/>
      <c r="K898" s="123"/>
      <c r="L898" s="123"/>
      <c r="M898" s="123"/>
      <c r="N898" s="126"/>
    </row>
    <row r="899" spans="1:15" s="3" customFormat="1" ht="25.2">
      <c r="A899" s="125" t="s">
        <v>1907</v>
      </c>
      <c r="B899" s="123"/>
      <c r="C899" s="123"/>
      <c r="D899" s="123"/>
      <c r="E899" s="123"/>
      <c r="F899" s="167" t="s">
        <v>1896</v>
      </c>
      <c r="G899" s="204" t="e">
        <f>VLOOKUP(G893, 'Detail PL'!$B$14:$Q$799, 11)</f>
        <v>#N/A</v>
      </c>
      <c r="H899" s="204" t="s">
        <v>1905</v>
      </c>
      <c r="I899" s="204"/>
      <c r="J899" s="204"/>
      <c r="K899" s="123"/>
      <c r="L899" s="123"/>
      <c r="M899" s="123"/>
      <c r="N899" s="126"/>
    </row>
    <row r="900" spans="1:15" s="4" customFormat="1" ht="25.2">
      <c r="A900" s="125" t="s">
        <v>1908</v>
      </c>
      <c r="B900" s="123"/>
      <c r="C900" s="123"/>
      <c r="D900" s="123"/>
      <c r="E900" s="123"/>
      <c r="F900" s="167"/>
      <c r="G900" s="167"/>
      <c r="H900" s="123"/>
      <c r="I900" s="123"/>
      <c r="J900" s="123"/>
      <c r="K900" s="123"/>
      <c r="L900" s="123"/>
      <c r="M900" s="123"/>
      <c r="N900" s="126"/>
    </row>
    <row r="901" spans="1:15" s="3" customFormat="1" ht="9.9" customHeight="1">
      <c r="A901" s="125"/>
      <c r="B901" s="123"/>
      <c r="C901" s="123"/>
      <c r="D901" s="123"/>
      <c r="E901" s="123"/>
      <c r="F901" s="167"/>
      <c r="G901" s="167"/>
      <c r="H901" s="123"/>
      <c r="I901" s="123"/>
      <c r="J901" s="123"/>
      <c r="K901" s="123"/>
      <c r="L901" s="123"/>
      <c r="M901" s="123"/>
      <c r="N901" s="126"/>
    </row>
    <row r="902" spans="1:15" s="3" customFormat="1" ht="25.2">
      <c r="A902" s="129" t="s">
        <v>1909</v>
      </c>
      <c r="B902" s="123"/>
      <c r="C902" s="123"/>
      <c r="D902" s="123"/>
      <c r="E902" s="123"/>
      <c r="F902" s="167" t="s">
        <v>1896</v>
      </c>
      <c r="G902" s="204" t="e">
        <f>VLOOKUP(G893, 'Detail PL'!$B$14:$Q$799, 9)</f>
        <v>#N/A</v>
      </c>
      <c r="H902" s="205" t="s">
        <v>1910</v>
      </c>
      <c r="I902" s="203"/>
      <c r="J902" s="203"/>
      <c r="K902" s="172"/>
      <c r="L902" s="123"/>
      <c r="M902" s="123"/>
      <c r="N902" s="126"/>
    </row>
    <row r="903" spans="1:15" s="4" customFormat="1" ht="25.2">
      <c r="A903" s="125" t="s">
        <v>1911</v>
      </c>
      <c r="B903" s="123"/>
      <c r="C903" s="123"/>
      <c r="D903" s="123"/>
      <c r="E903" s="123"/>
      <c r="F903" s="167"/>
      <c r="G903" s="167"/>
      <c r="H903" s="123"/>
      <c r="I903" s="123"/>
      <c r="J903" s="123"/>
      <c r="K903" s="123"/>
      <c r="L903" s="123"/>
      <c r="M903" s="123"/>
      <c r="N903" s="126"/>
    </row>
    <row r="904" spans="1:15" s="3" customFormat="1" ht="9.9" customHeight="1">
      <c r="A904" s="125"/>
      <c r="B904" s="123"/>
      <c r="C904" s="123"/>
      <c r="D904" s="123"/>
      <c r="E904" s="123"/>
      <c r="F904" s="167"/>
      <c r="G904" s="167"/>
      <c r="H904" s="123"/>
      <c r="I904" s="123"/>
      <c r="J904" s="123"/>
      <c r="K904" s="123"/>
      <c r="L904" s="123"/>
      <c r="M904" s="123"/>
      <c r="N904" s="126"/>
    </row>
    <row r="905" spans="1:15" s="3" customFormat="1" ht="42" customHeight="1">
      <c r="A905" s="125" t="s">
        <v>1912</v>
      </c>
      <c r="B905" s="123"/>
      <c r="C905" s="123"/>
      <c r="D905" s="123"/>
      <c r="E905" s="123"/>
      <c r="F905" s="166" t="s">
        <v>1913</v>
      </c>
      <c r="G905" s="595" t="s">
        <v>1914</v>
      </c>
      <c r="H905" s="595"/>
      <c r="I905" s="595"/>
      <c r="J905" s="595"/>
      <c r="K905" s="595"/>
      <c r="L905" s="595"/>
      <c r="M905" s="595"/>
      <c r="N905" s="596"/>
    </row>
    <row r="906" spans="1:15" s="4" customFormat="1" ht="25.8" thickBot="1">
      <c r="A906" s="125" t="s">
        <v>1915</v>
      </c>
      <c r="B906" s="123"/>
      <c r="C906" s="123"/>
      <c r="D906" s="123"/>
      <c r="E906" s="123"/>
      <c r="F906" s="167"/>
      <c r="G906" s="167"/>
      <c r="H906" s="123"/>
      <c r="I906" s="123"/>
      <c r="J906" s="123"/>
      <c r="K906" s="123"/>
      <c r="L906" s="123"/>
      <c r="M906" s="123"/>
      <c r="N906" s="126"/>
    </row>
    <row r="907" spans="1:15" ht="21" customHeight="1">
      <c r="A907" s="598" t="s">
        <v>1916</v>
      </c>
      <c r="B907" s="599"/>
      <c r="C907" s="599"/>
      <c r="D907" s="599"/>
      <c r="E907" s="599"/>
      <c r="F907" s="599"/>
      <c r="G907" s="599"/>
      <c r="H907" s="599"/>
      <c r="I907" s="599"/>
      <c r="J907" s="599"/>
      <c r="K907" s="599"/>
      <c r="L907" s="599"/>
      <c r="M907" s="599"/>
      <c r="N907" s="600"/>
    </row>
    <row r="908" spans="1:15" ht="25.5" customHeight="1" thickBot="1">
      <c r="A908" s="601"/>
      <c r="B908" s="602"/>
      <c r="C908" s="602"/>
      <c r="D908" s="602"/>
      <c r="E908" s="602"/>
      <c r="F908" s="602"/>
      <c r="G908" s="602"/>
      <c r="H908" s="602"/>
      <c r="I908" s="602"/>
      <c r="J908" s="602"/>
      <c r="K908" s="602"/>
      <c r="L908" s="602"/>
      <c r="M908" s="602"/>
      <c r="N908" s="603"/>
    </row>
    <row r="909" spans="1:15" ht="25.5" customHeight="1">
      <c r="E909" s="206"/>
      <c r="F909" s="206"/>
      <c r="G909" s="206"/>
      <c r="H909" s="206"/>
      <c r="I909" s="206"/>
      <c r="J909" s="206"/>
      <c r="K909" s="206"/>
    </row>
    <row r="910" spans="1:15" ht="21.6" thickBot="1"/>
    <row r="911" spans="1:15" ht="95.25" customHeight="1" thickBot="1">
      <c r="A911" s="592" t="s">
        <v>1883</v>
      </c>
      <c r="B911" s="593"/>
      <c r="C911" s="593"/>
      <c r="D911" s="593"/>
      <c r="E911" s="593"/>
      <c r="F911" s="593"/>
      <c r="G911" s="593"/>
      <c r="H911" s="593"/>
      <c r="I911" s="593"/>
      <c r="J911" s="593"/>
      <c r="K911" s="593"/>
      <c r="L911" s="593"/>
      <c r="M911" s="593"/>
      <c r="N911" s="594"/>
    </row>
    <row r="912" spans="1:15" s="3" customFormat="1" ht="37.5" customHeight="1">
      <c r="A912" s="134" t="s">
        <v>1884</v>
      </c>
      <c r="B912" s="166"/>
      <c r="C912" s="166"/>
      <c r="D912" s="123"/>
      <c r="E912" s="123"/>
      <c r="F912" s="167" t="s">
        <v>1885</v>
      </c>
      <c r="G912" s="167" t="s">
        <v>1886</v>
      </c>
      <c r="H912" s="167"/>
      <c r="I912" s="167"/>
      <c r="J912" s="167"/>
      <c r="K912" s="167"/>
      <c r="L912" s="167"/>
      <c r="M912" s="167"/>
      <c r="N912" s="152"/>
      <c r="O912" s="201"/>
    </row>
    <row r="913" spans="1:14" s="4" customFormat="1" ht="25.2">
      <c r="A913" s="125" t="s">
        <v>1887</v>
      </c>
      <c r="B913" s="123"/>
      <c r="C913" s="123"/>
      <c r="D913" s="123"/>
      <c r="E913" s="123"/>
      <c r="F913" s="167"/>
      <c r="G913" s="167" t="s">
        <v>1888</v>
      </c>
      <c r="H913" s="167"/>
      <c r="I913" s="167"/>
      <c r="J913" s="167"/>
      <c r="K913" s="167"/>
      <c r="L913" s="167"/>
      <c r="M913" s="167"/>
      <c r="N913" s="152"/>
    </row>
    <row r="914" spans="1:14" s="3" customFormat="1" ht="9.9" customHeight="1">
      <c r="A914" s="125"/>
      <c r="B914" s="123"/>
      <c r="C914" s="123"/>
      <c r="D914" s="123"/>
      <c r="E914" s="123"/>
      <c r="F914" s="167"/>
      <c r="G914" s="123"/>
      <c r="H914" s="123"/>
      <c r="I914" s="123"/>
      <c r="J914" s="123"/>
      <c r="K914" s="123"/>
      <c r="L914" s="123"/>
      <c r="M914" s="123"/>
      <c r="N914" s="126"/>
    </row>
    <row r="915" spans="1:14" s="3" customFormat="1" ht="42.75" customHeight="1">
      <c r="A915" s="125" t="s">
        <v>1889</v>
      </c>
      <c r="B915" s="123"/>
      <c r="C915" s="123"/>
      <c r="D915" s="123"/>
      <c r="E915" s="123"/>
      <c r="F915" s="167" t="s">
        <v>1885</v>
      </c>
      <c r="G915" s="167" t="str">
        <f>PL!$B$13</f>
        <v>Branch of JSC "Doosan Enerbility" in the Turkestan region</v>
      </c>
      <c r="H915" s="123"/>
      <c r="I915" s="123"/>
      <c r="J915" s="123"/>
      <c r="K915" s="123"/>
      <c r="L915" s="123"/>
      <c r="M915" s="123"/>
      <c r="N915" s="126"/>
    </row>
    <row r="916" spans="1:14" s="3" customFormat="1" ht="24" customHeight="1">
      <c r="A916" s="125" t="s">
        <v>1890</v>
      </c>
      <c r="B916" s="123"/>
      <c r="C916" s="123"/>
      <c r="D916" s="123"/>
      <c r="E916" s="123"/>
      <c r="F916" s="168"/>
      <c r="G916" s="167" t="str">
        <f>PL!$B$14</f>
        <v>321 Tauke Khan Avenue, Turkestan region, Turkestan, Kazakhstan, 161200</v>
      </c>
      <c r="H916" s="123"/>
      <c r="I916" s="123"/>
      <c r="J916" s="123"/>
      <c r="K916" s="123"/>
      <c r="L916" s="123"/>
      <c r="M916" s="123"/>
      <c r="N916" s="126"/>
    </row>
    <row r="917" spans="1:14" s="4" customFormat="1" ht="25.2">
      <c r="A917" s="125"/>
      <c r="B917" s="123"/>
      <c r="C917" s="123"/>
      <c r="D917" s="123"/>
      <c r="E917" s="123"/>
      <c r="F917" s="168"/>
      <c r="G917" s="167" t="str">
        <f>PL!$B$15</f>
        <v>BIN: 230741006561</v>
      </c>
      <c r="H917" s="123"/>
      <c r="I917" s="123"/>
      <c r="J917" s="123"/>
      <c r="K917" s="123"/>
      <c r="L917" s="123"/>
      <c r="M917" s="123"/>
      <c r="N917" s="126"/>
    </row>
    <row r="918" spans="1:14" s="3" customFormat="1" ht="9.9" customHeight="1">
      <c r="A918" s="125"/>
      <c r="B918" s="123"/>
      <c r="C918" s="123"/>
      <c r="D918" s="123"/>
      <c r="E918" s="123"/>
      <c r="F918" s="169"/>
      <c r="G918" s="169"/>
      <c r="H918" s="123"/>
      <c r="I918" s="123"/>
      <c r="J918" s="123"/>
      <c r="K918" s="123"/>
      <c r="L918" s="123"/>
      <c r="M918" s="123"/>
      <c r="N918" s="126"/>
    </row>
    <row r="919" spans="1:14" s="3" customFormat="1" ht="25.2">
      <c r="A919" s="125" t="s">
        <v>1891</v>
      </c>
      <c r="B919" s="123"/>
      <c r="C919" s="123"/>
      <c r="D919" s="123"/>
      <c r="E919" s="123"/>
      <c r="F919" s="167" t="s">
        <v>1892</v>
      </c>
      <c r="G919" s="123"/>
      <c r="H919" s="123"/>
      <c r="I919" s="123"/>
      <c r="J919" s="123"/>
      <c r="K919" s="123"/>
      <c r="L919" s="123"/>
      <c r="M919" s="123"/>
      <c r="N919" s="126"/>
    </row>
    <row r="920" spans="1:14" s="4" customFormat="1" ht="25.2">
      <c r="A920" s="125" t="s">
        <v>1893</v>
      </c>
      <c r="B920" s="123"/>
      <c r="C920" s="123"/>
      <c r="D920" s="123"/>
      <c r="E920" s="123"/>
      <c r="F920" s="167" t="s">
        <v>1894</v>
      </c>
      <c r="G920" s="123"/>
      <c r="H920" s="123"/>
      <c r="I920" s="123"/>
      <c r="J920" s="123"/>
      <c r="K920" s="123"/>
      <c r="L920" s="123"/>
      <c r="M920" s="123"/>
      <c r="N920" s="126"/>
    </row>
    <row r="921" spans="1:14" s="3" customFormat="1" ht="9.9" customHeight="1">
      <c r="A921" s="125"/>
      <c r="B921" s="123"/>
      <c r="C921" s="123"/>
      <c r="D921" s="123"/>
      <c r="E921" s="123"/>
      <c r="F921" s="167"/>
      <c r="G921" s="123"/>
      <c r="H921" s="123"/>
      <c r="I921" s="123"/>
      <c r="J921" s="123"/>
      <c r="K921" s="123"/>
      <c r="L921" s="123"/>
      <c r="M921" s="123"/>
      <c r="N921" s="126"/>
    </row>
    <row r="922" spans="1:14" s="3" customFormat="1" ht="25.2">
      <c r="A922" s="125" t="s">
        <v>1895</v>
      </c>
      <c r="B922" s="123"/>
      <c r="C922" s="123"/>
      <c r="D922" s="123"/>
      <c r="E922" s="123"/>
      <c r="F922" s="167" t="s">
        <v>1896</v>
      </c>
      <c r="G922" s="167" t="str">
        <f>PL!$V$8</f>
        <v>PGU-DE-0139-001</v>
      </c>
      <c r="H922" s="123"/>
      <c r="I922" s="123"/>
      <c r="J922" s="123"/>
      <c r="K922" s="123"/>
      <c r="L922" s="123"/>
      <c r="M922" s="123"/>
      <c r="N922" s="126"/>
    </row>
    <row r="923" spans="1:14" s="3" customFormat="1" ht="25.2">
      <c r="A923" s="125" t="s">
        <v>1897</v>
      </c>
      <c r="B923" s="123"/>
      <c r="C923" s="123"/>
      <c r="D923" s="123"/>
      <c r="E923" s="123"/>
      <c r="F923" s="167"/>
      <c r="G923" s="123"/>
      <c r="H923" s="123"/>
      <c r="I923" s="123"/>
      <c r="J923" s="123"/>
      <c r="K923" s="123"/>
      <c r="L923" s="123"/>
      <c r="M923" s="123"/>
      <c r="N923" s="126"/>
    </row>
    <row r="924" spans="1:14" s="3" customFormat="1" ht="9.9" customHeight="1">
      <c r="A924" s="125"/>
      <c r="B924" s="123"/>
      <c r="C924" s="123"/>
      <c r="D924" s="123"/>
      <c r="E924" s="123"/>
      <c r="F924" s="167"/>
      <c r="G924" s="123"/>
      <c r="H924" s="123"/>
      <c r="I924" s="123"/>
      <c r="J924" s="123"/>
      <c r="K924" s="123"/>
      <c r="L924" s="123"/>
      <c r="M924" s="123"/>
      <c r="N924" s="126"/>
    </row>
    <row r="925" spans="1:14" s="3" customFormat="1" ht="31.2" customHeight="1">
      <c r="A925" s="127" t="s">
        <v>1898</v>
      </c>
      <c r="B925" s="170"/>
      <c r="C925" s="170"/>
      <c r="D925" s="170"/>
      <c r="E925" s="170"/>
      <c r="F925" s="171" t="s">
        <v>1885</v>
      </c>
      <c r="G925" s="597" t="e">
        <f>VLOOKUP(G928, 'Detail PL'!$B$14:$Q$799,2)</f>
        <v>#N/A</v>
      </c>
      <c r="H925" s="597"/>
      <c r="I925" s="597"/>
      <c r="J925" s="597"/>
      <c r="K925" s="597"/>
      <c r="L925" s="597"/>
      <c r="M925" s="597"/>
      <c r="N925" s="128"/>
    </row>
    <row r="926" spans="1:14" s="3" customFormat="1" ht="25.2">
      <c r="A926" s="127" t="s">
        <v>1899</v>
      </c>
      <c r="B926" s="170"/>
      <c r="C926" s="170"/>
      <c r="D926" s="170"/>
      <c r="E926" s="170"/>
      <c r="F926" s="171"/>
      <c r="G926" s="170"/>
      <c r="H926" s="170"/>
      <c r="I926" s="170"/>
      <c r="J926" s="170"/>
      <c r="K926" s="170"/>
      <c r="L926" s="170"/>
      <c r="M926" s="170"/>
      <c r="N926" s="128"/>
    </row>
    <row r="927" spans="1:14" s="3" customFormat="1" ht="9.9" customHeight="1">
      <c r="A927" s="125"/>
      <c r="B927" s="123"/>
      <c r="C927" s="123"/>
      <c r="D927" s="123"/>
      <c r="E927" s="123"/>
      <c r="F927" s="167"/>
      <c r="G927" s="123"/>
      <c r="H927" s="123"/>
      <c r="I927" s="123"/>
      <c r="J927" s="123"/>
      <c r="K927" s="123"/>
      <c r="L927" s="123"/>
      <c r="M927" s="123"/>
      <c r="N927" s="126"/>
    </row>
    <row r="928" spans="1:14" s="3" customFormat="1" ht="25.2">
      <c r="A928" s="125" t="s">
        <v>1900</v>
      </c>
      <c r="B928" s="123"/>
      <c r="C928" s="123"/>
      <c r="D928" s="123"/>
      <c r="E928" s="123"/>
      <c r="F928" s="171" t="s">
        <v>1901</v>
      </c>
      <c r="G928" s="604">
        <f t="shared" ref="G928" si="24">G893+1</f>
        <v>27</v>
      </c>
      <c r="H928" s="604"/>
      <c r="I928" s="604"/>
      <c r="J928" s="604"/>
      <c r="K928" s="604"/>
      <c r="L928" s="123"/>
      <c r="M928" s="123"/>
      <c r="N928" s="126"/>
    </row>
    <row r="929" spans="1:14" s="4" customFormat="1" ht="25.2">
      <c r="A929" s="125" t="s">
        <v>1903</v>
      </c>
      <c r="B929" s="123"/>
      <c r="C929" s="123"/>
      <c r="D929" s="123"/>
      <c r="E929" s="123"/>
      <c r="F929" s="167"/>
      <c r="G929" s="167"/>
      <c r="H929" s="123"/>
      <c r="I929" s="123"/>
      <c r="J929" s="123"/>
      <c r="K929" s="123"/>
      <c r="L929" s="123"/>
      <c r="M929" s="123"/>
      <c r="N929" s="126"/>
    </row>
    <row r="930" spans="1:14" s="3" customFormat="1" ht="9.9" customHeight="1">
      <c r="A930" s="125"/>
      <c r="B930" s="123"/>
      <c r="C930" s="123"/>
      <c r="D930" s="123"/>
      <c r="E930" s="123"/>
      <c r="F930" s="167"/>
      <c r="G930" s="167"/>
      <c r="H930" s="123"/>
      <c r="I930" s="123"/>
      <c r="J930" s="123"/>
      <c r="K930" s="123"/>
      <c r="L930" s="123"/>
      <c r="M930" s="123"/>
      <c r="N930" s="126"/>
    </row>
    <row r="931" spans="1:14" s="3" customFormat="1" ht="25.2">
      <c r="A931" s="125" t="s">
        <v>1904</v>
      </c>
      <c r="B931" s="123"/>
      <c r="C931" s="123"/>
      <c r="D931" s="123"/>
      <c r="E931" s="123"/>
      <c r="F931" s="167" t="s">
        <v>1896</v>
      </c>
      <c r="G931" s="204" t="e">
        <f>VLOOKUP(G928, 'Detail PL'!$B$14:$Q$799, 10)</f>
        <v>#N/A</v>
      </c>
      <c r="H931" s="204" t="s">
        <v>1905</v>
      </c>
      <c r="I931" s="204"/>
      <c r="J931" s="204"/>
      <c r="K931" s="123"/>
      <c r="L931" s="123"/>
      <c r="M931" s="123"/>
      <c r="N931" s="126"/>
    </row>
    <row r="932" spans="1:14" s="4" customFormat="1" ht="25.2">
      <c r="A932" s="125" t="s">
        <v>1906</v>
      </c>
      <c r="B932" s="123"/>
      <c r="C932" s="123"/>
      <c r="D932" s="123"/>
      <c r="E932" s="123"/>
      <c r="F932" s="167"/>
      <c r="G932" s="167"/>
      <c r="H932" s="167"/>
      <c r="I932" s="123"/>
      <c r="J932" s="123"/>
      <c r="K932" s="123"/>
      <c r="L932" s="123"/>
      <c r="M932" s="123"/>
      <c r="N932" s="126"/>
    </row>
    <row r="933" spans="1:14" s="3" customFormat="1" ht="9.9" customHeight="1">
      <c r="A933" s="125"/>
      <c r="B933" s="123"/>
      <c r="C933" s="123"/>
      <c r="D933" s="123"/>
      <c r="E933" s="123"/>
      <c r="F933" s="167"/>
      <c r="G933" s="167"/>
      <c r="H933" s="167"/>
      <c r="I933" s="123"/>
      <c r="J933" s="123"/>
      <c r="K933" s="123"/>
      <c r="L933" s="123"/>
      <c r="M933" s="123"/>
      <c r="N933" s="126"/>
    </row>
    <row r="934" spans="1:14" s="3" customFormat="1" ht="25.2">
      <c r="A934" s="125" t="s">
        <v>1907</v>
      </c>
      <c r="B934" s="123"/>
      <c r="C934" s="123"/>
      <c r="D934" s="123"/>
      <c r="E934" s="123"/>
      <c r="F934" s="167" t="s">
        <v>1896</v>
      </c>
      <c r="G934" s="204" t="e">
        <f>VLOOKUP(G928, 'Detail PL'!$B$14:$Q$799, 11)</f>
        <v>#N/A</v>
      </c>
      <c r="H934" s="204" t="s">
        <v>1905</v>
      </c>
      <c r="I934" s="204"/>
      <c r="J934" s="204"/>
      <c r="K934" s="123"/>
      <c r="L934" s="123"/>
      <c r="M934" s="123"/>
      <c r="N934" s="126"/>
    </row>
    <row r="935" spans="1:14" s="4" customFormat="1" ht="25.2">
      <c r="A935" s="125" t="s">
        <v>1908</v>
      </c>
      <c r="B935" s="123"/>
      <c r="C935" s="123"/>
      <c r="D935" s="123"/>
      <c r="E935" s="123"/>
      <c r="F935" s="167"/>
      <c r="G935" s="167"/>
      <c r="H935" s="123"/>
      <c r="I935" s="123"/>
      <c r="J935" s="123"/>
      <c r="K935" s="123"/>
      <c r="L935" s="123"/>
      <c r="M935" s="123"/>
      <c r="N935" s="126"/>
    </row>
    <row r="936" spans="1:14" s="3" customFormat="1" ht="9.9" customHeight="1">
      <c r="A936" s="125"/>
      <c r="B936" s="123"/>
      <c r="C936" s="123"/>
      <c r="D936" s="123"/>
      <c r="E936" s="123"/>
      <c r="F936" s="167"/>
      <c r="G936" s="167"/>
      <c r="H936" s="123"/>
      <c r="I936" s="123"/>
      <c r="J936" s="123"/>
      <c r="K936" s="123"/>
      <c r="L936" s="123"/>
      <c r="M936" s="123"/>
      <c r="N936" s="126"/>
    </row>
    <row r="937" spans="1:14" s="3" customFormat="1" ht="25.2">
      <c r="A937" s="129" t="s">
        <v>1909</v>
      </c>
      <c r="B937" s="123"/>
      <c r="C937" s="123"/>
      <c r="D937" s="123"/>
      <c r="E937" s="123"/>
      <c r="F937" s="167" t="s">
        <v>1896</v>
      </c>
      <c r="G937" s="204" t="e">
        <f>VLOOKUP(G928, 'Detail PL'!$B$14:$Q$799, 9)</f>
        <v>#N/A</v>
      </c>
      <c r="H937" s="205" t="s">
        <v>1910</v>
      </c>
      <c r="I937" s="203"/>
      <c r="J937" s="203"/>
      <c r="K937" s="172"/>
      <c r="L937" s="123"/>
      <c r="M937" s="123"/>
      <c r="N937" s="126"/>
    </row>
    <row r="938" spans="1:14" s="4" customFormat="1" ht="25.2">
      <c r="A938" s="125" t="s">
        <v>1911</v>
      </c>
      <c r="B938" s="123"/>
      <c r="C938" s="123"/>
      <c r="D938" s="123"/>
      <c r="E938" s="123"/>
      <c r="F938" s="167"/>
      <c r="G938" s="167"/>
      <c r="H938" s="123"/>
      <c r="I938" s="123"/>
      <c r="J938" s="123"/>
      <c r="K938" s="123"/>
      <c r="L938" s="123"/>
      <c r="M938" s="123"/>
      <c r="N938" s="126"/>
    </row>
    <row r="939" spans="1:14" s="3" customFormat="1" ht="9.9" customHeight="1">
      <c r="A939" s="125"/>
      <c r="B939" s="123"/>
      <c r="C939" s="123"/>
      <c r="D939" s="123"/>
      <c r="E939" s="123"/>
      <c r="F939" s="167"/>
      <c r="G939" s="167"/>
      <c r="H939" s="123"/>
      <c r="I939" s="123"/>
      <c r="J939" s="123"/>
      <c r="K939" s="123"/>
      <c r="L939" s="123"/>
      <c r="M939" s="123"/>
      <c r="N939" s="126"/>
    </row>
    <row r="940" spans="1:14" s="3" customFormat="1" ht="42" customHeight="1">
      <c r="A940" s="125" t="s">
        <v>1912</v>
      </c>
      <c r="B940" s="123"/>
      <c r="C940" s="123"/>
      <c r="D940" s="123"/>
      <c r="E940" s="123"/>
      <c r="F940" s="166" t="s">
        <v>1913</v>
      </c>
      <c r="G940" s="595" t="s">
        <v>1914</v>
      </c>
      <c r="H940" s="595"/>
      <c r="I940" s="595"/>
      <c r="J940" s="595"/>
      <c r="K940" s="595"/>
      <c r="L940" s="595"/>
      <c r="M940" s="595"/>
      <c r="N940" s="596"/>
    </row>
    <row r="941" spans="1:14" s="4" customFormat="1" ht="25.8" thickBot="1">
      <c r="A941" s="125" t="s">
        <v>1915</v>
      </c>
      <c r="B941" s="123"/>
      <c r="C941" s="123"/>
      <c r="D941" s="123"/>
      <c r="E941" s="123"/>
      <c r="F941" s="167"/>
      <c r="G941" s="167"/>
      <c r="H941" s="123"/>
      <c r="I941" s="123"/>
      <c r="J941" s="123"/>
      <c r="K941" s="123"/>
      <c r="L941" s="123"/>
      <c r="M941" s="123"/>
      <c r="N941" s="126"/>
    </row>
    <row r="942" spans="1:14" ht="21" customHeight="1">
      <c r="A942" s="598" t="s">
        <v>1916</v>
      </c>
      <c r="B942" s="599"/>
      <c r="C942" s="599"/>
      <c r="D942" s="599"/>
      <c r="E942" s="599"/>
      <c r="F942" s="599"/>
      <c r="G942" s="599"/>
      <c r="H942" s="599"/>
      <c r="I942" s="599"/>
      <c r="J942" s="599"/>
      <c r="K942" s="599"/>
      <c r="L942" s="599"/>
      <c r="M942" s="599"/>
      <c r="N942" s="600"/>
    </row>
    <row r="943" spans="1:14" ht="25.5" customHeight="1" thickBot="1">
      <c r="A943" s="601"/>
      <c r="B943" s="602"/>
      <c r="C943" s="602"/>
      <c r="D943" s="602"/>
      <c r="E943" s="602"/>
      <c r="F943" s="602"/>
      <c r="G943" s="602"/>
      <c r="H943" s="602"/>
      <c r="I943" s="602"/>
      <c r="J943" s="602"/>
      <c r="K943" s="602"/>
      <c r="L943" s="602"/>
      <c r="M943" s="602"/>
      <c r="N943" s="603"/>
    </row>
    <row r="944" spans="1:14" ht="25.5" customHeight="1">
      <c r="E944" s="206"/>
      <c r="F944" s="206"/>
      <c r="G944" s="206"/>
      <c r="H944" s="206"/>
      <c r="I944" s="206"/>
      <c r="J944" s="206"/>
      <c r="K944" s="206"/>
    </row>
    <row r="945" spans="1:15" ht="21.6" thickBot="1"/>
    <row r="946" spans="1:15" ht="95.25" customHeight="1" thickBot="1">
      <c r="A946" s="592" t="s">
        <v>1883</v>
      </c>
      <c r="B946" s="593"/>
      <c r="C946" s="593"/>
      <c r="D946" s="593"/>
      <c r="E946" s="593"/>
      <c r="F946" s="593"/>
      <c r="G946" s="593"/>
      <c r="H946" s="593"/>
      <c r="I946" s="593"/>
      <c r="J946" s="593"/>
      <c r="K946" s="593"/>
      <c r="L946" s="593"/>
      <c r="M946" s="593"/>
      <c r="N946" s="594"/>
    </row>
    <row r="947" spans="1:15" s="3" customFormat="1" ht="37.5" customHeight="1">
      <c r="A947" s="134" t="s">
        <v>1884</v>
      </c>
      <c r="B947" s="166"/>
      <c r="C947" s="166"/>
      <c r="D947" s="123"/>
      <c r="E947" s="123"/>
      <c r="F947" s="167" t="s">
        <v>1885</v>
      </c>
      <c r="G947" s="167" t="s">
        <v>1886</v>
      </c>
      <c r="H947" s="167"/>
      <c r="I947" s="167"/>
      <c r="J947" s="167"/>
      <c r="K947" s="167"/>
      <c r="L947" s="167"/>
      <c r="M947" s="167"/>
      <c r="N947" s="152"/>
      <c r="O947" s="201"/>
    </row>
    <row r="948" spans="1:15" s="4" customFormat="1" ht="25.2">
      <c r="A948" s="125" t="s">
        <v>1887</v>
      </c>
      <c r="B948" s="123"/>
      <c r="C948" s="123"/>
      <c r="D948" s="123"/>
      <c r="E948" s="123"/>
      <c r="F948" s="167"/>
      <c r="G948" s="167" t="s">
        <v>1888</v>
      </c>
      <c r="H948" s="167"/>
      <c r="I948" s="167"/>
      <c r="J948" s="167"/>
      <c r="K948" s="167"/>
      <c r="L948" s="167"/>
      <c r="M948" s="167"/>
      <c r="N948" s="152"/>
    </row>
    <row r="949" spans="1:15" s="3" customFormat="1" ht="9.9" customHeight="1">
      <c r="A949" s="125"/>
      <c r="B949" s="123"/>
      <c r="C949" s="123"/>
      <c r="D949" s="123"/>
      <c r="E949" s="123"/>
      <c r="F949" s="167"/>
      <c r="G949" s="123"/>
      <c r="H949" s="123"/>
      <c r="I949" s="123"/>
      <c r="J949" s="123"/>
      <c r="K949" s="123"/>
      <c r="L949" s="123"/>
      <c r="M949" s="123"/>
      <c r="N949" s="126"/>
    </row>
    <row r="950" spans="1:15" s="3" customFormat="1" ht="42.75" customHeight="1">
      <c r="A950" s="125" t="s">
        <v>1889</v>
      </c>
      <c r="B950" s="123"/>
      <c r="C950" s="123"/>
      <c r="D950" s="123"/>
      <c r="E950" s="123"/>
      <c r="F950" s="167" t="s">
        <v>1885</v>
      </c>
      <c r="G950" s="167" t="str">
        <f>PL!$B$13</f>
        <v>Branch of JSC "Doosan Enerbility" in the Turkestan region</v>
      </c>
      <c r="H950" s="123"/>
      <c r="I950" s="123"/>
      <c r="J950" s="123"/>
      <c r="K950" s="123"/>
      <c r="L950" s="123"/>
      <c r="M950" s="123"/>
      <c r="N950" s="126"/>
    </row>
    <row r="951" spans="1:15" s="3" customFormat="1" ht="24" customHeight="1">
      <c r="A951" s="125" t="s">
        <v>1890</v>
      </c>
      <c r="B951" s="123"/>
      <c r="C951" s="123"/>
      <c r="D951" s="123"/>
      <c r="E951" s="123"/>
      <c r="F951" s="168"/>
      <c r="G951" s="167" t="str">
        <f>PL!$B$14</f>
        <v>321 Tauke Khan Avenue, Turkestan region, Turkestan, Kazakhstan, 161200</v>
      </c>
      <c r="H951" s="123"/>
      <c r="I951" s="123"/>
      <c r="J951" s="123"/>
      <c r="K951" s="123"/>
      <c r="L951" s="123"/>
      <c r="M951" s="123"/>
      <c r="N951" s="126"/>
    </row>
    <row r="952" spans="1:15" s="4" customFormat="1" ht="25.2">
      <c r="A952" s="125"/>
      <c r="B952" s="123"/>
      <c r="C952" s="123"/>
      <c r="D952" s="123"/>
      <c r="E952" s="123"/>
      <c r="F952" s="168"/>
      <c r="G952" s="167" t="str">
        <f>PL!$B$15</f>
        <v>BIN: 230741006561</v>
      </c>
      <c r="H952" s="123"/>
      <c r="I952" s="123"/>
      <c r="J952" s="123"/>
      <c r="K952" s="123"/>
      <c r="L952" s="123"/>
      <c r="M952" s="123"/>
      <c r="N952" s="126"/>
    </row>
    <row r="953" spans="1:15" s="3" customFormat="1" ht="9.9" customHeight="1">
      <c r="A953" s="125"/>
      <c r="B953" s="123"/>
      <c r="C953" s="123"/>
      <c r="D953" s="123"/>
      <c r="E953" s="123"/>
      <c r="F953" s="169"/>
      <c r="G953" s="169"/>
      <c r="H953" s="123"/>
      <c r="I953" s="123"/>
      <c r="J953" s="123"/>
      <c r="K953" s="123"/>
      <c r="L953" s="123"/>
      <c r="M953" s="123"/>
      <c r="N953" s="126"/>
    </row>
    <row r="954" spans="1:15" s="3" customFormat="1" ht="25.2">
      <c r="A954" s="125" t="s">
        <v>1891</v>
      </c>
      <c r="B954" s="123"/>
      <c r="C954" s="123"/>
      <c r="D954" s="123"/>
      <c r="E954" s="123"/>
      <c r="F954" s="167" t="s">
        <v>1892</v>
      </c>
      <c r="G954" s="123"/>
      <c r="H954" s="123"/>
      <c r="I954" s="123"/>
      <c r="J954" s="123"/>
      <c r="K954" s="123"/>
      <c r="L954" s="123"/>
      <c r="M954" s="123"/>
      <c r="N954" s="126"/>
    </row>
    <row r="955" spans="1:15" s="4" customFormat="1" ht="25.2">
      <c r="A955" s="125" t="s">
        <v>1893</v>
      </c>
      <c r="B955" s="123"/>
      <c r="C955" s="123"/>
      <c r="D955" s="123"/>
      <c r="E955" s="123"/>
      <c r="F955" s="167" t="s">
        <v>1894</v>
      </c>
      <c r="G955" s="123"/>
      <c r="H955" s="123"/>
      <c r="I955" s="123"/>
      <c r="J955" s="123"/>
      <c r="K955" s="123"/>
      <c r="L955" s="123"/>
      <c r="M955" s="123"/>
      <c r="N955" s="126"/>
    </row>
    <row r="956" spans="1:15" s="3" customFormat="1" ht="9.9" customHeight="1">
      <c r="A956" s="125"/>
      <c r="B956" s="123"/>
      <c r="C956" s="123"/>
      <c r="D956" s="123"/>
      <c r="E956" s="123"/>
      <c r="F956" s="167"/>
      <c r="G956" s="123"/>
      <c r="H956" s="123"/>
      <c r="I956" s="123"/>
      <c r="J956" s="123"/>
      <c r="K956" s="123"/>
      <c r="L956" s="123"/>
      <c r="M956" s="123"/>
      <c r="N956" s="126"/>
    </row>
    <row r="957" spans="1:15" s="3" customFormat="1" ht="25.2">
      <c r="A957" s="125" t="s">
        <v>1895</v>
      </c>
      <c r="B957" s="123"/>
      <c r="C957" s="123"/>
      <c r="D957" s="123"/>
      <c r="E957" s="123"/>
      <c r="F957" s="167" t="s">
        <v>1896</v>
      </c>
      <c r="G957" s="167" t="str">
        <f>PL!$V$8</f>
        <v>PGU-DE-0139-001</v>
      </c>
      <c r="H957" s="123"/>
      <c r="I957" s="123"/>
      <c r="J957" s="123"/>
      <c r="K957" s="123"/>
      <c r="L957" s="123"/>
      <c r="M957" s="123"/>
      <c r="N957" s="126"/>
    </row>
    <row r="958" spans="1:15" s="3" customFormat="1" ht="25.2">
      <c r="A958" s="125" t="s">
        <v>1897</v>
      </c>
      <c r="B958" s="123"/>
      <c r="C958" s="123"/>
      <c r="D958" s="123"/>
      <c r="E958" s="123"/>
      <c r="F958" s="167"/>
      <c r="G958" s="123"/>
      <c r="H958" s="123"/>
      <c r="I958" s="123"/>
      <c r="J958" s="123"/>
      <c r="K958" s="123"/>
      <c r="L958" s="123"/>
      <c r="M958" s="123"/>
      <c r="N958" s="126"/>
    </row>
    <row r="959" spans="1:15" s="3" customFormat="1" ht="9.9" customHeight="1">
      <c r="A959" s="125"/>
      <c r="B959" s="123"/>
      <c r="C959" s="123"/>
      <c r="D959" s="123"/>
      <c r="E959" s="123"/>
      <c r="F959" s="167"/>
      <c r="G959" s="123"/>
      <c r="H959" s="123"/>
      <c r="I959" s="123"/>
      <c r="J959" s="123"/>
      <c r="K959" s="123"/>
      <c r="L959" s="123"/>
      <c r="M959" s="123"/>
      <c r="N959" s="126"/>
    </row>
    <row r="960" spans="1:15" s="3" customFormat="1" ht="31.2" customHeight="1">
      <c r="A960" s="127" t="s">
        <v>1898</v>
      </c>
      <c r="B960" s="170"/>
      <c r="C960" s="170"/>
      <c r="D960" s="170"/>
      <c r="E960" s="170"/>
      <c r="F960" s="171" t="s">
        <v>1885</v>
      </c>
      <c r="G960" s="597" t="e">
        <f>VLOOKUP(G963, 'Detail PL'!$B$14:$Q$799,2)</f>
        <v>#N/A</v>
      </c>
      <c r="H960" s="597"/>
      <c r="I960" s="597"/>
      <c r="J960" s="597"/>
      <c r="K960" s="597"/>
      <c r="L960" s="597"/>
      <c r="M960" s="597"/>
      <c r="N960" s="128"/>
    </row>
    <row r="961" spans="1:14" s="3" customFormat="1" ht="25.2">
      <c r="A961" s="127" t="s">
        <v>1899</v>
      </c>
      <c r="B961" s="170"/>
      <c r="C961" s="170"/>
      <c r="D961" s="170"/>
      <c r="E961" s="170"/>
      <c r="F961" s="171"/>
      <c r="G961" s="170"/>
      <c r="H961" s="170"/>
      <c r="I961" s="170"/>
      <c r="J961" s="170"/>
      <c r="K961" s="170"/>
      <c r="L961" s="170"/>
      <c r="M961" s="170"/>
      <c r="N961" s="128"/>
    </row>
    <row r="962" spans="1:14" s="3" customFormat="1" ht="9.9" customHeight="1">
      <c r="A962" s="125"/>
      <c r="B962" s="123"/>
      <c r="C962" s="123"/>
      <c r="D962" s="123"/>
      <c r="E962" s="123"/>
      <c r="F962" s="167"/>
      <c r="G962" s="123"/>
      <c r="H962" s="123"/>
      <c r="I962" s="123"/>
      <c r="J962" s="123"/>
      <c r="K962" s="123"/>
      <c r="L962" s="123"/>
      <c r="M962" s="123"/>
      <c r="N962" s="126"/>
    </row>
    <row r="963" spans="1:14" s="3" customFormat="1" ht="25.2">
      <c r="A963" s="125" t="s">
        <v>1900</v>
      </c>
      <c r="B963" s="123"/>
      <c r="C963" s="123"/>
      <c r="D963" s="123"/>
      <c r="E963" s="123"/>
      <c r="F963" s="171" t="s">
        <v>1901</v>
      </c>
      <c r="G963" s="604">
        <f t="shared" ref="G963" si="25">G928+1</f>
        <v>28</v>
      </c>
      <c r="H963" s="604"/>
      <c r="I963" s="604"/>
      <c r="J963" s="604"/>
      <c r="K963" s="604"/>
      <c r="L963" s="123"/>
      <c r="M963" s="123"/>
      <c r="N963" s="126"/>
    </row>
    <row r="964" spans="1:14" s="4" customFormat="1" ht="25.2">
      <c r="A964" s="125" t="s">
        <v>1903</v>
      </c>
      <c r="B964" s="123"/>
      <c r="C964" s="123"/>
      <c r="D964" s="123"/>
      <c r="E964" s="123"/>
      <c r="F964" s="167"/>
      <c r="G964" s="167"/>
      <c r="H964" s="123"/>
      <c r="I964" s="123"/>
      <c r="J964" s="123"/>
      <c r="K964" s="123"/>
      <c r="L964" s="123"/>
      <c r="M964" s="123"/>
      <c r="N964" s="126"/>
    </row>
    <row r="965" spans="1:14" s="3" customFormat="1" ht="9.9" customHeight="1">
      <c r="A965" s="125"/>
      <c r="B965" s="123"/>
      <c r="C965" s="123"/>
      <c r="D965" s="123"/>
      <c r="E965" s="123"/>
      <c r="F965" s="167"/>
      <c r="G965" s="167"/>
      <c r="H965" s="123"/>
      <c r="I965" s="123"/>
      <c r="J965" s="123"/>
      <c r="K965" s="123"/>
      <c r="L965" s="123"/>
      <c r="M965" s="123"/>
      <c r="N965" s="126"/>
    </row>
    <row r="966" spans="1:14" s="3" customFormat="1" ht="25.2">
      <c r="A966" s="125" t="s">
        <v>1904</v>
      </c>
      <c r="B966" s="123"/>
      <c r="C966" s="123"/>
      <c r="D966" s="123"/>
      <c r="E966" s="123"/>
      <c r="F966" s="167" t="s">
        <v>1896</v>
      </c>
      <c r="G966" s="204" t="e">
        <f>VLOOKUP(G963, 'Detail PL'!$B$14:$Q$799, 10)</f>
        <v>#N/A</v>
      </c>
      <c r="H966" s="204" t="s">
        <v>1905</v>
      </c>
      <c r="I966" s="204"/>
      <c r="J966" s="204"/>
      <c r="K966" s="123"/>
      <c r="L966" s="123"/>
      <c r="M966" s="123"/>
      <c r="N966" s="126"/>
    </row>
    <row r="967" spans="1:14" s="4" customFormat="1" ht="25.2">
      <c r="A967" s="125" t="s">
        <v>1906</v>
      </c>
      <c r="B967" s="123"/>
      <c r="C967" s="123"/>
      <c r="D967" s="123"/>
      <c r="E967" s="123"/>
      <c r="F967" s="167"/>
      <c r="G967" s="167"/>
      <c r="H967" s="167"/>
      <c r="I967" s="123"/>
      <c r="J967" s="123"/>
      <c r="K967" s="123"/>
      <c r="L967" s="123"/>
      <c r="M967" s="123"/>
      <c r="N967" s="126"/>
    </row>
    <row r="968" spans="1:14" s="3" customFormat="1" ht="9.9" customHeight="1">
      <c r="A968" s="125"/>
      <c r="B968" s="123"/>
      <c r="C968" s="123"/>
      <c r="D968" s="123"/>
      <c r="E968" s="123"/>
      <c r="F968" s="167"/>
      <c r="G968" s="167"/>
      <c r="H968" s="167"/>
      <c r="I968" s="123"/>
      <c r="J968" s="123"/>
      <c r="K968" s="123"/>
      <c r="L968" s="123"/>
      <c r="M968" s="123"/>
      <c r="N968" s="126"/>
    </row>
    <row r="969" spans="1:14" s="3" customFormat="1" ht="25.2">
      <c r="A969" s="125" t="s">
        <v>1907</v>
      </c>
      <c r="B969" s="123"/>
      <c r="C969" s="123"/>
      <c r="D969" s="123"/>
      <c r="E969" s="123"/>
      <c r="F969" s="167" t="s">
        <v>1896</v>
      </c>
      <c r="G969" s="204" t="e">
        <f>VLOOKUP(G963, 'Detail PL'!$B$14:$Q$799, 11)</f>
        <v>#N/A</v>
      </c>
      <c r="H969" s="204" t="s">
        <v>1905</v>
      </c>
      <c r="I969" s="204"/>
      <c r="J969" s="204"/>
      <c r="K969" s="123"/>
      <c r="L969" s="123"/>
      <c r="M969" s="123"/>
      <c r="N969" s="126"/>
    </row>
    <row r="970" spans="1:14" s="4" customFormat="1" ht="25.2">
      <c r="A970" s="125" t="s">
        <v>1908</v>
      </c>
      <c r="B970" s="123"/>
      <c r="C970" s="123"/>
      <c r="D970" s="123"/>
      <c r="E970" s="123"/>
      <c r="F970" s="167"/>
      <c r="G970" s="167"/>
      <c r="H970" s="123"/>
      <c r="I970" s="123"/>
      <c r="J970" s="123"/>
      <c r="K970" s="123"/>
      <c r="L970" s="123"/>
      <c r="M970" s="123"/>
      <c r="N970" s="126"/>
    </row>
    <row r="971" spans="1:14" s="3" customFormat="1" ht="9.9" customHeight="1">
      <c r="A971" s="125"/>
      <c r="B971" s="123"/>
      <c r="C971" s="123"/>
      <c r="D971" s="123"/>
      <c r="E971" s="123"/>
      <c r="F971" s="167"/>
      <c r="G971" s="167"/>
      <c r="H971" s="123"/>
      <c r="I971" s="123"/>
      <c r="J971" s="123"/>
      <c r="K971" s="123"/>
      <c r="L971" s="123"/>
      <c r="M971" s="123"/>
      <c r="N971" s="126"/>
    </row>
    <row r="972" spans="1:14" s="3" customFormat="1" ht="25.2">
      <c r="A972" s="129" t="s">
        <v>1909</v>
      </c>
      <c r="B972" s="123"/>
      <c r="C972" s="123"/>
      <c r="D972" s="123"/>
      <c r="E972" s="123"/>
      <c r="F972" s="167" t="s">
        <v>1896</v>
      </c>
      <c r="G972" s="204" t="e">
        <f>VLOOKUP(G963, 'Detail PL'!$B$14:$Q$799, 9)</f>
        <v>#N/A</v>
      </c>
      <c r="H972" s="205" t="s">
        <v>1910</v>
      </c>
      <c r="I972" s="203"/>
      <c r="J972" s="203"/>
      <c r="K972" s="172"/>
      <c r="L972" s="123"/>
      <c r="M972" s="123"/>
      <c r="N972" s="126"/>
    </row>
    <row r="973" spans="1:14" s="4" customFormat="1" ht="25.2">
      <c r="A973" s="125" t="s">
        <v>1911</v>
      </c>
      <c r="B973" s="123"/>
      <c r="C973" s="123"/>
      <c r="D973" s="123"/>
      <c r="E973" s="123"/>
      <c r="F973" s="167"/>
      <c r="G973" s="167"/>
      <c r="H973" s="123"/>
      <c r="I973" s="123"/>
      <c r="J973" s="123"/>
      <c r="K973" s="123"/>
      <c r="L973" s="123"/>
      <c r="M973" s="123"/>
      <c r="N973" s="126"/>
    </row>
    <row r="974" spans="1:14" s="3" customFormat="1" ht="9.9" customHeight="1">
      <c r="A974" s="125"/>
      <c r="B974" s="123"/>
      <c r="C974" s="123"/>
      <c r="D974" s="123"/>
      <c r="E974" s="123"/>
      <c r="F974" s="167"/>
      <c r="G974" s="167"/>
      <c r="H974" s="123"/>
      <c r="I974" s="123"/>
      <c r="J974" s="123"/>
      <c r="K974" s="123"/>
      <c r="L974" s="123"/>
      <c r="M974" s="123"/>
      <c r="N974" s="126"/>
    </row>
    <row r="975" spans="1:14" s="3" customFormat="1" ht="42" customHeight="1">
      <c r="A975" s="125" t="s">
        <v>1912</v>
      </c>
      <c r="B975" s="123"/>
      <c r="C975" s="123"/>
      <c r="D975" s="123"/>
      <c r="E975" s="123"/>
      <c r="F975" s="166" t="s">
        <v>1913</v>
      </c>
      <c r="G975" s="595" t="s">
        <v>1914</v>
      </c>
      <c r="H975" s="595"/>
      <c r="I975" s="595"/>
      <c r="J975" s="595"/>
      <c r="K975" s="595"/>
      <c r="L975" s="595"/>
      <c r="M975" s="595"/>
      <c r="N975" s="596"/>
    </row>
    <row r="976" spans="1:14" s="4" customFormat="1" ht="25.8" thickBot="1">
      <c r="A976" s="125" t="s">
        <v>1915</v>
      </c>
      <c r="B976" s="123"/>
      <c r="C976" s="123"/>
      <c r="D976" s="123"/>
      <c r="E976" s="123"/>
      <c r="F976" s="167"/>
      <c r="G976" s="167"/>
      <c r="H976" s="123"/>
      <c r="I976" s="123"/>
      <c r="J976" s="123"/>
      <c r="K976" s="123"/>
      <c r="L976" s="123"/>
      <c r="M976" s="123"/>
      <c r="N976" s="126"/>
    </row>
    <row r="977" spans="1:15" ht="21" customHeight="1">
      <c r="A977" s="598" t="s">
        <v>1916</v>
      </c>
      <c r="B977" s="599"/>
      <c r="C977" s="599"/>
      <c r="D977" s="599"/>
      <c r="E977" s="599"/>
      <c r="F977" s="599"/>
      <c r="G977" s="599"/>
      <c r="H977" s="599"/>
      <c r="I977" s="599"/>
      <c r="J977" s="599"/>
      <c r="K977" s="599"/>
      <c r="L977" s="599"/>
      <c r="M977" s="599"/>
      <c r="N977" s="600"/>
    </row>
    <row r="978" spans="1:15" ht="25.5" customHeight="1" thickBot="1">
      <c r="A978" s="601"/>
      <c r="B978" s="602"/>
      <c r="C978" s="602"/>
      <c r="D978" s="602"/>
      <c r="E978" s="602"/>
      <c r="F978" s="602"/>
      <c r="G978" s="602"/>
      <c r="H978" s="602"/>
      <c r="I978" s="602"/>
      <c r="J978" s="602"/>
      <c r="K978" s="602"/>
      <c r="L978" s="602"/>
      <c r="M978" s="602"/>
      <c r="N978" s="603"/>
    </row>
    <row r="979" spans="1:15" ht="25.5" customHeight="1">
      <c r="E979" s="206"/>
      <c r="F979" s="206"/>
      <c r="G979" s="206"/>
      <c r="H979" s="206"/>
      <c r="I979" s="206"/>
      <c r="J979" s="206"/>
      <c r="K979" s="206"/>
    </row>
    <row r="980" spans="1:15" ht="21.6" thickBot="1"/>
    <row r="981" spans="1:15" ht="95.25" customHeight="1" thickBot="1">
      <c r="A981" s="592" t="s">
        <v>1883</v>
      </c>
      <c r="B981" s="593"/>
      <c r="C981" s="593"/>
      <c r="D981" s="593"/>
      <c r="E981" s="593"/>
      <c r="F981" s="593"/>
      <c r="G981" s="593"/>
      <c r="H981" s="593"/>
      <c r="I981" s="593"/>
      <c r="J981" s="593"/>
      <c r="K981" s="593"/>
      <c r="L981" s="593"/>
      <c r="M981" s="593"/>
      <c r="N981" s="594"/>
    </row>
    <row r="982" spans="1:15" s="3" customFormat="1" ht="37.5" customHeight="1">
      <c r="A982" s="134" t="s">
        <v>1884</v>
      </c>
      <c r="B982" s="166"/>
      <c r="C982" s="166"/>
      <c r="D982" s="123"/>
      <c r="E982" s="123"/>
      <c r="F982" s="167" t="s">
        <v>1885</v>
      </c>
      <c r="G982" s="167" t="s">
        <v>1886</v>
      </c>
      <c r="H982" s="167"/>
      <c r="I982" s="167"/>
      <c r="J982" s="167"/>
      <c r="K982" s="167"/>
      <c r="L982" s="167"/>
      <c r="M982" s="167"/>
      <c r="N982" s="152"/>
      <c r="O982" s="201"/>
    </row>
    <row r="983" spans="1:15" s="4" customFormat="1" ht="25.2">
      <c r="A983" s="125" t="s">
        <v>1887</v>
      </c>
      <c r="B983" s="123"/>
      <c r="C983" s="123"/>
      <c r="D983" s="123"/>
      <c r="E983" s="123"/>
      <c r="F983" s="167"/>
      <c r="G983" s="167" t="s">
        <v>1888</v>
      </c>
      <c r="H983" s="167"/>
      <c r="I983" s="167"/>
      <c r="J983" s="167"/>
      <c r="K983" s="167"/>
      <c r="L983" s="167"/>
      <c r="M983" s="167"/>
      <c r="N983" s="152"/>
    </row>
    <row r="984" spans="1:15" s="3" customFormat="1" ht="9.9" customHeight="1">
      <c r="A984" s="125"/>
      <c r="B984" s="123"/>
      <c r="C984" s="123"/>
      <c r="D984" s="123"/>
      <c r="E984" s="123"/>
      <c r="F984" s="167"/>
      <c r="G984" s="123"/>
      <c r="H984" s="123"/>
      <c r="I984" s="123"/>
      <c r="J984" s="123"/>
      <c r="K984" s="123"/>
      <c r="L984" s="123"/>
      <c r="M984" s="123"/>
      <c r="N984" s="126"/>
    </row>
    <row r="985" spans="1:15" s="3" customFormat="1" ht="42.75" customHeight="1">
      <c r="A985" s="125" t="s">
        <v>1889</v>
      </c>
      <c r="B985" s="123"/>
      <c r="C985" s="123"/>
      <c r="D985" s="123"/>
      <c r="E985" s="123"/>
      <c r="F985" s="167" t="s">
        <v>1885</v>
      </c>
      <c r="G985" s="167" t="str">
        <f>PL!$B$13</f>
        <v>Branch of JSC "Doosan Enerbility" in the Turkestan region</v>
      </c>
      <c r="H985" s="123"/>
      <c r="I985" s="123"/>
      <c r="J985" s="123"/>
      <c r="K985" s="123"/>
      <c r="L985" s="123"/>
      <c r="M985" s="123"/>
      <c r="N985" s="126"/>
    </row>
    <row r="986" spans="1:15" s="3" customFormat="1" ht="24" customHeight="1">
      <c r="A986" s="125" t="s">
        <v>1890</v>
      </c>
      <c r="B986" s="123"/>
      <c r="C986" s="123"/>
      <c r="D986" s="123"/>
      <c r="E986" s="123"/>
      <c r="F986" s="168"/>
      <c r="G986" s="167" t="str">
        <f>PL!$B$14</f>
        <v>321 Tauke Khan Avenue, Turkestan region, Turkestan, Kazakhstan, 161200</v>
      </c>
      <c r="H986" s="123"/>
      <c r="I986" s="123"/>
      <c r="J986" s="123"/>
      <c r="K986" s="123"/>
      <c r="L986" s="123"/>
      <c r="M986" s="123"/>
      <c r="N986" s="126"/>
    </row>
    <row r="987" spans="1:15" s="4" customFormat="1" ht="25.2">
      <c r="A987" s="125"/>
      <c r="B987" s="123"/>
      <c r="C987" s="123"/>
      <c r="D987" s="123"/>
      <c r="E987" s="123"/>
      <c r="F987" s="168"/>
      <c r="G987" s="167" t="str">
        <f>PL!$B$15</f>
        <v>BIN: 230741006561</v>
      </c>
      <c r="H987" s="123"/>
      <c r="I987" s="123"/>
      <c r="J987" s="123"/>
      <c r="K987" s="123"/>
      <c r="L987" s="123"/>
      <c r="M987" s="123"/>
      <c r="N987" s="126"/>
    </row>
    <row r="988" spans="1:15" s="3" customFormat="1" ht="9.9" customHeight="1">
      <c r="A988" s="125"/>
      <c r="B988" s="123"/>
      <c r="C988" s="123"/>
      <c r="D988" s="123"/>
      <c r="E988" s="123"/>
      <c r="F988" s="169"/>
      <c r="G988" s="169"/>
      <c r="H988" s="123"/>
      <c r="I988" s="123"/>
      <c r="J988" s="123"/>
      <c r="K988" s="123"/>
      <c r="L988" s="123"/>
      <c r="M988" s="123"/>
      <c r="N988" s="126"/>
    </row>
    <row r="989" spans="1:15" s="3" customFormat="1" ht="25.2">
      <c r="A989" s="125" t="s">
        <v>1891</v>
      </c>
      <c r="B989" s="123"/>
      <c r="C989" s="123"/>
      <c r="D989" s="123"/>
      <c r="E989" s="123"/>
      <c r="F989" s="167" t="s">
        <v>1892</v>
      </c>
      <c r="G989" s="123"/>
      <c r="H989" s="123"/>
      <c r="I989" s="123"/>
      <c r="J989" s="123"/>
      <c r="K989" s="123"/>
      <c r="L989" s="123"/>
      <c r="M989" s="123"/>
      <c r="N989" s="126"/>
    </row>
    <row r="990" spans="1:15" s="4" customFormat="1" ht="25.2">
      <c r="A990" s="125" t="s">
        <v>1893</v>
      </c>
      <c r="B990" s="123"/>
      <c r="C990" s="123"/>
      <c r="D990" s="123"/>
      <c r="E990" s="123"/>
      <c r="F990" s="167" t="s">
        <v>1894</v>
      </c>
      <c r="G990" s="123"/>
      <c r="H990" s="123"/>
      <c r="I990" s="123"/>
      <c r="J990" s="123"/>
      <c r="K990" s="123"/>
      <c r="L990" s="123"/>
      <c r="M990" s="123"/>
      <c r="N990" s="126"/>
    </row>
    <row r="991" spans="1:15" s="3" customFormat="1" ht="9.9" customHeight="1">
      <c r="A991" s="125"/>
      <c r="B991" s="123"/>
      <c r="C991" s="123"/>
      <c r="D991" s="123"/>
      <c r="E991" s="123"/>
      <c r="F991" s="167"/>
      <c r="G991" s="123"/>
      <c r="H991" s="123"/>
      <c r="I991" s="123"/>
      <c r="J991" s="123"/>
      <c r="K991" s="123"/>
      <c r="L991" s="123"/>
      <c r="M991" s="123"/>
      <c r="N991" s="126"/>
    </row>
    <row r="992" spans="1:15" s="3" customFormat="1" ht="25.2">
      <c r="A992" s="125" t="s">
        <v>1895</v>
      </c>
      <c r="B992" s="123"/>
      <c r="C992" s="123"/>
      <c r="D992" s="123"/>
      <c r="E992" s="123"/>
      <c r="F992" s="167" t="s">
        <v>1896</v>
      </c>
      <c r="G992" s="167" t="str">
        <f>PL!$V$8</f>
        <v>PGU-DE-0139-001</v>
      </c>
      <c r="H992" s="123"/>
      <c r="I992" s="123"/>
      <c r="J992" s="123"/>
      <c r="K992" s="123"/>
      <c r="L992" s="123"/>
      <c r="M992" s="123"/>
      <c r="N992" s="126"/>
    </row>
    <row r="993" spans="1:14" s="3" customFormat="1" ht="25.2">
      <c r="A993" s="125" t="s">
        <v>1897</v>
      </c>
      <c r="B993" s="123"/>
      <c r="C993" s="123"/>
      <c r="D993" s="123"/>
      <c r="E993" s="123"/>
      <c r="F993" s="167"/>
      <c r="G993" s="123"/>
      <c r="H993" s="123"/>
      <c r="I993" s="123"/>
      <c r="J993" s="123"/>
      <c r="K993" s="123"/>
      <c r="L993" s="123"/>
      <c r="M993" s="123"/>
      <c r="N993" s="126"/>
    </row>
    <row r="994" spans="1:14" s="3" customFormat="1" ht="9.9" customHeight="1">
      <c r="A994" s="125"/>
      <c r="B994" s="123"/>
      <c r="C994" s="123"/>
      <c r="D994" s="123"/>
      <c r="E994" s="123"/>
      <c r="F994" s="167"/>
      <c r="G994" s="123"/>
      <c r="H994" s="123"/>
      <c r="I994" s="123"/>
      <c r="J994" s="123"/>
      <c r="K994" s="123"/>
      <c r="L994" s="123"/>
      <c r="M994" s="123"/>
      <c r="N994" s="126"/>
    </row>
    <row r="995" spans="1:14" s="3" customFormat="1" ht="31.2" customHeight="1">
      <c r="A995" s="127" t="s">
        <v>1898</v>
      </c>
      <c r="B995" s="170"/>
      <c r="C995" s="170"/>
      <c r="D995" s="170"/>
      <c r="E995" s="170"/>
      <c r="F995" s="171" t="s">
        <v>1885</v>
      </c>
      <c r="G995" s="597" t="e">
        <f>VLOOKUP(G998, 'Detail PL'!$B$14:$Q$799,2)</f>
        <v>#N/A</v>
      </c>
      <c r="H995" s="597"/>
      <c r="I995" s="597"/>
      <c r="J995" s="597"/>
      <c r="K995" s="597"/>
      <c r="L995" s="597"/>
      <c r="M995" s="597"/>
      <c r="N995" s="128"/>
    </row>
    <row r="996" spans="1:14" s="3" customFormat="1" ht="25.2">
      <c r="A996" s="127" t="s">
        <v>1899</v>
      </c>
      <c r="B996" s="170"/>
      <c r="C996" s="170"/>
      <c r="D996" s="170"/>
      <c r="E996" s="170"/>
      <c r="F996" s="171"/>
      <c r="G996" s="170"/>
      <c r="H996" s="170"/>
      <c r="I996" s="170"/>
      <c r="J996" s="170"/>
      <c r="K996" s="170"/>
      <c r="L996" s="170"/>
      <c r="M996" s="170"/>
      <c r="N996" s="128"/>
    </row>
    <row r="997" spans="1:14" s="3" customFormat="1" ht="9.9" customHeight="1">
      <c r="A997" s="125"/>
      <c r="B997" s="123"/>
      <c r="C997" s="123"/>
      <c r="D997" s="123"/>
      <c r="E997" s="123"/>
      <c r="F997" s="167"/>
      <c r="G997" s="123"/>
      <c r="H997" s="123"/>
      <c r="I997" s="123"/>
      <c r="J997" s="123"/>
      <c r="K997" s="123"/>
      <c r="L997" s="123"/>
      <c r="M997" s="123"/>
      <c r="N997" s="126"/>
    </row>
    <row r="998" spans="1:14" s="3" customFormat="1" ht="25.2">
      <c r="A998" s="125" t="s">
        <v>1900</v>
      </c>
      <c r="B998" s="123"/>
      <c r="C998" s="123"/>
      <c r="D998" s="123"/>
      <c r="E998" s="123"/>
      <c r="F998" s="171" t="s">
        <v>1901</v>
      </c>
      <c r="G998" s="604">
        <f t="shared" ref="G998" si="26">G963+1</f>
        <v>29</v>
      </c>
      <c r="H998" s="604"/>
      <c r="I998" s="604"/>
      <c r="J998" s="604"/>
      <c r="K998" s="604"/>
      <c r="L998" s="123"/>
      <c r="M998" s="123"/>
      <c r="N998" s="126"/>
    </row>
    <row r="999" spans="1:14" s="4" customFormat="1" ht="25.2">
      <c r="A999" s="125" t="s">
        <v>1903</v>
      </c>
      <c r="B999" s="123"/>
      <c r="C999" s="123"/>
      <c r="D999" s="123"/>
      <c r="E999" s="123"/>
      <c r="F999" s="167"/>
      <c r="G999" s="167"/>
      <c r="H999" s="123"/>
      <c r="I999" s="123"/>
      <c r="J999" s="123"/>
      <c r="K999" s="123"/>
      <c r="L999" s="123"/>
      <c r="M999" s="123"/>
      <c r="N999" s="126"/>
    </row>
    <row r="1000" spans="1:14" s="3" customFormat="1" ht="9.9" customHeight="1">
      <c r="A1000" s="125"/>
      <c r="B1000" s="123"/>
      <c r="C1000" s="123"/>
      <c r="D1000" s="123"/>
      <c r="E1000" s="123"/>
      <c r="F1000" s="167"/>
      <c r="G1000" s="167"/>
      <c r="H1000" s="123"/>
      <c r="I1000" s="123"/>
      <c r="J1000" s="123"/>
      <c r="K1000" s="123"/>
      <c r="L1000" s="123"/>
      <c r="M1000" s="123"/>
      <c r="N1000" s="126"/>
    </row>
    <row r="1001" spans="1:14" s="3" customFormat="1" ht="25.2">
      <c r="A1001" s="125" t="s">
        <v>1904</v>
      </c>
      <c r="B1001" s="123"/>
      <c r="C1001" s="123"/>
      <c r="D1001" s="123"/>
      <c r="E1001" s="123"/>
      <c r="F1001" s="167" t="s">
        <v>1896</v>
      </c>
      <c r="G1001" s="204" t="e">
        <f>VLOOKUP(G998, 'Detail PL'!$B$14:$Q$799, 10)</f>
        <v>#N/A</v>
      </c>
      <c r="H1001" s="204" t="s">
        <v>1905</v>
      </c>
      <c r="I1001" s="204"/>
      <c r="J1001" s="204"/>
      <c r="K1001" s="123"/>
      <c r="L1001" s="123"/>
      <c r="M1001" s="123"/>
      <c r="N1001" s="126"/>
    </row>
    <row r="1002" spans="1:14" s="4" customFormat="1" ht="25.2">
      <c r="A1002" s="125" t="s">
        <v>1906</v>
      </c>
      <c r="B1002" s="123"/>
      <c r="C1002" s="123"/>
      <c r="D1002" s="123"/>
      <c r="E1002" s="123"/>
      <c r="F1002" s="167"/>
      <c r="G1002" s="167"/>
      <c r="H1002" s="167"/>
      <c r="I1002" s="123"/>
      <c r="J1002" s="123"/>
      <c r="K1002" s="123"/>
      <c r="L1002" s="123"/>
      <c r="M1002" s="123"/>
      <c r="N1002" s="126"/>
    </row>
    <row r="1003" spans="1:14" s="3" customFormat="1" ht="9.9" customHeight="1">
      <c r="A1003" s="125"/>
      <c r="B1003" s="123"/>
      <c r="C1003" s="123"/>
      <c r="D1003" s="123"/>
      <c r="E1003" s="123"/>
      <c r="F1003" s="167"/>
      <c r="G1003" s="167"/>
      <c r="H1003" s="167"/>
      <c r="I1003" s="123"/>
      <c r="J1003" s="123"/>
      <c r="K1003" s="123"/>
      <c r="L1003" s="123"/>
      <c r="M1003" s="123"/>
      <c r="N1003" s="126"/>
    </row>
    <row r="1004" spans="1:14" s="3" customFormat="1" ht="25.2">
      <c r="A1004" s="125" t="s">
        <v>1907</v>
      </c>
      <c r="B1004" s="123"/>
      <c r="C1004" s="123"/>
      <c r="D1004" s="123"/>
      <c r="E1004" s="123"/>
      <c r="F1004" s="167" t="s">
        <v>1896</v>
      </c>
      <c r="G1004" s="204" t="e">
        <f>VLOOKUP(G998, 'Detail PL'!$B$14:$Q$799, 11)</f>
        <v>#N/A</v>
      </c>
      <c r="H1004" s="204" t="s">
        <v>1905</v>
      </c>
      <c r="I1004" s="204"/>
      <c r="J1004" s="204"/>
      <c r="K1004" s="123"/>
      <c r="L1004" s="123"/>
      <c r="M1004" s="123"/>
      <c r="N1004" s="126"/>
    </row>
    <row r="1005" spans="1:14" s="4" customFormat="1" ht="25.2">
      <c r="A1005" s="125" t="s">
        <v>1908</v>
      </c>
      <c r="B1005" s="123"/>
      <c r="C1005" s="123"/>
      <c r="D1005" s="123"/>
      <c r="E1005" s="123"/>
      <c r="F1005" s="167"/>
      <c r="G1005" s="167"/>
      <c r="H1005" s="123"/>
      <c r="I1005" s="123"/>
      <c r="J1005" s="123"/>
      <c r="K1005" s="123"/>
      <c r="L1005" s="123"/>
      <c r="M1005" s="123"/>
      <c r="N1005" s="126"/>
    </row>
    <row r="1006" spans="1:14" s="3" customFormat="1" ht="9.9" customHeight="1">
      <c r="A1006" s="125"/>
      <c r="B1006" s="123"/>
      <c r="C1006" s="123"/>
      <c r="D1006" s="123"/>
      <c r="E1006" s="123"/>
      <c r="F1006" s="167"/>
      <c r="G1006" s="167"/>
      <c r="H1006" s="123"/>
      <c r="I1006" s="123"/>
      <c r="J1006" s="123"/>
      <c r="K1006" s="123"/>
      <c r="L1006" s="123"/>
      <c r="M1006" s="123"/>
      <c r="N1006" s="126"/>
    </row>
    <row r="1007" spans="1:14" s="3" customFormat="1" ht="25.2">
      <c r="A1007" s="129" t="s">
        <v>1909</v>
      </c>
      <c r="B1007" s="123"/>
      <c r="C1007" s="123"/>
      <c r="D1007" s="123"/>
      <c r="E1007" s="123"/>
      <c r="F1007" s="167" t="s">
        <v>1896</v>
      </c>
      <c r="G1007" s="204" t="e">
        <f>VLOOKUP(G998, 'Detail PL'!$B$14:$Q$799, 9)</f>
        <v>#N/A</v>
      </c>
      <c r="H1007" s="205" t="s">
        <v>1910</v>
      </c>
      <c r="I1007" s="203"/>
      <c r="J1007" s="203"/>
      <c r="K1007" s="172"/>
      <c r="L1007" s="123"/>
      <c r="M1007" s="123"/>
      <c r="N1007" s="126"/>
    </row>
    <row r="1008" spans="1:14" s="4" customFormat="1" ht="25.2">
      <c r="A1008" s="125" t="s">
        <v>1911</v>
      </c>
      <c r="B1008" s="123"/>
      <c r="C1008" s="123"/>
      <c r="D1008" s="123"/>
      <c r="E1008" s="123"/>
      <c r="F1008" s="167"/>
      <c r="G1008" s="167"/>
      <c r="H1008" s="123"/>
      <c r="I1008" s="123"/>
      <c r="J1008" s="123"/>
      <c r="K1008" s="123"/>
      <c r="L1008" s="123"/>
      <c r="M1008" s="123"/>
      <c r="N1008" s="126"/>
    </row>
    <row r="1009" spans="1:15" s="3" customFormat="1" ht="9.9" customHeight="1">
      <c r="A1009" s="125"/>
      <c r="B1009" s="123"/>
      <c r="C1009" s="123"/>
      <c r="D1009" s="123"/>
      <c r="E1009" s="123"/>
      <c r="F1009" s="167"/>
      <c r="G1009" s="167"/>
      <c r="H1009" s="123"/>
      <c r="I1009" s="123"/>
      <c r="J1009" s="123"/>
      <c r="K1009" s="123"/>
      <c r="L1009" s="123"/>
      <c r="M1009" s="123"/>
      <c r="N1009" s="126"/>
    </row>
    <row r="1010" spans="1:15" s="3" customFormat="1" ht="42" customHeight="1">
      <c r="A1010" s="125" t="s">
        <v>1912</v>
      </c>
      <c r="B1010" s="123"/>
      <c r="C1010" s="123"/>
      <c r="D1010" s="123"/>
      <c r="E1010" s="123"/>
      <c r="F1010" s="166" t="s">
        <v>1913</v>
      </c>
      <c r="G1010" s="595" t="s">
        <v>1914</v>
      </c>
      <c r="H1010" s="595"/>
      <c r="I1010" s="595"/>
      <c r="J1010" s="595"/>
      <c r="K1010" s="595"/>
      <c r="L1010" s="595"/>
      <c r="M1010" s="595"/>
      <c r="N1010" s="596"/>
    </row>
    <row r="1011" spans="1:15" s="4" customFormat="1" ht="25.8" thickBot="1">
      <c r="A1011" s="125" t="s">
        <v>1915</v>
      </c>
      <c r="B1011" s="123"/>
      <c r="C1011" s="123"/>
      <c r="D1011" s="123"/>
      <c r="E1011" s="123"/>
      <c r="F1011" s="167"/>
      <c r="G1011" s="167"/>
      <c r="H1011" s="123"/>
      <c r="I1011" s="123"/>
      <c r="J1011" s="123"/>
      <c r="K1011" s="123"/>
      <c r="L1011" s="123"/>
      <c r="M1011" s="123"/>
      <c r="N1011" s="126"/>
    </row>
    <row r="1012" spans="1:15" ht="21" customHeight="1">
      <c r="A1012" s="598" t="s">
        <v>1916</v>
      </c>
      <c r="B1012" s="599"/>
      <c r="C1012" s="599"/>
      <c r="D1012" s="599"/>
      <c r="E1012" s="599"/>
      <c r="F1012" s="599"/>
      <c r="G1012" s="599"/>
      <c r="H1012" s="599"/>
      <c r="I1012" s="599"/>
      <c r="J1012" s="599"/>
      <c r="K1012" s="599"/>
      <c r="L1012" s="599"/>
      <c r="M1012" s="599"/>
      <c r="N1012" s="600"/>
    </row>
    <row r="1013" spans="1:15" ht="25.5" customHeight="1" thickBot="1">
      <c r="A1013" s="601"/>
      <c r="B1013" s="602"/>
      <c r="C1013" s="602"/>
      <c r="D1013" s="602"/>
      <c r="E1013" s="602"/>
      <c r="F1013" s="602"/>
      <c r="G1013" s="602"/>
      <c r="H1013" s="602"/>
      <c r="I1013" s="602"/>
      <c r="J1013" s="602"/>
      <c r="K1013" s="602"/>
      <c r="L1013" s="602"/>
      <c r="M1013" s="602"/>
      <c r="N1013" s="603"/>
    </row>
    <row r="1014" spans="1:15" ht="25.5" customHeight="1">
      <c r="E1014" s="206"/>
      <c r="F1014" s="206"/>
      <c r="G1014" s="206"/>
      <c r="H1014" s="206"/>
      <c r="I1014" s="206"/>
      <c r="J1014" s="206"/>
      <c r="K1014" s="206"/>
    </row>
    <row r="1015" spans="1:15" ht="21.6" thickBot="1"/>
    <row r="1016" spans="1:15" ht="95.25" customHeight="1" thickBot="1">
      <c r="A1016" s="592" t="s">
        <v>1883</v>
      </c>
      <c r="B1016" s="593"/>
      <c r="C1016" s="593"/>
      <c r="D1016" s="593"/>
      <c r="E1016" s="593"/>
      <c r="F1016" s="593"/>
      <c r="G1016" s="593"/>
      <c r="H1016" s="593"/>
      <c r="I1016" s="593"/>
      <c r="J1016" s="593"/>
      <c r="K1016" s="593"/>
      <c r="L1016" s="593"/>
      <c r="M1016" s="593"/>
      <c r="N1016" s="594"/>
    </row>
    <row r="1017" spans="1:15" s="3" customFormat="1" ht="37.5" customHeight="1">
      <c r="A1017" s="134" t="s">
        <v>1884</v>
      </c>
      <c r="B1017" s="166"/>
      <c r="C1017" s="166"/>
      <c r="D1017" s="123"/>
      <c r="E1017" s="123"/>
      <c r="F1017" s="167" t="s">
        <v>1885</v>
      </c>
      <c r="G1017" s="167" t="s">
        <v>1886</v>
      </c>
      <c r="H1017" s="167"/>
      <c r="I1017" s="167"/>
      <c r="J1017" s="167"/>
      <c r="K1017" s="167"/>
      <c r="L1017" s="167"/>
      <c r="M1017" s="167"/>
      <c r="N1017" s="152"/>
      <c r="O1017" s="201"/>
    </row>
    <row r="1018" spans="1:15" s="4" customFormat="1" ht="25.2">
      <c r="A1018" s="125" t="s">
        <v>1887</v>
      </c>
      <c r="B1018" s="123"/>
      <c r="C1018" s="123"/>
      <c r="D1018" s="123"/>
      <c r="E1018" s="123"/>
      <c r="F1018" s="167"/>
      <c r="G1018" s="167" t="s">
        <v>1888</v>
      </c>
      <c r="H1018" s="167"/>
      <c r="I1018" s="167"/>
      <c r="J1018" s="167"/>
      <c r="K1018" s="167"/>
      <c r="L1018" s="167"/>
      <c r="M1018" s="167"/>
      <c r="N1018" s="152"/>
    </row>
    <row r="1019" spans="1:15" s="3" customFormat="1" ht="9.9" customHeight="1">
      <c r="A1019" s="125"/>
      <c r="B1019" s="123"/>
      <c r="C1019" s="123"/>
      <c r="D1019" s="123"/>
      <c r="E1019" s="123"/>
      <c r="F1019" s="167"/>
      <c r="G1019" s="123"/>
      <c r="H1019" s="123"/>
      <c r="I1019" s="123"/>
      <c r="J1019" s="123"/>
      <c r="K1019" s="123"/>
      <c r="L1019" s="123"/>
      <c r="M1019" s="123"/>
      <c r="N1019" s="126"/>
    </row>
    <row r="1020" spans="1:15" s="3" customFormat="1" ht="42.75" customHeight="1">
      <c r="A1020" s="125" t="s">
        <v>1889</v>
      </c>
      <c r="B1020" s="123"/>
      <c r="C1020" s="123"/>
      <c r="D1020" s="123"/>
      <c r="E1020" s="123"/>
      <c r="F1020" s="167" t="s">
        <v>1885</v>
      </c>
      <c r="G1020" s="167" t="str">
        <f>PL!$B$13</f>
        <v>Branch of JSC "Doosan Enerbility" in the Turkestan region</v>
      </c>
      <c r="H1020" s="123"/>
      <c r="I1020" s="123"/>
      <c r="J1020" s="123"/>
      <c r="K1020" s="123"/>
      <c r="L1020" s="123"/>
      <c r="M1020" s="123"/>
      <c r="N1020" s="126"/>
    </row>
    <row r="1021" spans="1:15" s="3" customFormat="1" ht="24" customHeight="1">
      <c r="A1021" s="125" t="s">
        <v>1890</v>
      </c>
      <c r="B1021" s="123"/>
      <c r="C1021" s="123"/>
      <c r="D1021" s="123"/>
      <c r="E1021" s="123"/>
      <c r="F1021" s="168"/>
      <c r="G1021" s="167" t="str">
        <f>PL!$B$14</f>
        <v>321 Tauke Khan Avenue, Turkestan region, Turkestan, Kazakhstan, 161200</v>
      </c>
      <c r="H1021" s="123"/>
      <c r="I1021" s="123"/>
      <c r="J1021" s="123"/>
      <c r="K1021" s="123"/>
      <c r="L1021" s="123"/>
      <c r="M1021" s="123"/>
      <c r="N1021" s="126"/>
    </row>
    <row r="1022" spans="1:15" s="4" customFormat="1" ht="25.2">
      <c r="A1022" s="125"/>
      <c r="B1022" s="123"/>
      <c r="C1022" s="123"/>
      <c r="D1022" s="123"/>
      <c r="E1022" s="123"/>
      <c r="F1022" s="168"/>
      <c r="G1022" s="167" t="str">
        <f>PL!$B$15</f>
        <v>BIN: 230741006561</v>
      </c>
      <c r="H1022" s="123"/>
      <c r="I1022" s="123"/>
      <c r="J1022" s="123"/>
      <c r="K1022" s="123"/>
      <c r="L1022" s="123"/>
      <c r="M1022" s="123"/>
      <c r="N1022" s="126"/>
    </row>
    <row r="1023" spans="1:15" s="3" customFormat="1" ht="9.9" customHeight="1">
      <c r="A1023" s="125"/>
      <c r="B1023" s="123"/>
      <c r="C1023" s="123"/>
      <c r="D1023" s="123"/>
      <c r="E1023" s="123"/>
      <c r="F1023" s="169"/>
      <c r="G1023" s="169"/>
      <c r="H1023" s="123"/>
      <c r="I1023" s="123"/>
      <c r="J1023" s="123"/>
      <c r="K1023" s="123"/>
      <c r="L1023" s="123"/>
      <c r="M1023" s="123"/>
      <c r="N1023" s="126"/>
    </row>
    <row r="1024" spans="1:15" s="3" customFormat="1" ht="25.2">
      <c r="A1024" s="125" t="s">
        <v>1891</v>
      </c>
      <c r="B1024" s="123"/>
      <c r="C1024" s="123"/>
      <c r="D1024" s="123"/>
      <c r="E1024" s="123"/>
      <c r="F1024" s="167" t="s">
        <v>1892</v>
      </c>
      <c r="G1024" s="123"/>
      <c r="H1024" s="123"/>
      <c r="I1024" s="123"/>
      <c r="J1024" s="123"/>
      <c r="K1024" s="123"/>
      <c r="L1024" s="123"/>
      <c r="M1024" s="123"/>
      <c r="N1024" s="126"/>
    </row>
    <row r="1025" spans="1:14" s="4" customFormat="1" ht="25.2">
      <c r="A1025" s="125" t="s">
        <v>1893</v>
      </c>
      <c r="B1025" s="123"/>
      <c r="C1025" s="123"/>
      <c r="D1025" s="123"/>
      <c r="E1025" s="123"/>
      <c r="F1025" s="167" t="s">
        <v>1894</v>
      </c>
      <c r="G1025" s="123"/>
      <c r="H1025" s="123"/>
      <c r="I1025" s="123"/>
      <c r="J1025" s="123"/>
      <c r="K1025" s="123"/>
      <c r="L1025" s="123"/>
      <c r="M1025" s="123"/>
      <c r="N1025" s="126"/>
    </row>
    <row r="1026" spans="1:14" s="3" customFormat="1" ht="9.9" customHeight="1">
      <c r="A1026" s="125"/>
      <c r="B1026" s="123"/>
      <c r="C1026" s="123"/>
      <c r="D1026" s="123"/>
      <c r="E1026" s="123"/>
      <c r="F1026" s="167"/>
      <c r="G1026" s="123"/>
      <c r="H1026" s="123"/>
      <c r="I1026" s="123"/>
      <c r="J1026" s="123"/>
      <c r="K1026" s="123"/>
      <c r="L1026" s="123"/>
      <c r="M1026" s="123"/>
      <c r="N1026" s="126"/>
    </row>
    <row r="1027" spans="1:14" s="3" customFormat="1" ht="25.2">
      <c r="A1027" s="125" t="s">
        <v>1895</v>
      </c>
      <c r="B1027" s="123"/>
      <c r="C1027" s="123"/>
      <c r="D1027" s="123"/>
      <c r="E1027" s="123"/>
      <c r="F1027" s="167" t="s">
        <v>1896</v>
      </c>
      <c r="G1027" s="167" t="str">
        <f>PL!$V$8</f>
        <v>PGU-DE-0139-001</v>
      </c>
      <c r="H1027" s="123"/>
      <c r="I1027" s="123"/>
      <c r="J1027" s="123"/>
      <c r="K1027" s="123"/>
      <c r="L1027" s="123"/>
      <c r="M1027" s="123"/>
      <c r="N1027" s="126"/>
    </row>
    <row r="1028" spans="1:14" s="3" customFormat="1" ht="25.2">
      <c r="A1028" s="125" t="s">
        <v>1897</v>
      </c>
      <c r="B1028" s="123"/>
      <c r="C1028" s="123"/>
      <c r="D1028" s="123"/>
      <c r="E1028" s="123"/>
      <c r="F1028" s="167"/>
      <c r="G1028" s="123"/>
      <c r="H1028" s="123"/>
      <c r="I1028" s="123"/>
      <c r="J1028" s="123"/>
      <c r="K1028" s="123"/>
      <c r="L1028" s="123"/>
      <c r="M1028" s="123"/>
      <c r="N1028" s="126"/>
    </row>
    <row r="1029" spans="1:14" s="3" customFormat="1" ht="9.9" customHeight="1">
      <c r="A1029" s="125"/>
      <c r="B1029" s="123"/>
      <c r="C1029" s="123"/>
      <c r="D1029" s="123"/>
      <c r="E1029" s="123"/>
      <c r="F1029" s="167"/>
      <c r="G1029" s="123"/>
      <c r="H1029" s="123"/>
      <c r="I1029" s="123"/>
      <c r="J1029" s="123"/>
      <c r="K1029" s="123"/>
      <c r="L1029" s="123"/>
      <c r="M1029" s="123"/>
      <c r="N1029" s="126"/>
    </row>
    <row r="1030" spans="1:14" s="3" customFormat="1" ht="31.2" customHeight="1">
      <c r="A1030" s="127" t="s">
        <v>1898</v>
      </c>
      <c r="B1030" s="170"/>
      <c r="C1030" s="170"/>
      <c r="D1030" s="170"/>
      <c r="E1030" s="170"/>
      <c r="F1030" s="171" t="s">
        <v>1885</v>
      </c>
      <c r="G1030" s="597" t="e">
        <f>VLOOKUP(G1033, 'Detail PL'!$B$14:$Q$799,2)</f>
        <v>#N/A</v>
      </c>
      <c r="H1030" s="597"/>
      <c r="I1030" s="597"/>
      <c r="J1030" s="597"/>
      <c r="K1030" s="597"/>
      <c r="L1030" s="597"/>
      <c r="M1030" s="597"/>
      <c r="N1030" s="128"/>
    </row>
    <row r="1031" spans="1:14" s="3" customFormat="1" ht="25.2">
      <c r="A1031" s="127" t="s">
        <v>1899</v>
      </c>
      <c r="B1031" s="170"/>
      <c r="C1031" s="170"/>
      <c r="D1031" s="170"/>
      <c r="E1031" s="170"/>
      <c r="F1031" s="171"/>
      <c r="G1031" s="170"/>
      <c r="H1031" s="170"/>
      <c r="I1031" s="170"/>
      <c r="J1031" s="170"/>
      <c r="K1031" s="170"/>
      <c r="L1031" s="170"/>
      <c r="M1031" s="170"/>
      <c r="N1031" s="128"/>
    </row>
    <row r="1032" spans="1:14" s="3" customFormat="1" ht="9.9" customHeight="1">
      <c r="A1032" s="125"/>
      <c r="B1032" s="123"/>
      <c r="C1032" s="123"/>
      <c r="D1032" s="123"/>
      <c r="E1032" s="123"/>
      <c r="F1032" s="167"/>
      <c r="G1032" s="123"/>
      <c r="H1032" s="123"/>
      <c r="I1032" s="123"/>
      <c r="J1032" s="123"/>
      <c r="K1032" s="123"/>
      <c r="L1032" s="123"/>
      <c r="M1032" s="123"/>
      <c r="N1032" s="126"/>
    </row>
    <row r="1033" spans="1:14" s="3" customFormat="1" ht="25.2">
      <c r="A1033" s="125" t="s">
        <v>1900</v>
      </c>
      <c r="B1033" s="123"/>
      <c r="C1033" s="123"/>
      <c r="D1033" s="123"/>
      <c r="E1033" s="123"/>
      <c r="F1033" s="171" t="s">
        <v>1901</v>
      </c>
      <c r="G1033" s="604">
        <f t="shared" ref="G1033" si="27">G998+1</f>
        <v>30</v>
      </c>
      <c r="H1033" s="604"/>
      <c r="I1033" s="604"/>
      <c r="J1033" s="604"/>
      <c r="K1033" s="604"/>
      <c r="L1033" s="123"/>
      <c r="M1033" s="123"/>
      <c r="N1033" s="126"/>
    </row>
    <row r="1034" spans="1:14" s="4" customFormat="1" ht="25.2">
      <c r="A1034" s="125" t="s">
        <v>1903</v>
      </c>
      <c r="B1034" s="123"/>
      <c r="C1034" s="123"/>
      <c r="D1034" s="123"/>
      <c r="E1034" s="123"/>
      <c r="F1034" s="167"/>
      <c r="G1034" s="167"/>
      <c r="H1034" s="123"/>
      <c r="I1034" s="123"/>
      <c r="J1034" s="123"/>
      <c r="K1034" s="123"/>
      <c r="L1034" s="123"/>
      <c r="M1034" s="123"/>
      <c r="N1034" s="126"/>
    </row>
    <row r="1035" spans="1:14" s="3" customFormat="1" ht="9.9" customHeight="1">
      <c r="A1035" s="125"/>
      <c r="B1035" s="123"/>
      <c r="C1035" s="123"/>
      <c r="D1035" s="123"/>
      <c r="E1035" s="123"/>
      <c r="F1035" s="167"/>
      <c r="G1035" s="167"/>
      <c r="H1035" s="123"/>
      <c r="I1035" s="123"/>
      <c r="J1035" s="123"/>
      <c r="K1035" s="123"/>
      <c r="L1035" s="123"/>
      <c r="M1035" s="123"/>
      <c r="N1035" s="126"/>
    </row>
    <row r="1036" spans="1:14" s="3" customFormat="1" ht="25.2">
      <c r="A1036" s="125" t="s">
        <v>1904</v>
      </c>
      <c r="B1036" s="123"/>
      <c r="C1036" s="123"/>
      <c r="D1036" s="123"/>
      <c r="E1036" s="123"/>
      <c r="F1036" s="167" t="s">
        <v>1896</v>
      </c>
      <c r="G1036" s="204" t="e">
        <f>VLOOKUP(G1033, 'Detail PL'!$B$14:$Q$799, 10)</f>
        <v>#N/A</v>
      </c>
      <c r="H1036" s="204" t="s">
        <v>1905</v>
      </c>
      <c r="I1036" s="204"/>
      <c r="J1036" s="204"/>
      <c r="K1036" s="123"/>
      <c r="L1036" s="123"/>
      <c r="M1036" s="123"/>
      <c r="N1036" s="126"/>
    </row>
    <row r="1037" spans="1:14" s="4" customFormat="1" ht="25.2">
      <c r="A1037" s="125" t="s">
        <v>1906</v>
      </c>
      <c r="B1037" s="123"/>
      <c r="C1037" s="123"/>
      <c r="D1037" s="123"/>
      <c r="E1037" s="123"/>
      <c r="F1037" s="167"/>
      <c r="G1037" s="167"/>
      <c r="H1037" s="167"/>
      <c r="I1037" s="123"/>
      <c r="J1037" s="123"/>
      <c r="K1037" s="123"/>
      <c r="L1037" s="123"/>
      <c r="M1037" s="123"/>
      <c r="N1037" s="126"/>
    </row>
    <row r="1038" spans="1:14" s="3" customFormat="1" ht="9.9" customHeight="1">
      <c r="A1038" s="125"/>
      <c r="B1038" s="123"/>
      <c r="C1038" s="123"/>
      <c r="D1038" s="123"/>
      <c r="E1038" s="123"/>
      <c r="F1038" s="167"/>
      <c r="G1038" s="167"/>
      <c r="H1038" s="167"/>
      <c r="I1038" s="123"/>
      <c r="J1038" s="123"/>
      <c r="K1038" s="123"/>
      <c r="L1038" s="123"/>
      <c r="M1038" s="123"/>
      <c r="N1038" s="126"/>
    </row>
    <row r="1039" spans="1:14" s="3" customFormat="1" ht="25.2">
      <c r="A1039" s="125" t="s">
        <v>1907</v>
      </c>
      <c r="B1039" s="123"/>
      <c r="C1039" s="123"/>
      <c r="D1039" s="123"/>
      <c r="E1039" s="123"/>
      <c r="F1039" s="167" t="s">
        <v>1896</v>
      </c>
      <c r="G1039" s="204" t="e">
        <f>VLOOKUP(G1033, 'Detail PL'!$B$14:$Q$799, 11)</f>
        <v>#N/A</v>
      </c>
      <c r="H1039" s="204" t="s">
        <v>1905</v>
      </c>
      <c r="I1039" s="204"/>
      <c r="J1039" s="204"/>
      <c r="K1039" s="123"/>
      <c r="L1039" s="123"/>
      <c r="M1039" s="123"/>
      <c r="N1039" s="126"/>
    </row>
    <row r="1040" spans="1:14" s="4" customFormat="1" ht="25.2">
      <c r="A1040" s="125" t="s">
        <v>1908</v>
      </c>
      <c r="B1040" s="123"/>
      <c r="C1040" s="123"/>
      <c r="D1040" s="123"/>
      <c r="E1040" s="123"/>
      <c r="F1040" s="167"/>
      <c r="G1040" s="167"/>
      <c r="H1040" s="123"/>
      <c r="I1040" s="123"/>
      <c r="J1040" s="123"/>
      <c r="K1040" s="123"/>
      <c r="L1040" s="123"/>
      <c r="M1040" s="123"/>
      <c r="N1040" s="126"/>
    </row>
    <row r="1041" spans="1:15" s="3" customFormat="1" ht="9.9" customHeight="1">
      <c r="A1041" s="125"/>
      <c r="B1041" s="123"/>
      <c r="C1041" s="123"/>
      <c r="D1041" s="123"/>
      <c r="E1041" s="123"/>
      <c r="F1041" s="167"/>
      <c r="G1041" s="167"/>
      <c r="H1041" s="123"/>
      <c r="I1041" s="123"/>
      <c r="J1041" s="123"/>
      <c r="K1041" s="123"/>
      <c r="L1041" s="123"/>
      <c r="M1041" s="123"/>
      <c r="N1041" s="126"/>
    </row>
    <row r="1042" spans="1:15" s="3" customFormat="1" ht="25.2">
      <c r="A1042" s="129" t="s">
        <v>1909</v>
      </c>
      <c r="B1042" s="123"/>
      <c r="C1042" s="123"/>
      <c r="D1042" s="123"/>
      <c r="E1042" s="123"/>
      <c r="F1042" s="167" t="s">
        <v>1896</v>
      </c>
      <c r="G1042" s="204" t="e">
        <f>VLOOKUP(G1033, 'Detail PL'!$B$14:$Q$799, 9)</f>
        <v>#N/A</v>
      </c>
      <c r="H1042" s="205" t="s">
        <v>1910</v>
      </c>
      <c r="I1042" s="203"/>
      <c r="J1042" s="203"/>
      <c r="K1042" s="172"/>
      <c r="L1042" s="123"/>
      <c r="M1042" s="123"/>
      <c r="N1042" s="126"/>
    </row>
    <row r="1043" spans="1:15" s="4" customFormat="1" ht="25.2">
      <c r="A1043" s="125" t="s">
        <v>1911</v>
      </c>
      <c r="B1043" s="123"/>
      <c r="C1043" s="123"/>
      <c r="D1043" s="123"/>
      <c r="E1043" s="123"/>
      <c r="F1043" s="167"/>
      <c r="G1043" s="167"/>
      <c r="H1043" s="123"/>
      <c r="I1043" s="123"/>
      <c r="J1043" s="123"/>
      <c r="K1043" s="123"/>
      <c r="L1043" s="123"/>
      <c r="M1043" s="123"/>
      <c r="N1043" s="126"/>
    </row>
    <row r="1044" spans="1:15" s="3" customFormat="1" ht="9.9" customHeight="1">
      <c r="A1044" s="125"/>
      <c r="B1044" s="123"/>
      <c r="C1044" s="123"/>
      <c r="D1044" s="123"/>
      <c r="E1044" s="123"/>
      <c r="F1044" s="167"/>
      <c r="G1044" s="167"/>
      <c r="H1044" s="123"/>
      <c r="I1044" s="123"/>
      <c r="J1044" s="123"/>
      <c r="K1044" s="123"/>
      <c r="L1044" s="123"/>
      <c r="M1044" s="123"/>
      <c r="N1044" s="126"/>
    </row>
    <row r="1045" spans="1:15" s="3" customFormat="1" ht="42" customHeight="1">
      <c r="A1045" s="125" t="s">
        <v>1912</v>
      </c>
      <c r="B1045" s="123"/>
      <c r="C1045" s="123"/>
      <c r="D1045" s="123"/>
      <c r="E1045" s="123"/>
      <c r="F1045" s="166" t="s">
        <v>1913</v>
      </c>
      <c r="G1045" s="595" t="s">
        <v>1914</v>
      </c>
      <c r="H1045" s="595"/>
      <c r="I1045" s="595"/>
      <c r="J1045" s="595"/>
      <c r="K1045" s="595"/>
      <c r="L1045" s="595"/>
      <c r="M1045" s="595"/>
      <c r="N1045" s="596"/>
    </row>
    <row r="1046" spans="1:15" s="4" customFormat="1" ht="25.8" thickBot="1">
      <c r="A1046" s="125" t="s">
        <v>1915</v>
      </c>
      <c r="B1046" s="123"/>
      <c r="C1046" s="123"/>
      <c r="D1046" s="123"/>
      <c r="E1046" s="123"/>
      <c r="F1046" s="167"/>
      <c r="G1046" s="167"/>
      <c r="H1046" s="123"/>
      <c r="I1046" s="123"/>
      <c r="J1046" s="123"/>
      <c r="K1046" s="123"/>
      <c r="L1046" s="123"/>
      <c r="M1046" s="123"/>
      <c r="N1046" s="126"/>
    </row>
    <row r="1047" spans="1:15" ht="21" customHeight="1">
      <c r="A1047" s="598" t="s">
        <v>1916</v>
      </c>
      <c r="B1047" s="599"/>
      <c r="C1047" s="599"/>
      <c r="D1047" s="599"/>
      <c r="E1047" s="599"/>
      <c r="F1047" s="599"/>
      <c r="G1047" s="599"/>
      <c r="H1047" s="599"/>
      <c r="I1047" s="599"/>
      <c r="J1047" s="599"/>
      <c r="K1047" s="599"/>
      <c r="L1047" s="599"/>
      <c r="M1047" s="599"/>
      <c r="N1047" s="600"/>
    </row>
    <row r="1048" spans="1:15" ht="25.5" customHeight="1" thickBot="1">
      <c r="A1048" s="601"/>
      <c r="B1048" s="602"/>
      <c r="C1048" s="602"/>
      <c r="D1048" s="602"/>
      <c r="E1048" s="602"/>
      <c r="F1048" s="602"/>
      <c r="G1048" s="602"/>
      <c r="H1048" s="602"/>
      <c r="I1048" s="602"/>
      <c r="J1048" s="602"/>
      <c r="K1048" s="602"/>
      <c r="L1048" s="602"/>
      <c r="M1048" s="602"/>
      <c r="N1048" s="603"/>
    </row>
    <row r="1049" spans="1:15" ht="25.5" customHeight="1">
      <c r="E1049" s="206"/>
      <c r="F1049" s="206"/>
      <c r="G1049" s="206"/>
      <c r="H1049" s="206"/>
      <c r="I1049" s="206"/>
      <c r="J1049" s="206"/>
      <c r="K1049" s="206"/>
    </row>
    <row r="1050" spans="1:15" ht="21.6" thickBot="1"/>
    <row r="1051" spans="1:15" ht="95.25" customHeight="1" thickBot="1">
      <c r="A1051" s="592" t="s">
        <v>1883</v>
      </c>
      <c r="B1051" s="593"/>
      <c r="C1051" s="593"/>
      <c r="D1051" s="593"/>
      <c r="E1051" s="593"/>
      <c r="F1051" s="593"/>
      <c r="G1051" s="593"/>
      <c r="H1051" s="593"/>
      <c r="I1051" s="593"/>
      <c r="J1051" s="593"/>
      <c r="K1051" s="593"/>
      <c r="L1051" s="593"/>
      <c r="M1051" s="593"/>
      <c r="N1051" s="594"/>
    </row>
    <row r="1052" spans="1:15" s="3" customFormat="1" ht="37.5" customHeight="1">
      <c r="A1052" s="134" t="s">
        <v>1884</v>
      </c>
      <c r="B1052" s="166"/>
      <c r="C1052" s="166"/>
      <c r="D1052" s="123"/>
      <c r="E1052" s="123"/>
      <c r="F1052" s="167" t="s">
        <v>1885</v>
      </c>
      <c r="G1052" s="167" t="s">
        <v>1886</v>
      </c>
      <c r="H1052" s="167"/>
      <c r="I1052" s="167"/>
      <c r="J1052" s="167"/>
      <c r="K1052" s="167"/>
      <c r="L1052" s="167"/>
      <c r="M1052" s="167"/>
      <c r="N1052" s="152"/>
      <c r="O1052" s="201"/>
    </row>
    <row r="1053" spans="1:15" s="4" customFormat="1" ht="25.2">
      <c r="A1053" s="125" t="s">
        <v>1887</v>
      </c>
      <c r="B1053" s="123"/>
      <c r="C1053" s="123"/>
      <c r="D1053" s="123"/>
      <c r="E1053" s="123"/>
      <c r="F1053" s="167"/>
      <c r="G1053" s="167" t="s">
        <v>1888</v>
      </c>
      <c r="H1053" s="167"/>
      <c r="I1053" s="167"/>
      <c r="J1053" s="167"/>
      <c r="K1053" s="167"/>
      <c r="L1053" s="167"/>
      <c r="M1053" s="167"/>
      <c r="N1053" s="152"/>
    </row>
    <row r="1054" spans="1:15" s="3" customFormat="1" ht="9.9" customHeight="1">
      <c r="A1054" s="125"/>
      <c r="B1054" s="123"/>
      <c r="C1054" s="123"/>
      <c r="D1054" s="123"/>
      <c r="E1054" s="123"/>
      <c r="F1054" s="167"/>
      <c r="G1054" s="123"/>
      <c r="H1054" s="123"/>
      <c r="I1054" s="123"/>
      <c r="J1054" s="123"/>
      <c r="K1054" s="123"/>
      <c r="L1054" s="123"/>
      <c r="M1054" s="123"/>
      <c r="N1054" s="126"/>
    </row>
    <row r="1055" spans="1:15" s="3" customFormat="1" ht="42.75" customHeight="1">
      <c r="A1055" s="125" t="s">
        <v>1889</v>
      </c>
      <c r="B1055" s="123"/>
      <c r="C1055" s="123"/>
      <c r="D1055" s="123"/>
      <c r="E1055" s="123"/>
      <c r="F1055" s="167" t="s">
        <v>1885</v>
      </c>
      <c r="G1055" s="167" t="str">
        <f>PL!$B$13</f>
        <v>Branch of JSC "Doosan Enerbility" in the Turkestan region</v>
      </c>
      <c r="H1055" s="123"/>
      <c r="I1055" s="123"/>
      <c r="J1055" s="123"/>
      <c r="K1055" s="123"/>
      <c r="L1055" s="123"/>
      <c r="M1055" s="123"/>
      <c r="N1055" s="126"/>
    </row>
    <row r="1056" spans="1:15" s="3" customFormat="1" ht="24" customHeight="1">
      <c r="A1056" s="125" t="s">
        <v>1890</v>
      </c>
      <c r="B1056" s="123"/>
      <c r="C1056" s="123"/>
      <c r="D1056" s="123"/>
      <c r="E1056" s="123"/>
      <c r="F1056" s="168"/>
      <c r="G1056" s="167" t="str">
        <f>PL!$B$14</f>
        <v>321 Tauke Khan Avenue, Turkestan region, Turkestan, Kazakhstan, 161200</v>
      </c>
      <c r="H1056" s="123"/>
      <c r="I1056" s="123"/>
      <c r="J1056" s="123"/>
      <c r="K1056" s="123"/>
      <c r="L1056" s="123"/>
      <c r="M1056" s="123"/>
      <c r="N1056" s="126"/>
    </row>
    <row r="1057" spans="1:14" s="4" customFormat="1" ht="25.2">
      <c r="A1057" s="125"/>
      <c r="B1057" s="123"/>
      <c r="C1057" s="123"/>
      <c r="D1057" s="123"/>
      <c r="E1057" s="123"/>
      <c r="F1057" s="168"/>
      <c r="G1057" s="167" t="str">
        <f>PL!$B$15</f>
        <v>BIN: 230741006561</v>
      </c>
      <c r="H1057" s="123"/>
      <c r="I1057" s="123"/>
      <c r="J1057" s="123"/>
      <c r="K1057" s="123"/>
      <c r="L1057" s="123"/>
      <c r="M1057" s="123"/>
      <c r="N1057" s="126"/>
    </row>
    <row r="1058" spans="1:14" s="3" customFormat="1" ht="9.9" customHeight="1">
      <c r="A1058" s="125"/>
      <c r="B1058" s="123"/>
      <c r="C1058" s="123"/>
      <c r="D1058" s="123"/>
      <c r="E1058" s="123"/>
      <c r="F1058" s="169"/>
      <c r="G1058" s="169"/>
      <c r="H1058" s="123"/>
      <c r="I1058" s="123"/>
      <c r="J1058" s="123"/>
      <c r="K1058" s="123"/>
      <c r="L1058" s="123"/>
      <c r="M1058" s="123"/>
      <c r="N1058" s="126"/>
    </row>
    <row r="1059" spans="1:14" s="3" customFormat="1" ht="25.2">
      <c r="A1059" s="125" t="s">
        <v>1891</v>
      </c>
      <c r="B1059" s="123"/>
      <c r="C1059" s="123"/>
      <c r="D1059" s="123"/>
      <c r="E1059" s="123"/>
      <c r="F1059" s="167" t="s">
        <v>1892</v>
      </c>
      <c r="G1059" s="123"/>
      <c r="H1059" s="123"/>
      <c r="I1059" s="123"/>
      <c r="J1059" s="123"/>
      <c r="K1059" s="123"/>
      <c r="L1059" s="123"/>
      <c r="M1059" s="123"/>
      <c r="N1059" s="126"/>
    </row>
    <row r="1060" spans="1:14" s="4" customFormat="1" ht="25.2">
      <c r="A1060" s="125" t="s">
        <v>1893</v>
      </c>
      <c r="B1060" s="123"/>
      <c r="C1060" s="123"/>
      <c r="D1060" s="123"/>
      <c r="E1060" s="123"/>
      <c r="F1060" s="167" t="s">
        <v>1894</v>
      </c>
      <c r="G1060" s="123"/>
      <c r="H1060" s="123"/>
      <c r="I1060" s="123"/>
      <c r="J1060" s="123"/>
      <c r="K1060" s="123"/>
      <c r="L1060" s="123"/>
      <c r="M1060" s="123"/>
      <c r="N1060" s="126"/>
    </row>
    <row r="1061" spans="1:14" s="3" customFormat="1" ht="9.9" customHeight="1">
      <c r="A1061" s="125"/>
      <c r="B1061" s="123"/>
      <c r="C1061" s="123"/>
      <c r="D1061" s="123"/>
      <c r="E1061" s="123"/>
      <c r="F1061" s="167"/>
      <c r="G1061" s="123"/>
      <c r="H1061" s="123"/>
      <c r="I1061" s="123"/>
      <c r="J1061" s="123"/>
      <c r="K1061" s="123"/>
      <c r="L1061" s="123"/>
      <c r="M1061" s="123"/>
      <c r="N1061" s="126"/>
    </row>
    <row r="1062" spans="1:14" s="3" customFormat="1" ht="25.2">
      <c r="A1062" s="125" t="s">
        <v>1895</v>
      </c>
      <c r="B1062" s="123"/>
      <c r="C1062" s="123"/>
      <c r="D1062" s="123"/>
      <c r="E1062" s="123"/>
      <c r="F1062" s="167" t="s">
        <v>1896</v>
      </c>
      <c r="G1062" s="167" t="str">
        <f>PL!$V$8</f>
        <v>PGU-DE-0139-001</v>
      </c>
      <c r="H1062" s="123"/>
      <c r="I1062" s="123"/>
      <c r="J1062" s="123"/>
      <c r="K1062" s="123"/>
      <c r="L1062" s="123"/>
      <c r="M1062" s="123"/>
      <c r="N1062" s="126"/>
    </row>
    <row r="1063" spans="1:14" s="3" customFormat="1" ht="25.2">
      <c r="A1063" s="125" t="s">
        <v>1897</v>
      </c>
      <c r="B1063" s="123"/>
      <c r="C1063" s="123"/>
      <c r="D1063" s="123"/>
      <c r="E1063" s="123"/>
      <c r="F1063" s="167"/>
      <c r="G1063" s="123"/>
      <c r="H1063" s="123"/>
      <c r="I1063" s="123"/>
      <c r="J1063" s="123"/>
      <c r="K1063" s="123"/>
      <c r="L1063" s="123"/>
      <c r="M1063" s="123"/>
      <c r="N1063" s="126"/>
    </row>
    <row r="1064" spans="1:14" s="3" customFormat="1" ht="9.9" customHeight="1">
      <c r="A1064" s="125"/>
      <c r="B1064" s="123"/>
      <c r="C1064" s="123"/>
      <c r="D1064" s="123"/>
      <c r="E1064" s="123"/>
      <c r="F1064" s="167"/>
      <c r="G1064" s="123"/>
      <c r="H1064" s="123"/>
      <c r="I1064" s="123"/>
      <c r="J1064" s="123"/>
      <c r="K1064" s="123"/>
      <c r="L1064" s="123"/>
      <c r="M1064" s="123"/>
      <c r="N1064" s="126"/>
    </row>
    <row r="1065" spans="1:14" s="3" customFormat="1" ht="31.2" customHeight="1">
      <c r="A1065" s="127" t="s">
        <v>1898</v>
      </c>
      <c r="B1065" s="170"/>
      <c r="C1065" s="170"/>
      <c r="D1065" s="170"/>
      <c r="E1065" s="170"/>
      <c r="F1065" s="171" t="s">
        <v>1885</v>
      </c>
      <c r="G1065" s="597" t="e">
        <f>VLOOKUP(G1068, 'Detail PL'!$B$14:$Q$799,2)</f>
        <v>#N/A</v>
      </c>
      <c r="H1065" s="597"/>
      <c r="I1065" s="597"/>
      <c r="J1065" s="597"/>
      <c r="K1065" s="597"/>
      <c r="L1065" s="597"/>
      <c r="M1065" s="597"/>
      <c r="N1065" s="128"/>
    </row>
    <row r="1066" spans="1:14" s="3" customFormat="1" ht="25.2">
      <c r="A1066" s="127" t="s">
        <v>1899</v>
      </c>
      <c r="B1066" s="170"/>
      <c r="C1066" s="170"/>
      <c r="D1066" s="170"/>
      <c r="E1066" s="170"/>
      <c r="F1066" s="171"/>
      <c r="G1066" s="170"/>
      <c r="H1066" s="170"/>
      <c r="I1066" s="170"/>
      <c r="J1066" s="170"/>
      <c r="K1066" s="170"/>
      <c r="L1066" s="170"/>
      <c r="M1066" s="170"/>
      <c r="N1066" s="128"/>
    </row>
    <row r="1067" spans="1:14" s="3" customFormat="1" ht="9.9" customHeight="1">
      <c r="A1067" s="125"/>
      <c r="B1067" s="123"/>
      <c r="C1067" s="123"/>
      <c r="D1067" s="123"/>
      <c r="E1067" s="123"/>
      <c r="F1067" s="167"/>
      <c r="G1067" s="123"/>
      <c r="H1067" s="123"/>
      <c r="I1067" s="123"/>
      <c r="J1067" s="123"/>
      <c r="K1067" s="123"/>
      <c r="L1067" s="123"/>
      <c r="M1067" s="123"/>
      <c r="N1067" s="126"/>
    </row>
    <row r="1068" spans="1:14" s="3" customFormat="1" ht="25.2">
      <c r="A1068" s="125" t="s">
        <v>1900</v>
      </c>
      <c r="B1068" s="123"/>
      <c r="C1068" s="123"/>
      <c r="D1068" s="123"/>
      <c r="E1068" s="123"/>
      <c r="F1068" s="171" t="s">
        <v>1901</v>
      </c>
      <c r="G1068" s="604">
        <f t="shared" ref="G1068" si="28">G1033+1</f>
        <v>31</v>
      </c>
      <c r="H1068" s="604"/>
      <c r="I1068" s="604"/>
      <c r="J1068" s="604"/>
      <c r="K1068" s="604"/>
      <c r="L1068" s="123"/>
      <c r="M1068" s="123"/>
      <c r="N1068" s="126"/>
    </row>
    <row r="1069" spans="1:14" s="4" customFormat="1" ht="25.2">
      <c r="A1069" s="125" t="s">
        <v>1903</v>
      </c>
      <c r="B1069" s="123"/>
      <c r="C1069" s="123"/>
      <c r="D1069" s="123"/>
      <c r="E1069" s="123"/>
      <c r="F1069" s="167"/>
      <c r="G1069" s="167"/>
      <c r="H1069" s="123"/>
      <c r="I1069" s="123"/>
      <c r="J1069" s="123"/>
      <c r="K1069" s="123"/>
      <c r="L1069" s="123"/>
      <c r="M1069" s="123"/>
      <c r="N1069" s="126"/>
    </row>
    <row r="1070" spans="1:14" s="3" customFormat="1" ht="9.9" customHeight="1">
      <c r="A1070" s="125"/>
      <c r="B1070" s="123"/>
      <c r="C1070" s="123"/>
      <c r="D1070" s="123"/>
      <c r="E1070" s="123"/>
      <c r="F1070" s="167"/>
      <c r="G1070" s="167"/>
      <c r="H1070" s="123"/>
      <c r="I1070" s="123"/>
      <c r="J1070" s="123"/>
      <c r="K1070" s="123"/>
      <c r="L1070" s="123"/>
      <c r="M1070" s="123"/>
      <c r="N1070" s="126"/>
    </row>
    <row r="1071" spans="1:14" s="3" customFormat="1" ht="25.2">
      <c r="A1071" s="125" t="s">
        <v>1904</v>
      </c>
      <c r="B1071" s="123"/>
      <c r="C1071" s="123"/>
      <c r="D1071" s="123"/>
      <c r="E1071" s="123"/>
      <c r="F1071" s="167" t="s">
        <v>1896</v>
      </c>
      <c r="G1071" s="204" t="e">
        <f>VLOOKUP(G1068, 'Detail PL'!$B$14:$Q$799, 10)</f>
        <v>#N/A</v>
      </c>
      <c r="H1071" s="204" t="s">
        <v>1905</v>
      </c>
      <c r="I1071" s="204"/>
      <c r="J1071" s="204"/>
      <c r="K1071" s="123"/>
      <c r="L1071" s="123"/>
      <c r="M1071" s="123"/>
      <c r="N1071" s="126"/>
    </row>
    <row r="1072" spans="1:14" s="4" customFormat="1" ht="25.2">
      <c r="A1072" s="125" t="s">
        <v>1906</v>
      </c>
      <c r="B1072" s="123"/>
      <c r="C1072" s="123"/>
      <c r="D1072" s="123"/>
      <c r="E1072" s="123"/>
      <c r="F1072" s="167"/>
      <c r="G1072" s="167"/>
      <c r="H1072" s="167"/>
      <c r="I1072" s="123"/>
      <c r="J1072" s="123"/>
      <c r="K1072" s="123"/>
      <c r="L1072" s="123"/>
      <c r="M1072" s="123"/>
      <c r="N1072" s="126"/>
    </row>
    <row r="1073" spans="1:15" s="3" customFormat="1" ht="9.9" customHeight="1">
      <c r="A1073" s="125"/>
      <c r="B1073" s="123"/>
      <c r="C1073" s="123"/>
      <c r="D1073" s="123"/>
      <c r="E1073" s="123"/>
      <c r="F1073" s="167"/>
      <c r="G1073" s="167"/>
      <c r="H1073" s="167"/>
      <c r="I1073" s="123"/>
      <c r="J1073" s="123"/>
      <c r="K1073" s="123"/>
      <c r="L1073" s="123"/>
      <c r="M1073" s="123"/>
      <c r="N1073" s="126"/>
    </row>
    <row r="1074" spans="1:15" s="3" customFormat="1" ht="25.2">
      <c r="A1074" s="125" t="s">
        <v>1907</v>
      </c>
      <c r="B1074" s="123"/>
      <c r="C1074" s="123"/>
      <c r="D1074" s="123"/>
      <c r="E1074" s="123"/>
      <c r="F1074" s="167" t="s">
        <v>1896</v>
      </c>
      <c r="G1074" s="204" t="e">
        <f>VLOOKUP(G1068, 'Detail PL'!$B$14:$Q$799, 11)</f>
        <v>#N/A</v>
      </c>
      <c r="H1074" s="204" t="s">
        <v>1905</v>
      </c>
      <c r="I1074" s="204"/>
      <c r="J1074" s="204"/>
      <c r="K1074" s="123"/>
      <c r="L1074" s="123"/>
      <c r="M1074" s="123"/>
      <c r="N1074" s="126"/>
    </row>
    <row r="1075" spans="1:15" s="4" customFormat="1" ht="25.2">
      <c r="A1075" s="125" t="s">
        <v>1908</v>
      </c>
      <c r="B1075" s="123"/>
      <c r="C1075" s="123"/>
      <c r="D1075" s="123"/>
      <c r="E1075" s="123"/>
      <c r="F1075" s="167"/>
      <c r="G1075" s="167"/>
      <c r="H1075" s="123"/>
      <c r="I1075" s="123"/>
      <c r="J1075" s="123"/>
      <c r="K1075" s="123"/>
      <c r="L1075" s="123"/>
      <c r="M1075" s="123"/>
      <c r="N1075" s="126"/>
    </row>
    <row r="1076" spans="1:15" s="3" customFormat="1" ht="9.9" customHeight="1">
      <c r="A1076" s="125"/>
      <c r="B1076" s="123"/>
      <c r="C1076" s="123"/>
      <c r="D1076" s="123"/>
      <c r="E1076" s="123"/>
      <c r="F1076" s="167"/>
      <c r="G1076" s="167"/>
      <c r="H1076" s="123"/>
      <c r="I1076" s="123"/>
      <c r="J1076" s="123"/>
      <c r="K1076" s="123"/>
      <c r="L1076" s="123"/>
      <c r="M1076" s="123"/>
      <c r="N1076" s="126"/>
    </row>
    <row r="1077" spans="1:15" s="3" customFormat="1" ht="25.2">
      <c r="A1077" s="129" t="s">
        <v>1909</v>
      </c>
      <c r="B1077" s="123"/>
      <c r="C1077" s="123"/>
      <c r="D1077" s="123"/>
      <c r="E1077" s="123"/>
      <c r="F1077" s="167" t="s">
        <v>1896</v>
      </c>
      <c r="G1077" s="204" t="e">
        <f>VLOOKUP(G1068, 'Detail PL'!$B$14:$Q$799, 9)</f>
        <v>#N/A</v>
      </c>
      <c r="H1077" s="205" t="s">
        <v>1910</v>
      </c>
      <c r="I1077" s="203"/>
      <c r="J1077" s="203"/>
      <c r="K1077" s="172"/>
      <c r="L1077" s="123"/>
      <c r="M1077" s="123"/>
      <c r="N1077" s="126"/>
    </row>
    <row r="1078" spans="1:15" s="4" customFormat="1" ht="25.2">
      <c r="A1078" s="125" t="s">
        <v>1911</v>
      </c>
      <c r="B1078" s="123"/>
      <c r="C1078" s="123"/>
      <c r="D1078" s="123"/>
      <c r="E1078" s="123"/>
      <c r="F1078" s="167"/>
      <c r="G1078" s="167"/>
      <c r="H1078" s="123"/>
      <c r="I1078" s="123"/>
      <c r="J1078" s="123"/>
      <c r="K1078" s="123"/>
      <c r="L1078" s="123"/>
      <c r="M1078" s="123"/>
      <c r="N1078" s="126"/>
    </row>
    <row r="1079" spans="1:15" s="3" customFormat="1" ht="9.9" customHeight="1">
      <c r="A1079" s="125"/>
      <c r="B1079" s="123"/>
      <c r="C1079" s="123"/>
      <c r="D1079" s="123"/>
      <c r="E1079" s="123"/>
      <c r="F1079" s="167"/>
      <c r="G1079" s="167"/>
      <c r="H1079" s="123"/>
      <c r="I1079" s="123"/>
      <c r="J1079" s="123"/>
      <c r="K1079" s="123"/>
      <c r="L1079" s="123"/>
      <c r="M1079" s="123"/>
      <c r="N1079" s="126"/>
    </row>
    <row r="1080" spans="1:15" s="3" customFormat="1" ht="42" customHeight="1">
      <c r="A1080" s="125" t="s">
        <v>1912</v>
      </c>
      <c r="B1080" s="123"/>
      <c r="C1080" s="123"/>
      <c r="D1080" s="123"/>
      <c r="E1080" s="123"/>
      <c r="F1080" s="166" t="s">
        <v>1913</v>
      </c>
      <c r="G1080" s="595" t="s">
        <v>1914</v>
      </c>
      <c r="H1080" s="595"/>
      <c r="I1080" s="595"/>
      <c r="J1080" s="595"/>
      <c r="K1080" s="595"/>
      <c r="L1080" s="595"/>
      <c r="M1080" s="595"/>
      <c r="N1080" s="596"/>
    </row>
    <row r="1081" spans="1:15" s="4" customFormat="1" ht="25.8" thickBot="1">
      <c r="A1081" s="125" t="s">
        <v>1915</v>
      </c>
      <c r="B1081" s="123"/>
      <c r="C1081" s="123"/>
      <c r="D1081" s="123"/>
      <c r="E1081" s="123"/>
      <c r="F1081" s="167"/>
      <c r="G1081" s="167"/>
      <c r="H1081" s="123"/>
      <c r="I1081" s="123"/>
      <c r="J1081" s="123"/>
      <c r="K1081" s="123"/>
      <c r="L1081" s="123"/>
      <c r="M1081" s="123"/>
      <c r="N1081" s="126"/>
    </row>
    <row r="1082" spans="1:15" ht="21" customHeight="1">
      <c r="A1082" s="598" t="s">
        <v>1916</v>
      </c>
      <c r="B1082" s="599"/>
      <c r="C1082" s="599"/>
      <c r="D1082" s="599"/>
      <c r="E1082" s="599"/>
      <c r="F1082" s="599"/>
      <c r="G1082" s="599"/>
      <c r="H1082" s="599"/>
      <c r="I1082" s="599"/>
      <c r="J1082" s="599"/>
      <c r="K1082" s="599"/>
      <c r="L1082" s="599"/>
      <c r="M1082" s="599"/>
      <c r="N1082" s="600"/>
    </row>
    <row r="1083" spans="1:15" ht="25.5" customHeight="1" thickBot="1">
      <c r="A1083" s="601"/>
      <c r="B1083" s="602"/>
      <c r="C1083" s="602"/>
      <c r="D1083" s="602"/>
      <c r="E1083" s="602"/>
      <c r="F1083" s="602"/>
      <c r="G1083" s="602"/>
      <c r="H1083" s="602"/>
      <c r="I1083" s="602"/>
      <c r="J1083" s="602"/>
      <c r="K1083" s="602"/>
      <c r="L1083" s="602"/>
      <c r="M1083" s="602"/>
      <c r="N1083" s="603"/>
    </row>
    <row r="1084" spans="1:15" ht="25.5" customHeight="1">
      <c r="E1084" s="206"/>
      <c r="F1084" s="206"/>
      <c r="G1084" s="206"/>
      <c r="H1084" s="206"/>
      <c r="I1084" s="206"/>
      <c r="J1084" s="206"/>
      <c r="K1084" s="206"/>
    </row>
    <row r="1085" spans="1:15" ht="21.6" thickBot="1"/>
    <row r="1086" spans="1:15" ht="95.25" customHeight="1" thickBot="1">
      <c r="A1086" s="592" t="s">
        <v>1883</v>
      </c>
      <c r="B1086" s="593"/>
      <c r="C1086" s="593"/>
      <c r="D1086" s="593"/>
      <c r="E1086" s="593"/>
      <c r="F1086" s="593"/>
      <c r="G1086" s="593"/>
      <c r="H1086" s="593"/>
      <c r="I1086" s="593"/>
      <c r="J1086" s="593"/>
      <c r="K1086" s="593"/>
      <c r="L1086" s="593"/>
      <c r="M1086" s="593"/>
      <c r="N1086" s="594"/>
    </row>
    <row r="1087" spans="1:15" s="3" customFormat="1" ht="37.5" customHeight="1">
      <c r="A1087" s="134" t="s">
        <v>1884</v>
      </c>
      <c r="B1087" s="166"/>
      <c r="C1087" s="166"/>
      <c r="D1087" s="123"/>
      <c r="E1087" s="123"/>
      <c r="F1087" s="167" t="s">
        <v>1885</v>
      </c>
      <c r="G1087" s="167" t="s">
        <v>1886</v>
      </c>
      <c r="H1087" s="167"/>
      <c r="I1087" s="167"/>
      <c r="J1087" s="167"/>
      <c r="K1087" s="167"/>
      <c r="L1087" s="167"/>
      <c r="M1087" s="167"/>
      <c r="N1087" s="152"/>
      <c r="O1087" s="201"/>
    </row>
    <row r="1088" spans="1:15" s="4" customFormat="1" ht="25.2">
      <c r="A1088" s="125" t="s">
        <v>1887</v>
      </c>
      <c r="B1088" s="123"/>
      <c r="C1088" s="123"/>
      <c r="D1088" s="123"/>
      <c r="E1088" s="123"/>
      <c r="F1088" s="167"/>
      <c r="G1088" s="167" t="s">
        <v>1888</v>
      </c>
      <c r="H1088" s="167"/>
      <c r="I1088" s="167"/>
      <c r="J1088" s="167"/>
      <c r="K1088" s="167"/>
      <c r="L1088" s="167"/>
      <c r="M1088" s="167"/>
      <c r="N1088" s="152"/>
    </row>
    <row r="1089" spans="1:14" s="3" customFormat="1" ht="9.9" customHeight="1">
      <c r="A1089" s="125"/>
      <c r="B1089" s="123"/>
      <c r="C1089" s="123"/>
      <c r="D1089" s="123"/>
      <c r="E1089" s="123"/>
      <c r="F1089" s="167"/>
      <c r="G1089" s="123"/>
      <c r="H1089" s="123"/>
      <c r="I1089" s="123"/>
      <c r="J1089" s="123"/>
      <c r="K1089" s="123"/>
      <c r="L1089" s="123"/>
      <c r="M1089" s="123"/>
      <c r="N1089" s="126"/>
    </row>
    <row r="1090" spans="1:14" s="3" customFormat="1" ht="42.75" customHeight="1">
      <c r="A1090" s="125" t="s">
        <v>1889</v>
      </c>
      <c r="B1090" s="123"/>
      <c r="C1090" s="123"/>
      <c r="D1090" s="123"/>
      <c r="E1090" s="123"/>
      <c r="F1090" s="167" t="s">
        <v>1885</v>
      </c>
      <c r="G1090" s="167" t="str">
        <f>PL!$B$13</f>
        <v>Branch of JSC "Doosan Enerbility" in the Turkestan region</v>
      </c>
      <c r="H1090" s="123"/>
      <c r="I1090" s="123"/>
      <c r="J1090" s="123"/>
      <c r="K1090" s="123"/>
      <c r="L1090" s="123"/>
      <c r="M1090" s="123"/>
      <c r="N1090" s="126"/>
    </row>
    <row r="1091" spans="1:14" s="3" customFormat="1" ht="24" customHeight="1">
      <c r="A1091" s="125" t="s">
        <v>1890</v>
      </c>
      <c r="B1091" s="123"/>
      <c r="C1091" s="123"/>
      <c r="D1091" s="123"/>
      <c r="E1091" s="123"/>
      <c r="F1091" s="168"/>
      <c r="G1091" s="167" t="str">
        <f>PL!$B$14</f>
        <v>321 Tauke Khan Avenue, Turkestan region, Turkestan, Kazakhstan, 161200</v>
      </c>
      <c r="H1091" s="123"/>
      <c r="I1091" s="123"/>
      <c r="J1091" s="123"/>
      <c r="K1091" s="123"/>
      <c r="L1091" s="123"/>
      <c r="M1091" s="123"/>
      <c r="N1091" s="126"/>
    </row>
    <row r="1092" spans="1:14" s="4" customFormat="1" ht="25.2">
      <c r="A1092" s="125"/>
      <c r="B1092" s="123"/>
      <c r="C1092" s="123"/>
      <c r="D1092" s="123"/>
      <c r="E1092" s="123"/>
      <c r="F1092" s="168"/>
      <c r="G1092" s="167" t="str">
        <f>PL!$B$15</f>
        <v>BIN: 230741006561</v>
      </c>
      <c r="H1092" s="123"/>
      <c r="I1092" s="123"/>
      <c r="J1092" s="123"/>
      <c r="K1092" s="123"/>
      <c r="L1092" s="123"/>
      <c r="M1092" s="123"/>
      <c r="N1092" s="126"/>
    </row>
    <row r="1093" spans="1:14" s="3" customFormat="1" ht="9.9" customHeight="1">
      <c r="A1093" s="125"/>
      <c r="B1093" s="123"/>
      <c r="C1093" s="123"/>
      <c r="D1093" s="123"/>
      <c r="E1093" s="123"/>
      <c r="F1093" s="169"/>
      <c r="G1093" s="169"/>
      <c r="H1093" s="123"/>
      <c r="I1093" s="123"/>
      <c r="J1093" s="123"/>
      <c r="K1093" s="123"/>
      <c r="L1093" s="123"/>
      <c r="M1093" s="123"/>
      <c r="N1093" s="126"/>
    </row>
    <row r="1094" spans="1:14" s="3" customFormat="1" ht="25.2">
      <c r="A1094" s="125" t="s">
        <v>1891</v>
      </c>
      <c r="B1094" s="123"/>
      <c r="C1094" s="123"/>
      <c r="D1094" s="123"/>
      <c r="E1094" s="123"/>
      <c r="F1094" s="167" t="s">
        <v>1892</v>
      </c>
      <c r="G1094" s="123"/>
      <c r="H1094" s="123"/>
      <c r="I1094" s="123"/>
      <c r="J1094" s="123"/>
      <c r="K1094" s="123"/>
      <c r="L1094" s="123"/>
      <c r="M1094" s="123"/>
      <c r="N1094" s="126"/>
    </row>
    <row r="1095" spans="1:14" s="4" customFormat="1" ht="25.2">
      <c r="A1095" s="125" t="s">
        <v>1893</v>
      </c>
      <c r="B1095" s="123"/>
      <c r="C1095" s="123"/>
      <c r="D1095" s="123"/>
      <c r="E1095" s="123"/>
      <c r="F1095" s="167" t="s">
        <v>1894</v>
      </c>
      <c r="G1095" s="123"/>
      <c r="H1095" s="123"/>
      <c r="I1095" s="123"/>
      <c r="J1095" s="123"/>
      <c r="K1095" s="123"/>
      <c r="L1095" s="123"/>
      <c r="M1095" s="123"/>
      <c r="N1095" s="126"/>
    </row>
    <row r="1096" spans="1:14" s="3" customFormat="1" ht="9.9" customHeight="1">
      <c r="A1096" s="125"/>
      <c r="B1096" s="123"/>
      <c r="C1096" s="123"/>
      <c r="D1096" s="123"/>
      <c r="E1096" s="123"/>
      <c r="F1096" s="167"/>
      <c r="G1096" s="123"/>
      <c r="H1096" s="123"/>
      <c r="I1096" s="123"/>
      <c r="J1096" s="123"/>
      <c r="K1096" s="123"/>
      <c r="L1096" s="123"/>
      <c r="M1096" s="123"/>
      <c r="N1096" s="126"/>
    </row>
    <row r="1097" spans="1:14" s="3" customFormat="1" ht="25.2">
      <c r="A1097" s="125" t="s">
        <v>1895</v>
      </c>
      <c r="B1097" s="123"/>
      <c r="C1097" s="123"/>
      <c r="D1097" s="123"/>
      <c r="E1097" s="123"/>
      <c r="F1097" s="167" t="s">
        <v>1896</v>
      </c>
      <c r="G1097" s="167" t="str">
        <f>PL!$V$8</f>
        <v>PGU-DE-0139-001</v>
      </c>
      <c r="H1097" s="123"/>
      <c r="I1097" s="123"/>
      <c r="J1097" s="123"/>
      <c r="K1097" s="123"/>
      <c r="L1097" s="123"/>
      <c r="M1097" s="123"/>
      <c r="N1097" s="126"/>
    </row>
    <row r="1098" spans="1:14" s="3" customFormat="1" ht="25.2">
      <c r="A1098" s="125" t="s">
        <v>1897</v>
      </c>
      <c r="B1098" s="123"/>
      <c r="C1098" s="123"/>
      <c r="D1098" s="123"/>
      <c r="E1098" s="123"/>
      <c r="F1098" s="167"/>
      <c r="G1098" s="123"/>
      <c r="H1098" s="123"/>
      <c r="I1098" s="123"/>
      <c r="J1098" s="123"/>
      <c r="K1098" s="123"/>
      <c r="L1098" s="123"/>
      <c r="M1098" s="123"/>
      <c r="N1098" s="126"/>
    </row>
    <row r="1099" spans="1:14" s="3" customFormat="1" ht="9.9" customHeight="1">
      <c r="A1099" s="125"/>
      <c r="B1099" s="123"/>
      <c r="C1099" s="123"/>
      <c r="D1099" s="123"/>
      <c r="E1099" s="123"/>
      <c r="F1099" s="167"/>
      <c r="G1099" s="123"/>
      <c r="H1099" s="123"/>
      <c r="I1099" s="123"/>
      <c r="J1099" s="123"/>
      <c r="K1099" s="123"/>
      <c r="L1099" s="123"/>
      <c r="M1099" s="123"/>
      <c r="N1099" s="126"/>
    </row>
    <row r="1100" spans="1:14" s="3" customFormat="1" ht="31.2" customHeight="1">
      <c r="A1100" s="127" t="s">
        <v>1898</v>
      </c>
      <c r="B1100" s="170"/>
      <c r="C1100" s="170"/>
      <c r="D1100" s="170"/>
      <c r="E1100" s="170"/>
      <c r="F1100" s="171" t="s">
        <v>1885</v>
      </c>
      <c r="G1100" s="597" t="e">
        <f>VLOOKUP(G1103, 'Detail PL'!$B$14:$Q$799,2)</f>
        <v>#N/A</v>
      </c>
      <c r="H1100" s="597"/>
      <c r="I1100" s="597"/>
      <c r="J1100" s="597"/>
      <c r="K1100" s="597"/>
      <c r="L1100" s="597"/>
      <c r="M1100" s="597"/>
      <c r="N1100" s="128"/>
    </row>
    <row r="1101" spans="1:14" s="3" customFormat="1" ht="25.2">
      <c r="A1101" s="127" t="s">
        <v>1899</v>
      </c>
      <c r="B1101" s="170"/>
      <c r="C1101" s="170"/>
      <c r="D1101" s="170"/>
      <c r="E1101" s="170"/>
      <c r="F1101" s="171"/>
      <c r="G1101" s="170"/>
      <c r="H1101" s="170"/>
      <c r="I1101" s="170"/>
      <c r="J1101" s="170"/>
      <c r="K1101" s="170"/>
      <c r="L1101" s="170"/>
      <c r="M1101" s="170"/>
      <c r="N1101" s="128"/>
    </row>
    <row r="1102" spans="1:14" s="3" customFormat="1" ht="9.9" customHeight="1">
      <c r="A1102" s="125"/>
      <c r="B1102" s="123"/>
      <c r="C1102" s="123"/>
      <c r="D1102" s="123"/>
      <c r="E1102" s="123"/>
      <c r="F1102" s="167"/>
      <c r="G1102" s="123"/>
      <c r="H1102" s="123"/>
      <c r="I1102" s="123"/>
      <c r="J1102" s="123"/>
      <c r="K1102" s="123"/>
      <c r="L1102" s="123"/>
      <c r="M1102" s="123"/>
      <c r="N1102" s="126"/>
    </row>
    <row r="1103" spans="1:14" s="3" customFormat="1" ht="25.2">
      <c r="A1103" s="125" t="s">
        <v>1900</v>
      </c>
      <c r="B1103" s="123"/>
      <c r="C1103" s="123"/>
      <c r="D1103" s="123"/>
      <c r="E1103" s="123"/>
      <c r="F1103" s="171" t="s">
        <v>1901</v>
      </c>
      <c r="G1103" s="604">
        <f t="shared" ref="G1103" si="29">G1068+1</f>
        <v>32</v>
      </c>
      <c r="H1103" s="604"/>
      <c r="I1103" s="604"/>
      <c r="J1103" s="604"/>
      <c r="K1103" s="604"/>
      <c r="L1103" s="123"/>
      <c r="M1103" s="123"/>
      <c r="N1103" s="126"/>
    </row>
    <row r="1104" spans="1:14" s="4" customFormat="1" ht="25.2">
      <c r="A1104" s="125" t="s">
        <v>1903</v>
      </c>
      <c r="B1104" s="123"/>
      <c r="C1104" s="123"/>
      <c r="D1104" s="123"/>
      <c r="E1104" s="123"/>
      <c r="F1104" s="167"/>
      <c r="G1104" s="167"/>
      <c r="H1104" s="123"/>
      <c r="I1104" s="123"/>
      <c r="J1104" s="123"/>
      <c r="K1104" s="123"/>
      <c r="L1104" s="123"/>
      <c r="M1104" s="123"/>
      <c r="N1104" s="126"/>
    </row>
    <row r="1105" spans="1:14" s="3" customFormat="1" ht="9.9" customHeight="1">
      <c r="A1105" s="125"/>
      <c r="B1105" s="123"/>
      <c r="C1105" s="123"/>
      <c r="D1105" s="123"/>
      <c r="E1105" s="123"/>
      <c r="F1105" s="167"/>
      <c r="G1105" s="167"/>
      <c r="H1105" s="123"/>
      <c r="I1105" s="123"/>
      <c r="J1105" s="123"/>
      <c r="K1105" s="123"/>
      <c r="L1105" s="123"/>
      <c r="M1105" s="123"/>
      <c r="N1105" s="126"/>
    </row>
    <row r="1106" spans="1:14" s="3" customFormat="1" ht="25.2">
      <c r="A1106" s="125" t="s">
        <v>1904</v>
      </c>
      <c r="B1106" s="123"/>
      <c r="C1106" s="123"/>
      <c r="D1106" s="123"/>
      <c r="E1106" s="123"/>
      <c r="F1106" s="167" t="s">
        <v>1896</v>
      </c>
      <c r="G1106" s="204" t="e">
        <f>VLOOKUP(G1103, 'Detail PL'!$B$14:$Q$799, 10)</f>
        <v>#N/A</v>
      </c>
      <c r="H1106" s="204" t="s">
        <v>1905</v>
      </c>
      <c r="I1106" s="204"/>
      <c r="J1106" s="204"/>
      <c r="K1106" s="123"/>
      <c r="L1106" s="123"/>
      <c r="M1106" s="123"/>
      <c r="N1106" s="126"/>
    </row>
    <row r="1107" spans="1:14" s="4" customFormat="1" ht="25.2">
      <c r="A1107" s="125" t="s">
        <v>1906</v>
      </c>
      <c r="B1107" s="123"/>
      <c r="C1107" s="123"/>
      <c r="D1107" s="123"/>
      <c r="E1107" s="123"/>
      <c r="F1107" s="167"/>
      <c r="G1107" s="167"/>
      <c r="H1107" s="167"/>
      <c r="I1107" s="123"/>
      <c r="J1107" s="123"/>
      <c r="K1107" s="123"/>
      <c r="L1107" s="123"/>
      <c r="M1107" s="123"/>
      <c r="N1107" s="126"/>
    </row>
    <row r="1108" spans="1:14" s="3" customFormat="1" ht="9.9" customHeight="1">
      <c r="A1108" s="125"/>
      <c r="B1108" s="123"/>
      <c r="C1108" s="123"/>
      <c r="D1108" s="123"/>
      <c r="E1108" s="123"/>
      <c r="F1108" s="167"/>
      <c r="G1108" s="167"/>
      <c r="H1108" s="167"/>
      <c r="I1108" s="123"/>
      <c r="J1108" s="123"/>
      <c r="K1108" s="123"/>
      <c r="L1108" s="123"/>
      <c r="M1108" s="123"/>
      <c r="N1108" s="126"/>
    </row>
    <row r="1109" spans="1:14" s="3" customFormat="1" ht="25.2">
      <c r="A1109" s="125" t="s">
        <v>1907</v>
      </c>
      <c r="B1109" s="123"/>
      <c r="C1109" s="123"/>
      <c r="D1109" s="123"/>
      <c r="E1109" s="123"/>
      <c r="F1109" s="167" t="s">
        <v>1896</v>
      </c>
      <c r="G1109" s="204" t="e">
        <f>VLOOKUP(G1103, 'Detail PL'!$B$14:$Q$799, 11)</f>
        <v>#N/A</v>
      </c>
      <c r="H1109" s="204" t="s">
        <v>1905</v>
      </c>
      <c r="I1109" s="204"/>
      <c r="J1109" s="204"/>
      <c r="K1109" s="123"/>
      <c r="L1109" s="123"/>
      <c r="M1109" s="123"/>
      <c r="N1109" s="126"/>
    </row>
    <row r="1110" spans="1:14" s="4" customFormat="1" ht="25.2">
      <c r="A1110" s="125" t="s">
        <v>1908</v>
      </c>
      <c r="B1110" s="123"/>
      <c r="C1110" s="123"/>
      <c r="D1110" s="123"/>
      <c r="E1110" s="123"/>
      <c r="F1110" s="167"/>
      <c r="G1110" s="167"/>
      <c r="H1110" s="123"/>
      <c r="I1110" s="123"/>
      <c r="J1110" s="123"/>
      <c r="K1110" s="123"/>
      <c r="L1110" s="123"/>
      <c r="M1110" s="123"/>
      <c r="N1110" s="126"/>
    </row>
    <row r="1111" spans="1:14" s="3" customFormat="1" ht="9.9" customHeight="1">
      <c r="A1111" s="125"/>
      <c r="B1111" s="123"/>
      <c r="C1111" s="123"/>
      <c r="D1111" s="123"/>
      <c r="E1111" s="123"/>
      <c r="F1111" s="167"/>
      <c r="G1111" s="167"/>
      <c r="H1111" s="123"/>
      <c r="I1111" s="123"/>
      <c r="J1111" s="123"/>
      <c r="K1111" s="123"/>
      <c r="L1111" s="123"/>
      <c r="M1111" s="123"/>
      <c r="N1111" s="126"/>
    </row>
    <row r="1112" spans="1:14" s="3" customFormat="1" ht="25.2">
      <c r="A1112" s="129" t="s">
        <v>1909</v>
      </c>
      <c r="B1112" s="123"/>
      <c r="C1112" s="123"/>
      <c r="D1112" s="123"/>
      <c r="E1112" s="123"/>
      <c r="F1112" s="167" t="s">
        <v>1896</v>
      </c>
      <c r="G1112" s="204" t="e">
        <f>VLOOKUP(G1103, 'Detail PL'!$B$14:$Q$799, 9)</f>
        <v>#N/A</v>
      </c>
      <c r="H1112" s="205" t="s">
        <v>1910</v>
      </c>
      <c r="I1112" s="203"/>
      <c r="J1112" s="203"/>
      <c r="K1112" s="172"/>
      <c r="L1112" s="123"/>
      <c r="M1112" s="123"/>
      <c r="N1112" s="126"/>
    </row>
    <row r="1113" spans="1:14" s="4" customFormat="1" ht="25.2">
      <c r="A1113" s="125" t="s">
        <v>1911</v>
      </c>
      <c r="B1113" s="123"/>
      <c r="C1113" s="123"/>
      <c r="D1113" s="123"/>
      <c r="E1113" s="123"/>
      <c r="F1113" s="167"/>
      <c r="G1113" s="167"/>
      <c r="H1113" s="123"/>
      <c r="I1113" s="123"/>
      <c r="J1113" s="123"/>
      <c r="K1113" s="123"/>
      <c r="L1113" s="123"/>
      <c r="M1113" s="123"/>
      <c r="N1113" s="126"/>
    </row>
    <row r="1114" spans="1:14" s="3" customFormat="1" ht="9.9" customHeight="1">
      <c r="A1114" s="125"/>
      <c r="B1114" s="123"/>
      <c r="C1114" s="123"/>
      <c r="D1114" s="123"/>
      <c r="E1114" s="123"/>
      <c r="F1114" s="167"/>
      <c r="G1114" s="167"/>
      <c r="H1114" s="123"/>
      <c r="I1114" s="123"/>
      <c r="J1114" s="123"/>
      <c r="K1114" s="123"/>
      <c r="L1114" s="123"/>
      <c r="M1114" s="123"/>
      <c r="N1114" s="126"/>
    </row>
    <row r="1115" spans="1:14" s="3" customFormat="1" ht="42" customHeight="1">
      <c r="A1115" s="125" t="s">
        <v>1912</v>
      </c>
      <c r="B1115" s="123"/>
      <c r="C1115" s="123"/>
      <c r="D1115" s="123"/>
      <c r="E1115" s="123"/>
      <c r="F1115" s="166" t="s">
        <v>1913</v>
      </c>
      <c r="G1115" s="595" t="s">
        <v>1914</v>
      </c>
      <c r="H1115" s="595"/>
      <c r="I1115" s="595"/>
      <c r="J1115" s="595"/>
      <c r="K1115" s="595"/>
      <c r="L1115" s="595"/>
      <c r="M1115" s="595"/>
      <c r="N1115" s="596"/>
    </row>
    <row r="1116" spans="1:14" s="4" customFormat="1" ht="25.8" thickBot="1">
      <c r="A1116" s="125" t="s">
        <v>1915</v>
      </c>
      <c r="B1116" s="123"/>
      <c r="C1116" s="123"/>
      <c r="D1116" s="123"/>
      <c r="E1116" s="123"/>
      <c r="F1116" s="167"/>
      <c r="G1116" s="167"/>
      <c r="H1116" s="123"/>
      <c r="I1116" s="123"/>
      <c r="J1116" s="123"/>
      <c r="K1116" s="123"/>
      <c r="L1116" s="123"/>
      <c r="M1116" s="123"/>
      <c r="N1116" s="126"/>
    </row>
    <row r="1117" spans="1:14" ht="21" customHeight="1">
      <c r="A1117" s="598" t="s">
        <v>1916</v>
      </c>
      <c r="B1117" s="599"/>
      <c r="C1117" s="599"/>
      <c r="D1117" s="599"/>
      <c r="E1117" s="599"/>
      <c r="F1117" s="599"/>
      <c r="G1117" s="599"/>
      <c r="H1117" s="599"/>
      <c r="I1117" s="599"/>
      <c r="J1117" s="599"/>
      <c r="K1117" s="599"/>
      <c r="L1117" s="599"/>
      <c r="M1117" s="599"/>
      <c r="N1117" s="600"/>
    </row>
    <row r="1118" spans="1:14" ht="25.5" customHeight="1" thickBot="1">
      <c r="A1118" s="601"/>
      <c r="B1118" s="602"/>
      <c r="C1118" s="602"/>
      <c r="D1118" s="602"/>
      <c r="E1118" s="602"/>
      <c r="F1118" s="602"/>
      <c r="G1118" s="602"/>
      <c r="H1118" s="602"/>
      <c r="I1118" s="602"/>
      <c r="J1118" s="602"/>
      <c r="K1118" s="602"/>
      <c r="L1118" s="602"/>
      <c r="M1118" s="602"/>
      <c r="N1118" s="603"/>
    </row>
    <row r="1119" spans="1:14" ht="25.5" customHeight="1">
      <c r="E1119" s="206"/>
      <c r="F1119" s="206"/>
      <c r="G1119" s="206"/>
      <c r="H1119" s="206"/>
      <c r="I1119" s="206"/>
      <c r="J1119" s="206"/>
      <c r="K1119" s="206"/>
    </row>
    <row r="1120" spans="1:14" ht="21.6" thickBot="1"/>
    <row r="1121" spans="1:15" ht="95.25" customHeight="1" thickBot="1">
      <c r="A1121" s="592" t="s">
        <v>1883</v>
      </c>
      <c r="B1121" s="593"/>
      <c r="C1121" s="593"/>
      <c r="D1121" s="593"/>
      <c r="E1121" s="593"/>
      <c r="F1121" s="593"/>
      <c r="G1121" s="593"/>
      <c r="H1121" s="593"/>
      <c r="I1121" s="593"/>
      <c r="J1121" s="593"/>
      <c r="K1121" s="593"/>
      <c r="L1121" s="593"/>
      <c r="M1121" s="593"/>
      <c r="N1121" s="594"/>
    </row>
    <row r="1122" spans="1:15" s="3" customFormat="1" ht="37.5" customHeight="1">
      <c r="A1122" s="134" t="s">
        <v>1884</v>
      </c>
      <c r="B1122" s="166"/>
      <c r="C1122" s="166"/>
      <c r="D1122" s="123"/>
      <c r="E1122" s="123"/>
      <c r="F1122" s="167" t="s">
        <v>1885</v>
      </c>
      <c r="G1122" s="167" t="s">
        <v>1886</v>
      </c>
      <c r="H1122" s="167"/>
      <c r="I1122" s="167"/>
      <c r="J1122" s="167"/>
      <c r="K1122" s="167"/>
      <c r="L1122" s="167"/>
      <c r="M1122" s="167"/>
      <c r="N1122" s="152"/>
      <c r="O1122" s="201"/>
    </row>
    <row r="1123" spans="1:15" s="4" customFormat="1" ht="25.2">
      <c r="A1123" s="125" t="s">
        <v>1887</v>
      </c>
      <c r="B1123" s="123"/>
      <c r="C1123" s="123"/>
      <c r="D1123" s="123"/>
      <c r="E1123" s="123"/>
      <c r="F1123" s="167"/>
      <c r="G1123" s="167" t="s">
        <v>1888</v>
      </c>
      <c r="H1123" s="167"/>
      <c r="I1123" s="167"/>
      <c r="J1123" s="167"/>
      <c r="K1123" s="167"/>
      <c r="L1123" s="167"/>
      <c r="M1123" s="167"/>
      <c r="N1123" s="152"/>
    </row>
    <row r="1124" spans="1:15" s="3" customFormat="1" ht="9.9" customHeight="1">
      <c r="A1124" s="125"/>
      <c r="B1124" s="123"/>
      <c r="C1124" s="123"/>
      <c r="D1124" s="123"/>
      <c r="E1124" s="123"/>
      <c r="F1124" s="167"/>
      <c r="G1124" s="123"/>
      <c r="H1124" s="123"/>
      <c r="I1124" s="123"/>
      <c r="J1124" s="123"/>
      <c r="K1124" s="123"/>
      <c r="L1124" s="123"/>
      <c r="M1124" s="123"/>
      <c r="N1124" s="126"/>
    </row>
    <row r="1125" spans="1:15" s="3" customFormat="1" ht="42.75" customHeight="1">
      <c r="A1125" s="125" t="s">
        <v>1889</v>
      </c>
      <c r="B1125" s="123"/>
      <c r="C1125" s="123"/>
      <c r="D1125" s="123"/>
      <c r="E1125" s="123"/>
      <c r="F1125" s="167" t="s">
        <v>1885</v>
      </c>
      <c r="G1125" s="167" t="str">
        <f>PL!$B$13</f>
        <v>Branch of JSC "Doosan Enerbility" in the Turkestan region</v>
      </c>
      <c r="H1125" s="123"/>
      <c r="I1125" s="123"/>
      <c r="J1125" s="123"/>
      <c r="K1125" s="123"/>
      <c r="L1125" s="123"/>
      <c r="M1125" s="123"/>
      <c r="N1125" s="126"/>
    </row>
    <row r="1126" spans="1:15" s="3" customFormat="1" ht="24" customHeight="1">
      <c r="A1126" s="125" t="s">
        <v>1890</v>
      </c>
      <c r="B1126" s="123"/>
      <c r="C1126" s="123"/>
      <c r="D1126" s="123"/>
      <c r="E1126" s="123"/>
      <c r="F1126" s="168"/>
      <c r="G1126" s="167" t="str">
        <f>PL!$B$14</f>
        <v>321 Tauke Khan Avenue, Turkestan region, Turkestan, Kazakhstan, 161200</v>
      </c>
      <c r="H1126" s="123"/>
      <c r="I1126" s="123"/>
      <c r="J1126" s="123"/>
      <c r="K1126" s="123"/>
      <c r="L1126" s="123"/>
      <c r="M1126" s="123"/>
      <c r="N1126" s="126"/>
    </row>
    <row r="1127" spans="1:15" s="4" customFormat="1" ht="25.2">
      <c r="A1127" s="125"/>
      <c r="B1127" s="123"/>
      <c r="C1127" s="123"/>
      <c r="D1127" s="123"/>
      <c r="E1127" s="123"/>
      <c r="F1127" s="168"/>
      <c r="G1127" s="167" t="str">
        <f>PL!$B$15</f>
        <v>BIN: 230741006561</v>
      </c>
      <c r="H1127" s="123"/>
      <c r="I1127" s="123"/>
      <c r="J1127" s="123"/>
      <c r="K1127" s="123"/>
      <c r="L1127" s="123"/>
      <c r="M1127" s="123"/>
      <c r="N1127" s="126"/>
    </row>
    <row r="1128" spans="1:15" s="3" customFormat="1" ht="9.9" customHeight="1">
      <c r="A1128" s="125"/>
      <c r="B1128" s="123"/>
      <c r="C1128" s="123"/>
      <c r="D1128" s="123"/>
      <c r="E1128" s="123"/>
      <c r="F1128" s="169"/>
      <c r="G1128" s="169"/>
      <c r="H1128" s="123"/>
      <c r="I1128" s="123"/>
      <c r="J1128" s="123"/>
      <c r="K1128" s="123"/>
      <c r="L1128" s="123"/>
      <c r="M1128" s="123"/>
      <c r="N1128" s="126"/>
    </row>
    <row r="1129" spans="1:15" s="3" customFormat="1" ht="25.2">
      <c r="A1129" s="125" t="s">
        <v>1891</v>
      </c>
      <c r="B1129" s="123"/>
      <c r="C1129" s="123"/>
      <c r="D1129" s="123"/>
      <c r="E1129" s="123"/>
      <c r="F1129" s="167" t="s">
        <v>1892</v>
      </c>
      <c r="G1129" s="123"/>
      <c r="H1129" s="123"/>
      <c r="I1129" s="123"/>
      <c r="J1129" s="123"/>
      <c r="K1129" s="123"/>
      <c r="L1129" s="123"/>
      <c r="M1129" s="123"/>
      <c r="N1129" s="126"/>
    </row>
    <row r="1130" spans="1:15" s="4" customFormat="1" ht="25.2">
      <c r="A1130" s="125" t="s">
        <v>1893</v>
      </c>
      <c r="B1130" s="123"/>
      <c r="C1130" s="123"/>
      <c r="D1130" s="123"/>
      <c r="E1130" s="123"/>
      <c r="F1130" s="167" t="s">
        <v>1894</v>
      </c>
      <c r="G1130" s="123"/>
      <c r="H1130" s="123"/>
      <c r="I1130" s="123"/>
      <c r="J1130" s="123"/>
      <c r="K1130" s="123"/>
      <c r="L1130" s="123"/>
      <c r="M1130" s="123"/>
      <c r="N1130" s="126"/>
    </row>
    <row r="1131" spans="1:15" s="3" customFormat="1" ht="9.9" customHeight="1">
      <c r="A1131" s="125"/>
      <c r="B1131" s="123"/>
      <c r="C1131" s="123"/>
      <c r="D1131" s="123"/>
      <c r="E1131" s="123"/>
      <c r="F1131" s="167"/>
      <c r="G1131" s="123"/>
      <c r="H1131" s="123"/>
      <c r="I1131" s="123"/>
      <c r="J1131" s="123"/>
      <c r="K1131" s="123"/>
      <c r="L1131" s="123"/>
      <c r="M1131" s="123"/>
      <c r="N1131" s="126"/>
    </row>
    <row r="1132" spans="1:15" s="3" customFormat="1" ht="25.2">
      <c r="A1132" s="125" t="s">
        <v>1895</v>
      </c>
      <c r="B1132" s="123"/>
      <c r="C1132" s="123"/>
      <c r="D1132" s="123"/>
      <c r="E1132" s="123"/>
      <c r="F1132" s="167" t="s">
        <v>1896</v>
      </c>
      <c r="G1132" s="167" t="str">
        <f>PL!$V$8</f>
        <v>PGU-DE-0139-001</v>
      </c>
      <c r="H1132" s="123"/>
      <c r="I1132" s="123"/>
      <c r="J1132" s="123"/>
      <c r="K1132" s="123"/>
      <c r="L1132" s="123"/>
      <c r="M1132" s="123"/>
      <c r="N1132" s="126"/>
    </row>
    <row r="1133" spans="1:15" s="3" customFormat="1" ht="25.2">
      <c r="A1133" s="125" t="s">
        <v>1897</v>
      </c>
      <c r="B1133" s="123"/>
      <c r="C1133" s="123"/>
      <c r="D1133" s="123"/>
      <c r="E1133" s="123"/>
      <c r="F1133" s="167"/>
      <c r="G1133" s="123"/>
      <c r="H1133" s="123"/>
      <c r="I1133" s="123"/>
      <c r="J1133" s="123"/>
      <c r="K1133" s="123"/>
      <c r="L1133" s="123"/>
      <c r="M1133" s="123"/>
      <c r="N1133" s="126"/>
    </row>
    <row r="1134" spans="1:15" s="3" customFormat="1" ht="9.9" customHeight="1">
      <c r="A1134" s="125"/>
      <c r="B1134" s="123"/>
      <c r="C1134" s="123"/>
      <c r="D1134" s="123"/>
      <c r="E1134" s="123"/>
      <c r="F1134" s="167"/>
      <c r="G1134" s="123"/>
      <c r="H1134" s="123"/>
      <c r="I1134" s="123"/>
      <c r="J1134" s="123"/>
      <c r="K1134" s="123"/>
      <c r="L1134" s="123"/>
      <c r="M1134" s="123"/>
      <c r="N1134" s="126"/>
    </row>
    <row r="1135" spans="1:15" s="3" customFormat="1" ht="31.2" customHeight="1">
      <c r="A1135" s="127" t="s">
        <v>1898</v>
      </c>
      <c r="B1135" s="170"/>
      <c r="C1135" s="170"/>
      <c r="D1135" s="170"/>
      <c r="E1135" s="170"/>
      <c r="F1135" s="171" t="s">
        <v>1885</v>
      </c>
      <c r="G1135" s="597" t="e">
        <f>VLOOKUP(G1138, 'Detail PL'!$B$14:$Q$799,2)</f>
        <v>#N/A</v>
      </c>
      <c r="H1135" s="597"/>
      <c r="I1135" s="597"/>
      <c r="J1135" s="597"/>
      <c r="K1135" s="597"/>
      <c r="L1135" s="597"/>
      <c r="M1135" s="597"/>
      <c r="N1135" s="128"/>
    </row>
    <row r="1136" spans="1:15" s="3" customFormat="1" ht="25.2">
      <c r="A1136" s="127" t="s">
        <v>1899</v>
      </c>
      <c r="B1136" s="170"/>
      <c r="C1136" s="170"/>
      <c r="D1136" s="170"/>
      <c r="E1136" s="170"/>
      <c r="F1136" s="171"/>
      <c r="G1136" s="170"/>
      <c r="H1136" s="170"/>
      <c r="I1136" s="170"/>
      <c r="J1136" s="170"/>
      <c r="K1136" s="170"/>
      <c r="L1136" s="170"/>
      <c r="M1136" s="170"/>
      <c r="N1136" s="128"/>
    </row>
    <row r="1137" spans="1:14" s="3" customFormat="1" ht="9.9" customHeight="1">
      <c r="A1137" s="125"/>
      <c r="B1137" s="123"/>
      <c r="C1137" s="123"/>
      <c r="D1137" s="123"/>
      <c r="E1137" s="123"/>
      <c r="F1137" s="167"/>
      <c r="G1137" s="123"/>
      <c r="H1137" s="123"/>
      <c r="I1137" s="123"/>
      <c r="J1137" s="123"/>
      <c r="K1137" s="123"/>
      <c r="L1137" s="123"/>
      <c r="M1137" s="123"/>
      <c r="N1137" s="126"/>
    </row>
    <row r="1138" spans="1:14" s="3" customFormat="1" ht="25.2">
      <c r="A1138" s="125" t="s">
        <v>1900</v>
      </c>
      <c r="B1138" s="123"/>
      <c r="C1138" s="123"/>
      <c r="D1138" s="123"/>
      <c r="E1138" s="123"/>
      <c r="F1138" s="171" t="s">
        <v>1901</v>
      </c>
      <c r="G1138" s="604">
        <f t="shared" ref="G1138" si="30">G1103+1</f>
        <v>33</v>
      </c>
      <c r="H1138" s="604"/>
      <c r="I1138" s="604"/>
      <c r="J1138" s="604"/>
      <c r="K1138" s="604"/>
      <c r="L1138" s="123"/>
      <c r="M1138" s="123"/>
      <c r="N1138" s="126"/>
    </row>
    <row r="1139" spans="1:14" s="4" customFormat="1" ht="25.2">
      <c r="A1139" s="125" t="s">
        <v>1903</v>
      </c>
      <c r="B1139" s="123"/>
      <c r="C1139" s="123"/>
      <c r="D1139" s="123"/>
      <c r="E1139" s="123"/>
      <c r="F1139" s="167"/>
      <c r="G1139" s="167"/>
      <c r="H1139" s="123"/>
      <c r="I1139" s="123"/>
      <c r="J1139" s="123"/>
      <c r="K1139" s="123"/>
      <c r="L1139" s="123"/>
      <c r="M1139" s="123"/>
      <c r="N1139" s="126"/>
    </row>
    <row r="1140" spans="1:14" s="3" customFormat="1" ht="9.9" customHeight="1">
      <c r="A1140" s="125"/>
      <c r="B1140" s="123"/>
      <c r="C1140" s="123"/>
      <c r="D1140" s="123"/>
      <c r="E1140" s="123"/>
      <c r="F1140" s="167"/>
      <c r="G1140" s="167"/>
      <c r="H1140" s="123"/>
      <c r="I1140" s="123"/>
      <c r="J1140" s="123"/>
      <c r="K1140" s="123"/>
      <c r="L1140" s="123"/>
      <c r="M1140" s="123"/>
      <c r="N1140" s="126"/>
    </row>
    <row r="1141" spans="1:14" s="3" customFormat="1" ht="25.2">
      <c r="A1141" s="125" t="s">
        <v>1904</v>
      </c>
      <c r="B1141" s="123"/>
      <c r="C1141" s="123"/>
      <c r="D1141" s="123"/>
      <c r="E1141" s="123"/>
      <c r="F1141" s="167" t="s">
        <v>1896</v>
      </c>
      <c r="G1141" s="204" t="e">
        <f>VLOOKUP(G1138, 'Detail PL'!$B$14:$Q$799, 10)</f>
        <v>#N/A</v>
      </c>
      <c r="H1141" s="204" t="s">
        <v>1905</v>
      </c>
      <c r="I1141" s="204"/>
      <c r="J1141" s="204"/>
      <c r="K1141" s="123"/>
      <c r="L1141" s="123"/>
      <c r="M1141" s="123"/>
      <c r="N1141" s="126"/>
    </row>
    <row r="1142" spans="1:14" s="4" customFormat="1" ht="25.2">
      <c r="A1142" s="125" t="s">
        <v>1906</v>
      </c>
      <c r="B1142" s="123"/>
      <c r="C1142" s="123"/>
      <c r="D1142" s="123"/>
      <c r="E1142" s="123"/>
      <c r="F1142" s="167"/>
      <c r="G1142" s="167"/>
      <c r="H1142" s="167"/>
      <c r="I1142" s="123"/>
      <c r="J1142" s="123"/>
      <c r="K1142" s="123"/>
      <c r="L1142" s="123"/>
      <c r="M1142" s="123"/>
      <c r="N1142" s="126"/>
    </row>
    <row r="1143" spans="1:14" s="3" customFormat="1" ht="9.9" customHeight="1">
      <c r="A1143" s="125"/>
      <c r="B1143" s="123"/>
      <c r="C1143" s="123"/>
      <c r="D1143" s="123"/>
      <c r="E1143" s="123"/>
      <c r="F1143" s="167"/>
      <c r="G1143" s="167"/>
      <c r="H1143" s="167"/>
      <c r="I1143" s="123"/>
      <c r="J1143" s="123"/>
      <c r="K1143" s="123"/>
      <c r="L1143" s="123"/>
      <c r="M1143" s="123"/>
      <c r="N1143" s="126"/>
    </row>
    <row r="1144" spans="1:14" s="3" customFormat="1" ht="25.2">
      <c r="A1144" s="125" t="s">
        <v>1907</v>
      </c>
      <c r="B1144" s="123"/>
      <c r="C1144" s="123"/>
      <c r="D1144" s="123"/>
      <c r="E1144" s="123"/>
      <c r="F1144" s="167" t="s">
        <v>1896</v>
      </c>
      <c r="G1144" s="204" t="e">
        <f>VLOOKUP(G1138, 'Detail PL'!$B$14:$Q$799, 11)</f>
        <v>#N/A</v>
      </c>
      <c r="H1144" s="204" t="s">
        <v>1905</v>
      </c>
      <c r="I1144" s="204"/>
      <c r="J1144" s="204"/>
      <c r="K1144" s="123"/>
      <c r="L1144" s="123"/>
      <c r="M1144" s="123"/>
      <c r="N1144" s="126"/>
    </row>
    <row r="1145" spans="1:14" s="4" customFormat="1" ht="25.2">
      <c r="A1145" s="125" t="s">
        <v>1908</v>
      </c>
      <c r="B1145" s="123"/>
      <c r="C1145" s="123"/>
      <c r="D1145" s="123"/>
      <c r="E1145" s="123"/>
      <c r="F1145" s="167"/>
      <c r="G1145" s="167"/>
      <c r="H1145" s="123"/>
      <c r="I1145" s="123"/>
      <c r="J1145" s="123"/>
      <c r="K1145" s="123"/>
      <c r="L1145" s="123"/>
      <c r="M1145" s="123"/>
      <c r="N1145" s="126"/>
    </row>
    <row r="1146" spans="1:14" s="3" customFormat="1" ht="9.9" customHeight="1">
      <c r="A1146" s="125"/>
      <c r="B1146" s="123"/>
      <c r="C1146" s="123"/>
      <c r="D1146" s="123"/>
      <c r="E1146" s="123"/>
      <c r="F1146" s="167"/>
      <c r="G1146" s="167"/>
      <c r="H1146" s="123"/>
      <c r="I1146" s="123"/>
      <c r="J1146" s="123"/>
      <c r="K1146" s="123"/>
      <c r="L1146" s="123"/>
      <c r="M1146" s="123"/>
      <c r="N1146" s="126"/>
    </row>
    <row r="1147" spans="1:14" s="3" customFormat="1" ht="25.2">
      <c r="A1147" s="129" t="s">
        <v>1909</v>
      </c>
      <c r="B1147" s="123"/>
      <c r="C1147" s="123"/>
      <c r="D1147" s="123"/>
      <c r="E1147" s="123"/>
      <c r="F1147" s="167" t="s">
        <v>1896</v>
      </c>
      <c r="G1147" s="204" t="e">
        <f>VLOOKUP(G1138, 'Detail PL'!$B$14:$Q$799, 9)</f>
        <v>#N/A</v>
      </c>
      <c r="H1147" s="205" t="s">
        <v>1910</v>
      </c>
      <c r="I1147" s="203"/>
      <c r="J1147" s="203"/>
      <c r="K1147" s="172"/>
      <c r="L1147" s="123"/>
      <c r="M1147" s="123"/>
      <c r="N1147" s="126"/>
    </row>
    <row r="1148" spans="1:14" s="4" customFormat="1" ht="25.2">
      <c r="A1148" s="125" t="s">
        <v>1911</v>
      </c>
      <c r="B1148" s="123"/>
      <c r="C1148" s="123"/>
      <c r="D1148" s="123"/>
      <c r="E1148" s="123"/>
      <c r="F1148" s="167"/>
      <c r="G1148" s="167"/>
      <c r="H1148" s="123"/>
      <c r="I1148" s="123"/>
      <c r="J1148" s="123"/>
      <c r="K1148" s="123"/>
      <c r="L1148" s="123"/>
      <c r="M1148" s="123"/>
      <c r="N1148" s="126"/>
    </row>
    <row r="1149" spans="1:14" s="3" customFormat="1" ht="9.9" customHeight="1">
      <c r="A1149" s="125"/>
      <c r="B1149" s="123"/>
      <c r="C1149" s="123"/>
      <c r="D1149" s="123"/>
      <c r="E1149" s="123"/>
      <c r="F1149" s="167"/>
      <c r="G1149" s="167"/>
      <c r="H1149" s="123"/>
      <c r="I1149" s="123"/>
      <c r="J1149" s="123"/>
      <c r="K1149" s="123"/>
      <c r="L1149" s="123"/>
      <c r="M1149" s="123"/>
      <c r="N1149" s="126"/>
    </row>
    <row r="1150" spans="1:14" s="3" customFormat="1" ht="42" customHeight="1">
      <c r="A1150" s="125" t="s">
        <v>1912</v>
      </c>
      <c r="B1150" s="123"/>
      <c r="C1150" s="123"/>
      <c r="D1150" s="123"/>
      <c r="E1150" s="123"/>
      <c r="F1150" s="166" t="s">
        <v>1913</v>
      </c>
      <c r="G1150" s="595" t="s">
        <v>1914</v>
      </c>
      <c r="H1150" s="595"/>
      <c r="I1150" s="595"/>
      <c r="J1150" s="595"/>
      <c r="K1150" s="595"/>
      <c r="L1150" s="595"/>
      <c r="M1150" s="595"/>
      <c r="N1150" s="596"/>
    </row>
    <row r="1151" spans="1:14" s="4" customFormat="1" ht="25.8" thickBot="1">
      <c r="A1151" s="125" t="s">
        <v>1915</v>
      </c>
      <c r="B1151" s="123"/>
      <c r="C1151" s="123"/>
      <c r="D1151" s="123"/>
      <c r="E1151" s="123"/>
      <c r="F1151" s="167"/>
      <c r="G1151" s="167"/>
      <c r="H1151" s="123"/>
      <c r="I1151" s="123"/>
      <c r="J1151" s="123"/>
      <c r="K1151" s="123"/>
      <c r="L1151" s="123"/>
      <c r="M1151" s="123"/>
      <c r="N1151" s="126"/>
    </row>
    <row r="1152" spans="1:14" ht="21" customHeight="1">
      <c r="A1152" s="598" t="s">
        <v>1916</v>
      </c>
      <c r="B1152" s="599"/>
      <c r="C1152" s="599"/>
      <c r="D1152" s="599"/>
      <c r="E1152" s="599"/>
      <c r="F1152" s="599"/>
      <c r="G1152" s="599"/>
      <c r="H1152" s="599"/>
      <c r="I1152" s="599"/>
      <c r="J1152" s="599"/>
      <c r="K1152" s="599"/>
      <c r="L1152" s="599"/>
      <c r="M1152" s="599"/>
      <c r="N1152" s="600"/>
    </row>
    <row r="1153" spans="1:15" ht="25.5" customHeight="1" thickBot="1">
      <c r="A1153" s="601"/>
      <c r="B1153" s="602"/>
      <c r="C1153" s="602"/>
      <c r="D1153" s="602"/>
      <c r="E1153" s="602"/>
      <c r="F1153" s="602"/>
      <c r="G1153" s="602"/>
      <c r="H1153" s="602"/>
      <c r="I1153" s="602"/>
      <c r="J1153" s="602"/>
      <c r="K1153" s="602"/>
      <c r="L1153" s="602"/>
      <c r="M1153" s="602"/>
      <c r="N1153" s="603"/>
    </row>
    <row r="1154" spans="1:15" ht="25.5" customHeight="1">
      <c r="E1154" s="206"/>
      <c r="F1154" s="206"/>
      <c r="G1154" s="206"/>
      <c r="H1154" s="206"/>
      <c r="I1154" s="206"/>
      <c r="J1154" s="206"/>
      <c r="K1154" s="206"/>
    </row>
    <row r="1155" spans="1:15" ht="21.6" thickBot="1"/>
    <row r="1156" spans="1:15" ht="95.25" customHeight="1" thickBot="1">
      <c r="A1156" s="592" t="s">
        <v>1883</v>
      </c>
      <c r="B1156" s="593"/>
      <c r="C1156" s="593"/>
      <c r="D1156" s="593"/>
      <c r="E1156" s="593"/>
      <c r="F1156" s="593"/>
      <c r="G1156" s="593"/>
      <c r="H1156" s="593"/>
      <c r="I1156" s="593"/>
      <c r="J1156" s="593"/>
      <c r="K1156" s="593"/>
      <c r="L1156" s="593"/>
      <c r="M1156" s="593"/>
      <c r="N1156" s="594"/>
    </row>
    <row r="1157" spans="1:15" s="3" customFormat="1" ht="37.5" customHeight="1">
      <c r="A1157" s="134" t="s">
        <v>1884</v>
      </c>
      <c r="B1157" s="166"/>
      <c r="C1157" s="166"/>
      <c r="D1157" s="123"/>
      <c r="E1157" s="123"/>
      <c r="F1157" s="167" t="s">
        <v>1885</v>
      </c>
      <c r="G1157" s="167" t="s">
        <v>1886</v>
      </c>
      <c r="H1157" s="167"/>
      <c r="I1157" s="167"/>
      <c r="J1157" s="167"/>
      <c r="K1157" s="167"/>
      <c r="L1157" s="167"/>
      <c r="M1157" s="167"/>
      <c r="N1157" s="152"/>
      <c r="O1157" s="201"/>
    </row>
    <row r="1158" spans="1:15" s="4" customFormat="1" ht="25.2">
      <c r="A1158" s="125" t="s">
        <v>1887</v>
      </c>
      <c r="B1158" s="123"/>
      <c r="C1158" s="123"/>
      <c r="D1158" s="123"/>
      <c r="E1158" s="123"/>
      <c r="F1158" s="167"/>
      <c r="G1158" s="167" t="s">
        <v>1888</v>
      </c>
      <c r="H1158" s="167"/>
      <c r="I1158" s="167"/>
      <c r="J1158" s="167"/>
      <c r="K1158" s="167"/>
      <c r="L1158" s="167"/>
      <c r="M1158" s="167"/>
      <c r="N1158" s="152"/>
    </row>
    <row r="1159" spans="1:15" s="3" customFormat="1" ht="9.9" customHeight="1">
      <c r="A1159" s="125"/>
      <c r="B1159" s="123"/>
      <c r="C1159" s="123"/>
      <c r="D1159" s="123"/>
      <c r="E1159" s="123"/>
      <c r="F1159" s="167"/>
      <c r="G1159" s="123"/>
      <c r="H1159" s="123"/>
      <c r="I1159" s="123"/>
      <c r="J1159" s="123"/>
      <c r="K1159" s="123"/>
      <c r="L1159" s="123"/>
      <c r="M1159" s="123"/>
      <c r="N1159" s="126"/>
    </row>
    <row r="1160" spans="1:15" s="3" customFormat="1" ht="42.75" customHeight="1">
      <c r="A1160" s="125" t="s">
        <v>1889</v>
      </c>
      <c r="B1160" s="123"/>
      <c r="C1160" s="123"/>
      <c r="D1160" s="123"/>
      <c r="E1160" s="123"/>
      <c r="F1160" s="167" t="s">
        <v>1885</v>
      </c>
      <c r="G1160" s="167" t="str">
        <f>PL!$B$13</f>
        <v>Branch of JSC "Doosan Enerbility" in the Turkestan region</v>
      </c>
      <c r="H1160" s="123"/>
      <c r="I1160" s="123"/>
      <c r="J1160" s="123"/>
      <c r="K1160" s="123"/>
      <c r="L1160" s="123"/>
      <c r="M1160" s="123"/>
      <c r="N1160" s="126"/>
    </row>
    <row r="1161" spans="1:15" s="3" customFormat="1" ht="24" customHeight="1">
      <c r="A1161" s="125" t="s">
        <v>1890</v>
      </c>
      <c r="B1161" s="123"/>
      <c r="C1161" s="123"/>
      <c r="D1161" s="123"/>
      <c r="E1161" s="123"/>
      <c r="F1161" s="168"/>
      <c r="G1161" s="167" t="str">
        <f>PL!$B$14</f>
        <v>321 Tauke Khan Avenue, Turkestan region, Turkestan, Kazakhstan, 161200</v>
      </c>
      <c r="H1161" s="123"/>
      <c r="I1161" s="123"/>
      <c r="J1161" s="123"/>
      <c r="K1161" s="123"/>
      <c r="L1161" s="123"/>
      <c r="M1161" s="123"/>
      <c r="N1161" s="126"/>
    </row>
    <row r="1162" spans="1:15" s="4" customFormat="1" ht="25.2">
      <c r="A1162" s="125"/>
      <c r="B1162" s="123"/>
      <c r="C1162" s="123"/>
      <c r="D1162" s="123"/>
      <c r="E1162" s="123"/>
      <c r="F1162" s="168"/>
      <c r="G1162" s="167" t="str">
        <f>PL!$B$15</f>
        <v>BIN: 230741006561</v>
      </c>
      <c r="H1162" s="123"/>
      <c r="I1162" s="123"/>
      <c r="J1162" s="123"/>
      <c r="K1162" s="123"/>
      <c r="L1162" s="123"/>
      <c r="M1162" s="123"/>
      <c r="N1162" s="126"/>
    </row>
    <row r="1163" spans="1:15" s="3" customFormat="1" ht="9.9" customHeight="1">
      <c r="A1163" s="125"/>
      <c r="B1163" s="123"/>
      <c r="C1163" s="123"/>
      <c r="D1163" s="123"/>
      <c r="E1163" s="123"/>
      <c r="F1163" s="169"/>
      <c r="G1163" s="169"/>
      <c r="H1163" s="123"/>
      <c r="I1163" s="123"/>
      <c r="J1163" s="123"/>
      <c r="K1163" s="123"/>
      <c r="L1163" s="123"/>
      <c r="M1163" s="123"/>
      <c r="N1163" s="126"/>
    </row>
    <row r="1164" spans="1:15" s="3" customFormat="1" ht="25.2">
      <c r="A1164" s="125" t="s">
        <v>1891</v>
      </c>
      <c r="B1164" s="123"/>
      <c r="C1164" s="123"/>
      <c r="D1164" s="123"/>
      <c r="E1164" s="123"/>
      <c r="F1164" s="167" t="s">
        <v>1892</v>
      </c>
      <c r="G1164" s="123"/>
      <c r="H1164" s="123"/>
      <c r="I1164" s="123"/>
      <c r="J1164" s="123"/>
      <c r="K1164" s="123"/>
      <c r="L1164" s="123"/>
      <c r="M1164" s="123"/>
      <c r="N1164" s="126"/>
    </row>
    <row r="1165" spans="1:15" s="4" customFormat="1" ht="25.2">
      <c r="A1165" s="125" t="s">
        <v>1893</v>
      </c>
      <c r="B1165" s="123"/>
      <c r="C1165" s="123"/>
      <c r="D1165" s="123"/>
      <c r="E1165" s="123"/>
      <c r="F1165" s="167" t="s">
        <v>1894</v>
      </c>
      <c r="G1165" s="123"/>
      <c r="H1165" s="123"/>
      <c r="I1165" s="123"/>
      <c r="J1165" s="123"/>
      <c r="K1165" s="123"/>
      <c r="L1165" s="123"/>
      <c r="M1165" s="123"/>
      <c r="N1165" s="126"/>
    </row>
    <row r="1166" spans="1:15" s="3" customFormat="1" ht="9.9" customHeight="1">
      <c r="A1166" s="125"/>
      <c r="B1166" s="123"/>
      <c r="C1166" s="123"/>
      <c r="D1166" s="123"/>
      <c r="E1166" s="123"/>
      <c r="F1166" s="167"/>
      <c r="G1166" s="123"/>
      <c r="H1166" s="123"/>
      <c r="I1166" s="123"/>
      <c r="J1166" s="123"/>
      <c r="K1166" s="123"/>
      <c r="L1166" s="123"/>
      <c r="M1166" s="123"/>
      <c r="N1166" s="126"/>
    </row>
    <row r="1167" spans="1:15" s="3" customFormat="1" ht="25.2">
      <c r="A1167" s="125" t="s">
        <v>1895</v>
      </c>
      <c r="B1167" s="123"/>
      <c r="C1167" s="123"/>
      <c r="D1167" s="123"/>
      <c r="E1167" s="123"/>
      <c r="F1167" s="167" t="s">
        <v>1896</v>
      </c>
      <c r="G1167" s="167" t="str">
        <f>PL!$V$8</f>
        <v>PGU-DE-0139-001</v>
      </c>
      <c r="H1167" s="123"/>
      <c r="I1167" s="123"/>
      <c r="J1167" s="123"/>
      <c r="K1167" s="123"/>
      <c r="L1167" s="123"/>
      <c r="M1167" s="123"/>
      <c r="N1167" s="126"/>
    </row>
    <row r="1168" spans="1:15" s="3" customFormat="1" ht="25.2">
      <c r="A1168" s="125" t="s">
        <v>1897</v>
      </c>
      <c r="B1168" s="123"/>
      <c r="C1168" s="123"/>
      <c r="D1168" s="123"/>
      <c r="E1168" s="123"/>
      <c r="F1168" s="167"/>
      <c r="G1168" s="123"/>
      <c r="H1168" s="123"/>
      <c r="I1168" s="123"/>
      <c r="J1168" s="123"/>
      <c r="K1168" s="123"/>
      <c r="L1168" s="123"/>
      <c r="M1168" s="123"/>
      <c r="N1168" s="126"/>
    </row>
    <row r="1169" spans="1:14" s="3" customFormat="1" ht="9.9" customHeight="1">
      <c r="A1169" s="125"/>
      <c r="B1169" s="123"/>
      <c r="C1169" s="123"/>
      <c r="D1169" s="123"/>
      <c r="E1169" s="123"/>
      <c r="F1169" s="167"/>
      <c r="G1169" s="123"/>
      <c r="H1169" s="123"/>
      <c r="I1169" s="123"/>
      <c r="J1169" s="123"/>
      <c r="K1169" s="123"/>
      <c r="L1169" s="123"/>
      <c r="M1169" s="123"/>
      <c r="N1169" s="126"/>
    </row>
    <row r="1170" spans="1:14" s="3" customFormat="1" ht="31.2" customHeight="1">
      <c r="A1170" s="127" t="s">
        <v>1898</v>
      </c>
      <c r="B1170" s="170"/>
      <c r="C1170" s="170"/>
      <c r="D1170" s="170"/>
      <c r="E1170" s="170"/>
      <c r="F1170" s="171" t="s">
        <v>1885</v>
      </c>
      <c r="G1170" s="597" t="e">
        <f>VLOOKUP(G1173, 'Detail PL'!$B$14:$Q$799,2)</f>
        <v>#N/A</v>
      </c>
      <c r="H1170" s="597"/>
      <c r="I1170" s="597"/>
      <c r="J1170" s="597"/>
      <c r="K1170" s="597"/>
      <c r="L1170" s="597"/>
      <c r="M1170" s="597"/>
      <c r="N1170" s="128"/>
    </row>
    <row r="1171" spans="1:14" s="3" customFormat="1" ht="25.2">
      <c r="A1171" s="127" t="s">
        <v>1899</v>
      </c>
      <c r="B1171" s="170"/>
      <c r="C1171" s="170"/>
      <c r="D1171" s="170"/>
      <c r="E1171" s="170"/>
      <c r="F1171" s="171"/>
      <c r="G1171" s="170"/>
      <c r="H1171" s="170"/>
      <c r="I1171" s="170"/>
      <c r="J1171" s="170"/>
      <c r="K1171" s="170"/>
      <c r="L1171" s="170"/>
      <c r="M1171" s="170"/>
      <c r="N1171" s="128"/>
    </row>
    <row r="1172" spans="1:14" s="3" customFormat="1" ht="9.9" customHeight="1">
      <c r="A1172" s="125"/>
      <c r="B1172" s="123"/>
      <c r="C1172" s="123"/>
      <c r="D1172" s="123"/>
      <c r="E1172" s="123"/>
      <c r="F1172" s="167"/>
      <c r="G1172" s="123"/>
      <c r="H1172" s="123"/>
      <c r="I1172" s="123"/>
      <c r="J1172" s="123"/>
      <c r="K1172" s="123"/>
      <c r="L1172" s="123"/>
      <c r="M1172" s="123"/>
      <c r="N1172" s="126"/>
    </row>
    <row r="1173" spans="1:14" s="3" customFormat="1" ht="25.2">
      <c r="A1173" s="125" t="s">
        <v>1900</v>
      </c>
      <c r="B1173" s="123"/>
      <c r="C1173" s="123"/>
      <c r="D1173" s="123"/>
      <c r="E1173" s="123"/>
      <c r="F1173" s="171" t="s">
        <v>1901</v>
      </c>
      <c r="G1173" s="604">
        <f t="shared" ref="G1173" si="31">G1138+1</f>
        <v>34</v>
      </c>
      <c r="H1173" s="604"/>
      <c r="I1173" s="604"/>
      <c r="J1173" s="604"/>
      <c r="K1173" s="604"/>
      <c r="L1173" s="123"/>
      <c r="M1173" s="123"/>
      <c r="N1173" s="126"/>
    </row>
    <row r="1174" spans="1:14" s="4" customFormat="1" ht="25.2">
      <c r="A1174" s="125" t="s">
        <v>1903</v>
      </c>
      <c r="B1174" s="123"/>
      <c r="C1174" s="123"/>
      <c r="D1174" s="123"/>
      <c r="E1174" s="123"/>
      <c r="F1174" s="167"/>
      <c r="G1174" s="167"/>
      <c r="H1174" s="123"/>
      <c r="I1174" s="123"/>
      <c r="J1174" s="123"/>
      <c r="K1174" s="123"/>
      <c r="L1174" s="123"/>
      <c r="M1174" s="123"/>
      <c r="N1174" s="126"/>
    </row>
    <row r="1175" spans="1:14" s="3" customFormat="1" ht="9.9" customHeight="1">
      <c r="A1175" s="125"/>
      <c r="B1175" s="123"/>
      <c r="C1175" s="123"/>
      <c r="D1175" s="123"/>
      <c r="E1175" s="123"/>
      <c r="F1175" s="167"/>
      <c r="G1175" s="167"/>
      <c r="H1175" s="123"/>
      <c r="I1175" s="123"/>
      <c r="J1175" s="123"/>
      <c r="K1175" s="123"/>
      <c r="L1175" s="123"/>
      <c r="M1175" s="123"/>
      <c r="N1175" s="126"/>
    </row>
    <row r="1176" spans="1:14" s="3" customFormat="1" ht="25.2">
      <c r="A1176" s="125" t="s">
        <v>1904</v>
      </c>
      <c r="B1176" s="123"/>
      <c r="C1176" s="123"/>
      <c r="D1176" s="123"/>
      <c r="E1176" s="123"/>
      <c r="F1176" s="167" t="s">
        <v>1896</v>
      </c>
      <c r="G1176" s="204" t="e">
        <f>VLOOKUP(G1173, 'Detail PL'!$B$14:$Q$799, 10)</f>
        <v>#N/A</v>
      </c>
      <c r="H1176" s="204" t="s">
        <v>1905</v>
      </c>
      <c r="I1176" s="204"/>
      <c r="J1176" s="204"/>
      <c r="K1176" s="123"/>
      <c r="L1176" s="123"/>
      <c r="M1176" s="123"/>
      <c r="N1176" s="126"/>
    </row>
    <row r="1177" spans="1:14" s="4" customFormat="1" ht="25.2">
      <c r="A1177" s="125" t="s">
        <v>1906</v>
      </c>
      <c r="B1177" s="123"/>
      <c r="C1177" s="123"/>
      <c r="D1177" s="123"/>
      <c r="E1177" s="123"/>
      <c r="F1177" s="167"/>
      <c r="G1177" s="167"/>
      <c r="H1177" s="167"/>
      <c r="I1177" s="123"/>
      <c r="J1177" s="123"/>
      <c r="K1177" s="123"/>
      <c r="L1177" s="123"/>
      <c r="M1177" s="123"/>
      <c r="N1177" s="126"/>
    </row>
    <row r="1178" spans="1:14" s="3" customFormat="1" ht="9.9" customHeight="1">
      <c r="A1178" s="125"/>
      <c r="B1178" s="123"/>
      <c r="C1178" s="123"/>
      <c r="D1178" s="123"/>
      <c r="E1178" s="123"/>
      <c r="F1178" s="167"/>
      <c r="G1178" s="167"/>
      <c r="H1178" s="167"/>
      <c r="I1178" s="123"/>
      <c r="J1178" s="123"/>
      <c r="K1178" s="123"/>
      <c r="L1178" s="123"/>
      <c r="M1178" s="123"/>
      <c r="N1178" s="126"/>
    </row>
    <row r="1179" spans="1:14" s="3" customFormat="1" ht="25.2">
      <c r="A1179" s="125" t="s">
        <v>1907</v>
      </c>
      <c r="B1179" s="123"/>
      <c r="C1179" s="123"/>
      <c r="D1179" s="123"/>
      <c r="E1179" s="123"/>
      <c r="F1179" s="167" t="s">
        <v>1896</v>
      </c>
      <c r="G1179" s="204" t="e">
        <f>VLOOKUP(G1173, 'Detail PL'!$B$14:$Q$799, 11)</f>
        <v>#N/A</v>
      </c>
      <c r="H1179" s="204" t="s">
        <v>1905</v>
      </c>
      <c r="I1179" s="204"/>
      <c r="J1179" s="204"/>
      <c r="K1179" s="123"/>
      <c r="L1179" s="123"/>
      <c r="M1179" s="123"/>
      <c r="N1179" s="126"/>
    </row>
    <row r="1180" spans="1:14" s="4" customFormat="1" ht="25.2">
      <c r="A1180" s="125" t="s">
        <v>1908</v>
      </c>
      <c r="B1180" s="123"/>
      <c r="C1180" s="123"/>
      <c r="D1180" s="123"/>
      <c r="E1180" s="123"/>
      <c r="F1180" s="167"/>
      <c r="G1180" s="167"/>
      <c r="H1180" s="123"/>
      <c r="I1180" s="123"/>
      <c r="J1180" s="123"/>
      <c r="K1180" s="123"/>
      <c r="L1180" s="123"/>
      <c r="M1180" s="123"/>
      <c r="N1180" s="126"/>
    </row>
    <row r="1181" spans="1:14" s="3" customFormat="1" ht="9.9" customHeight="1">
      <c r="A1181" s="125"/>
      <c r="B1181" s="123"/>
      <c r="C1181" s="123"/>
      <c r="D1181" s="123"/>
      <c r="E1181" s="123"/>
      <c r="F1181" s="167"/>
      <c r="G1181" s="167"/>
      <c r="H1181" s="123"/>
      <c r="I1181" s="123"/>
      <c r="J1181" s="123"/>
      <c r="K1181" s="123"/>
      <c r="L1181" s="123"/>
      <c r="M1181" s="123"/>
      <c r="N1181" s="126"/>
    </row>
    <row r="1182" spans="1:14" s="3" customFormat="1" ht="25.2">
      <c r="A1182" s="129" t="s">
        <v>1909</v>
      </c>
      <c r="B1182" s="123"/>
      <c r="C1182" s="123"/>
      <c r="D1182" s="123"/>
      <c r="E1182" s="123"/>
      <c r="F1182" s="167" t="s">
        <v>1896</v>
      </c>
      <c r="G1182" s="204" t="e">
        <f>VLOOKUP(G1173, 'Detail PL'!$B$14:$Q$799, 9)</f>
        <v>#N/A</v>
      </c>
      <c r="H1182" s="205" t="s">
        <v>1910</v>
      </c>
      <c r="I1182" s="203"/>
      <c r="J1182" s="203"/>
      <c r="K1182" s="172"/>
      <c r="L1182" s="123"/>
      <c r="M1182" s="123"/>
      <c r="N1182" s="126"/>
    </row>
    <row r="1183" spans="1:14" s="4" customFormat="1" ht="25.2">
      <c r="A1183" s="125" t="s">
        <v>1911</v>
      </c>
      <c r="B1183" s="123"/>
      <c r="C1183" s="123"/>
      <c r="D1183" s="123"/>
      <c r="E1183" s="123"/>
      <c r="F1183" s="167"/>
      <c r="G1183" s="167"/>
      <c r="H1183" s="123"/>
      <c r="I1183" s="123"/>
      <c r="J1183" s="123"/>
      <c r="K1183" s="123"/>
      <c r="L1183" s="123"/>
      <c r="M1183" s="123"/>
      <c r="N1183" s="126"/>
    </row>
    <row r="1184" spans="1:14" s="3" customFormat="1" ht="9.9" customHeight="1">
      <c r="A1184" s="125"/>
      <c r="B1184" s="123"/>
      <c r="C1184" s="123"/>
      <c r="D1184" s="123"/>
      <c r="E1184" s="123"/>
      <c r="F1184" s="167"/>
      <c r="G1184" s="167"/>
      <c r="H1184" s="123"/>
      <c r="I1184" s="123"/>
      <c r="J1184" s="123"/>
      <c r="K1184" s="123"/>
      <c r="L1184" s="123"/>
      <c r="M1184" s="123"/>
      <c r="N1184" s="126"/>
    </row>
    <row r="1185" spans="1:15" s="3" customFormat="1" ht="42" customHeight="1">
      <c r="A1185" s="125" t="s">
        <v>1912</v>
      </c>
      <c r="B1185" s="123"/>
      <c r="C1185" s="123"/>
      <c r="D1185" s="123"/>
      <c r="E1185" s="123"/>
      <c r="F1185" s="166" t="s">
        <v>1913</v>
      </c>
      <c r="G1185" s="595" t="s">
        <v>1914</v>
      </c>
      <c r="H1185" s="595"/>
      <c r="I1185" s="595"/>
      <c r="J1185" s="595"/>
      <c r="K1185" s="595"/>
      <c r="L1185" s="595"/>
      <c r="M1185" s="595"/>
      <c r="N1185" s="596"/>
    </row>
    <row r="1186" spans="1:15" s="4" customFormat="1" ht="25.8" thickBot="1">
      <c r="A1186" s="125" t="s">
        <v>1915</v>
      </c>
      <c r="B1186" s="123"/>
      <c r="C1186" s="123"/>
      <c r="D1186" s="123"/>
      <c r="E1186" s="123"/>
      <c r="F1186" s="167"/>
      <c r="G1186" s="167"/>
      <c r="H1186" s="123"/>
      <c r="I1186" s="123"/>
      <c r="J1186" s="123"/>
      <c r="K1186" s="123"/>
      <c r="L1186" s="123"/>
      <c r="M1186" s="123"/>
      <c r="N1186" s="126"/>
    </row>
    <row r="1187" spans="1:15" ht="21" customHeight="1">
      <c r="A1187" s="598" t="s">
        <v>1916</v>
      </c>
      <c r="B1187" s="599"/>
      <c r="C1187" s="599"/>
      <c r="D1187" s="599"/>
      <c r="E1187" s="599"/>
      <c r="F1187" s="599"/>
      <c r="G1187" s="599"/>
      <c r="H1187" s="599"/>
      <c r="I1187" s="599"/>
      <c r="J1187" s="599"/>
      <c r="K1187" s="599"/>
      <c r="L1187" s="599"/>
      <c r="M1187" s="599"/>
      <c r="N1187" s="600"/>
    </row>
    <row r="1188" spans="1:15" ht="25.5" customHeight="1" thickBot="1">
      <c r="A1188" s="601"/>
      <c r="B1188" s="602"/>
      <c r="C1188" s="602"/>
      <c r="D1188" s="602"/>
      <c r="E1188" s="602"/>
      <c r="F1188" s="602"/>
      <c r="G1188" s="602"/>
      <c r="H1188" s="602"/>
      <c r="I1188" s="602"/>
      <c r="J1188" s="602"/>
      <c r="K1188" s="602"/>
      <c r="L1188" s="602"/>
      <c r="M1188" s="602"/>
      <c r="N1188" s="603"/>
    </row>
    <row r="1189" spans="1:15" ht="25.5" customHeight="1">
      <c r="E1189" s="206"/>
      <c r="F1189" s="206"/>
      <c r="G1189" s="206"/>
      <c r="H1189" s="206"/>
      <c r="I1189" s="206"/>
      <c r="J1189" s="206"/>
      <c r="K1189" s="206"/>
    </row>
    <row r="1190" spans="1:15" ht="21.6" thickBot="1"/>
    <row r="1191" spans="1:15" ht="95.25" customHeight="1" thickBot="1">
      <c r="A1191" s="592" t="s">
        <v>1883</v>
      </c>
      <c r="B1191" s="593"/>
      <c r="C1191" s="593"/>
      <c r="D1191" s="593"/>
      <c r="E1191" s="593"/>
      <c r="F1191" s="593"/>
      <c r="G1191" s="593"/>
      <c r="H1191" s="593"/>
      <c r="I1191" s="593"/>
      <c r="J1191" s="593"/>
      <c r="K1191" s="593"/>
      <c r="L1191" s="593"/>
      <c r="M1191" s="593"/>
      <c r="N1191" s="594"/>
    </row>
    <row r="1192" spans="1:15" s="3" customFormat="1" ht="37.5" customHeight="1">
      <c r="A1192" s="134" t="s">
        <v>1884</v>
      </c>
      <c r="B1192" s="166"/>
      <c r="C1192" s="166"/>
      <c r="D1192" s="123"/>
      <c r="E1192" s="123"/>
      <c r="F1192" s="167" t="s">
        <v>1885</v>
      </c>
      <c r="G1192" s="167" t="s">
        <v>1886</v>
      </c>
      <c r="H1192" s="167"/>
      <c r="I1192" s="167"/>
      <c r="J1192" s="167"/>
      <c r="K1192" s="167"/>
      <c r="L1192" s="167"/>
      <c r="M1192" s="167"/>
      <c r="N1192" s="152"/>
      <c r="O1192" s="201"/>
    </row>
    <row r="1193" spans="1:15" s="4" customFormat="1" ht="25.2">
      <c r="A1193" s="125" t="s">
        <v>1887</v>
      </c>
      <c r="B1193" s="123"/>
      <c r="C1193" s="123"/>
      <c r="D1193" s="123"/>
      <c r="E1193" s="123"/>
      <c r="F1193" s="167"/>
      <c r="G1193" s="167" t="s">
        <v>1888</v>
      </c>
      <c r="H1193" s="167"/>
      <c r="I1193" s="167"/>
      <c r="J1193" s="167"/>
      <c r="K1193" s="167"/>
      <c r="L1193" s="167"/>
      <c r="M1193" s="167"/>
      <c r="N1193" s="152"/>
    </row>
    <row r="1194" spans="1:15" s="3" customFormat="1" ht="9.9" customHeight="1">
      <c r="A1194" s="125"/>
      <c r="B1194" s="123"/>
      <c r="C1194" s="123"/>
      <c r="D1194" s="123"/>
      <c r="E1194" s="123"/>
      <c r="F1194" s="167"/>
      <c r="G1194" s="123"/>
      <c r="H1194" s="123"/>
      <c r="I1194" s="123"/>
      <c r="J1194" s="123"/>
      <c r="K1194" s="123"/>
      <c r="L1194" s="123"/>
      <c r="M1194" s="123"/>
      <c r="N1194" s="126"/>
    </row>
    <row r="1195" spans="1:15" s="3" customFormat="1" ht="42.75" customHeight="1">
      <c r="A1195" s="125" t="s">
        <v>1889</v>
      </c>
      <c r="B1195" s="123"/>
      <c r="C1195" s="123"/>
      <c r="D1195" s="123"/>
      <c r="E1195" s="123"/>
      <c r="F1195" s="167" t="s">
        <v>1885</v>
      </c>
      <c r="G1195" s="167" t="str">
        <f>PL!$B$13</f>
        <v>Branch of JSC "Doosan Enerbility" in the Turkestan region</v>
      </c>
      <c r="H1195" s="123"/>
      <c r="I1195" s="123"/>
      <c r="J1195" s="123"/>
      <c r="K1195" s="123"/>
      <c r="L1195" s="123"/>
      <c r="M1195" s="123"/>
      <c r="N1195" s="126"/>
    </row>
    <row r="1196" spans="1:15" s="3" customFormat="1" ht="24" customHeight="1">
      <c r="A1196" s="125" t="s">
        <v>1890</v>
      </c>
      <c r="B1196" s="123"/>
      <c r="C1196" s="123"/>
      <c r="D1196" s="123"/>
      <c r="E1196" s="123"/>
      <c r="F1196" s="168"/>
      <c r="G1196" s="167" t="str">
        <f>PL!$B$14</f>
        <v>321 Tauke Khan Avenue, Turkestan region, Turkestan, Kazakhstan, 161200</v>
      </c>
      <c r="H1196" s="123"/>
      <c r="I1196" s="123"/>
      <c r="J1196" s="123"/>
      <c r="K1196" s="123"/>
      <c r="L1196" s="123"/>
      <c r="M1196" s="123"/>
      <c r="N1196" s="126"/>
    </row>
    <row r="1197" spans="1:15" s="4" customFormat="1" ht="25.2">
      <c r="A1197" s="125"/>
      <c r="B1197" s="123"/>
      <c r="C1197" s="123"/>
      <c r="D1197" s="123"/>
      <c r="E1197" s="123"/>
      <c r="F1197" s="168"/>
      <c r="G1197" s="167" t="str">
        <f>PL!$B$15</f>
        <v>BIN: 230741006561</v>
      </c>
      <c r="H1197" s="123"/>
      <c r="I1197" s="123"/>
      <c r="J1197" s="123"/>
      <c r="K1197" s="123"/>
      <c r="L1197" s="123"/>
      <c r="M1197" s="123"/>
      <c r="N1197" s="126"/>
    </row>
    <row r="1198" spans="1:15" s="3" customFormat="1" ht="9.9" customHeight="1">
      <c r="A1198" s="125"/>
      <c r="B1198" s="123"/>
      <c r="C1198" s="123"/>
      <c r="D1198" s="123"/>
      <c r="E1198" s="123"/>
      <c r="F1198" s="169"/>
      <c r="G1198" s="169"/>
      <c r="H1198" s="123"/>
      <c r="I1198" s="123"/>
      <c r="J1198" s="123"/>
      <c r="K1198" s="123"/>
      <c r="L1198" s="123"/>
      <c r="M1198" s="123"/>
      <c r="N1198" s="126"/>
    </row>
    <row r="1199" spans="1:15" s="3" customFormat="1" ht="25.2">
      <c r="A1199" s="125" t="s">
        <v>1891</v>
      </c>
      <c r="B1199" s="123"/>
      <c r="C1199" s="123"/>
      <c r="D1199" s="123"/>
      <c r="E1199" s="123"/>
      <c r="F1199" s="167" t="s">
        <v>1892</v>
      </c>
      <c r="G1199" s="123"/>
      <c r="H1199" s="123"/>
      <c r="I1199" s="123"/>
      <c r="J1199" s="123"/>
      <c r="K1199" s="123"/>
      <c r="L1199" s="123"/>
      <c r="M1199" s="123"/>
      <c r="N1199" s="126"/>
    </row>
    <row r="1200" spans="1:15" s="4" customFormat="1" ht="25.2">
      <c r="A1200" s="125" t="s">
        <v>1893</v>
      </c>
      <c r="B1200" s="123"/>
      <c r="C1200" s="123"/>
      <c r="D1200" s="123"/>
      <c r="E1200" s="123"/>
      <c r="F1200" s="167" t="s">
        <v>1894</v>
      </c>
      <c r="G1200" s="123"/>
      <c r="H1200" s="123"/>
      <c r="I1200" s="123"/>
      <c r="J1200" s="123"/>
      <c r="K1200" s="123"/>
      <c r="L1200" s="123"/>
      <c r="M1200" s="123"/>
      <c r="N1200" s="126"/>
    </row>
    <row r="1201" spans="1:14" s="3" customFormat="1" ht="9.9" customHeight="1">
      <c r="A1201" s="125"/>
      <c r="B1201" s="123"/>
      <c r="C1201" s="123"/>
      <c r="D1201" s="123"/>
      <c r="E1201" s="123"/>
      <c r="F1201" s="167"/>
      <c r="G1201" s="123"/>
      <c r="H1201" s="123"/>
      <c r="I1201" s="123"/>
      <c r="J1201" s="123"/>
      <c r="K1201" s="123"/>
      <c r="L1201" s="123"/>
      <c r="M1201" s="123"/>
      <c r="N1201" s="126"/>
    </row>
    <row r="1202" spans="1:14" s="3" customFormat="1" ht="25.2">
      <c r="A1202" s="125" t="s">
        <v>1895</v>
      </c>
      <c r="B1202" s="123"/>
      <c r="C1202" s="123"/>
      <c r="D1202" s="123"/>
      <c r="E1202" s="123"/>
      <c r="F1202" s="167" t="s">
        <v>1896</v>
      </c>
      <c r="G1202" s="167" t="str">
        <f>PL!$V$8</f>
        <v>PGU-DE-0139-001</v>
      </c>
      <c r="H1202" s="123"/>
      <c r="I1202" s="123"/>
      <c r="J1202" s="123"/>
      <c r="K1202" s="123"/>
      <c r="L1202" s="123"/>
      <c r="M1202" s="123"/>
      <c r="N1202" s="126"/>
    </row>
    <row r="1203" spans="1:14" s="3" customFormat="1" ht="25.2">
      <c r="A1203" s="125" t="s">
        <v>1897</v>
      </c>
      <c r="B1203" s="123"/>
      <c r="C1203" s="123"/>
      <c r="D1203" s="123"/>
      <c r="E1203" s="123"/>
      <c r="F1203" s="167"/>
      <c r="G1203" s="123"/>
      <c r="H1203" s="123"/>
      <c r="I1203" s="123"/>
      <c r="J1203" s="123"/>
      <c r="K1203" s="123"/>
      <c r="L1203" s="123"/>
      <c r="M1203" s="123"/>
      <c r="N1203" s="126"/>
    </row>
    <row r="1204" spans="1:14" s="3" customFormat="1" ht="9.9" customHeight="1">
      <c r="A1204" s="125"/>
      <c r="B1204" s="123"/>
      <c r="C1204" s="123"/>
      <c r="D1204" s="123"/>
      <c r="E1204" s="123"/>
      <c r="F1204" s="167"/>
      <c r="G1204" s="123"/>
      <c r="H1204" s="123"/>
      <c r="I1204" s="123"/>
      <c r="J1204" s="123"/>
      <c r="K1204" s="123"/>
      <c r="L1204" s="123"/>
      <c r="M1204" s="123"/>
      <c r="N1204" s="126"/>
    </row>
    <row r="1205" spans="1:14" s="3" customFormat="1" ht="31.2" customHeight="1">
      <c r="A1205" s="127" t="s">
        <v>1898</v>
      </c>
      <c r="B1205" s="170"/>
      <c r="C1205" s="170"/>
      <c r="D1205" s="170"/>
      <c r="E1205" s="170"/>
      <c r="F1205" s="171" t="s">
        <v>1885</v>
      </c>
      <c r="G1205" s="597" t="e">
        <f>VLOOKUP(G1208, 'Detail PL'!$B$14:$Q$799,2)</f>
        <v>#N/A</v>
      </c>
      <c r="H1205" s="597"/>
      <c r="I1205" s="597"/>
      <c r="J1205" s="597"/>
      <c r="K1205" s="597"/>
      <c r="L1205" s="597"/>
      <c r="M1205" s="597"/>
      <c r="N1205" s="128"/>
    </row>
    <row r="1206" spans="1:14" s="3" customFormat="1" ht="25.2">
      <c r="A1206" s="127" t="s">
        <v>1899</v>
      </c>
      <c r="B1206" s="170"/>
      <c r="C1206" s="170"/>
      <c r="D1206" s="170"/>
      <c r="E1206" s="170"/>
      <c r="F1206" s="171"/>
      <c r="G1206" s="170"/>
      <c r="H1206" s="170"/>
      <c r="I1206" s="170"/>
      <c r="J1206" s="170"/>
      <c r="K1206" s="170"/>
      <c r="L1206" s="170"/>
      <c r="M1206" s="170"/>
      <c r="N1206" s="128"/>
    </row>
    <row r="1207" spans="1:14" s="3" customFormat="1" ht="9.9" customHeight="1">
      <c r="A1207" s="125"/>
      <c r="B1207" s="123"/>
      <c r="C1207" s="123"/>
      <c r="D1207" s="123"/>
      <c r="E1207" s="123"/>
      <c r="F1207" s="167"/>
      <c r="G1207" s="123"/>
      <c r="H1207" s="123"/>
      <c r="I1207" s="123"/>
      <c r="J1207" s="123"/>
      <c r="K1207" s="123"/>
      <c r="L1207" s="123"/>
      <c r="M1207" s="123"/>
      <c r="N1207" s="126"/>
    </row>
    <row r="1208" spans="1:14" s="3" customFormat="1" ht="25.2">
      <c r="A1208" s="125" t="s">
        <v>1900</v>
      </c>
      <c r="B1208" s="123"/>
      <c r="C1208" s="123"/>
      <c r="D1208" s="123"/>
      <c r="E1208" s="123"/>
      <c r="F1208" s="171" t="s">
        <v>1901</v>
      </c>
      <c r="G1208" s="604">
        <f t="shared" ref="G1208" si="32">G1173+1</f>
        <v>35</v>
      </c>
      <c r="H1208" s="604"/>
      <c r="I1208" s="604"/>
      <c r="J1208" s="604"/>
      <c r="K1208" s="604"/>
      <c r="L1208" s="123"/>
      <c r="M1208" s="123"/>
      <c r="N1208" s="126"/>
    </row>
    <row r="1209" spans="1:14" s="4" customFormat="1" ht="25.2">
      <c r="A1209" s="125" t="s">
        <v>1903</v>
      </c>
      <c r="B1209" s="123"/>
      <c r="C1209" s="123"/>
      <c r="D1209" s="123"/>
      <c r="E1209" s="123"/>
      <c r="F1209" s="167"/>
      <c r="G1209" s="167"/>
      <c r="H1209" s="123"/>
      <c r="I1209" s="123"/>
      <c r="J1209" s="123"/>
      <c r="K1209" s="123"/>
      <c r="L1209" s="123"/>
      <c r="M1209" s="123"/>
      <c r="N1209" s="126"/>
    </row>
    <row r="1210" spans="1:14" s="3" customFormat="1" ht="9.9" customHeight="1">
      <c r="A1210" s="125"/>
      <c r="B1210" s="123"/>
      <c r="C1210" s="123"/>
      <c r="D1210" s="123"/>
      <c r="E1210" s="123"/>
      <c r="F1210" s="167"/>
      <c r="G1210" s="167"/>
      <c r="H1210" s="123"/>
      <c r="I1210" s="123"/>
      <c r="J1210" s="123"/>
      <c r="K1210" s="123"/>
      <c r="L1210" s="123"/>
      <c r="M1210" s="123"/>
      <c r="N1210" s="126"/>
    </row>
    <row r="1211" spans="1:14" s="3" customFormat="1" ht="25.2">
      <c r="A1211" s="125" t="s">
        <v>1904</v>
      </c>
      <c r="B1211" s="123"/>
      <c r="C1211" s="123"/>
      <c r="D1211" s="123"/>
      <c r="E1211" s="123"/>
      <c r="F1211" s="167" t="s">
        <v>1896</v>
      </c>
      <c r="G1211" s="204" t="e">
        <f>VLOOKUP(G1208, 'Detail PL'!$B$14:$Q$799, 10)</f>
        <v>#N/A</v>
      </c>
      <c r="H1211" s="204" t="s">
        <v>1905</v>
      </c>
      <c r="I1211" s="204"/>
      <c r="J1211" s="204"/>
      <c r="K1211" s="123"/>
      <c r="L1211" s="123"/>
      <c r="M1211" s="123"/>
      <c r="N1211" s="126"/>
    </row>
    <row r="1212" spans="1:14" s="4" customFormat="1" ht="25.2">
      <c r="A1212" s="125" t="s">
        <v>1906</v>
      </c>
      <c r="B1212" s="123"/>
      <c r="C1212" s="123"/>
      <c r="D1212" s="123"/>
      <c r="E1212" s="123"/>
      <c r="F1212" s="167"/>
      <c r="G1212" s="167"/>
      <c r="H1212" s="167"/>
      <c r="I1212" s="123"/>
      <c r="J1212" s="123"/>
      <c r="K1212" s="123"/>
      <c r="L1212" s="123"/>
      <c r="M1212" s="123"/>
      <c r="N1212" s="126"/>
    </row>
    <row r="1213" spans="1:14" s="3" customFormat="1" ht="9.9" customHeight="1">
      <c r="A1213" s="125"/>
      <c r="B1213" s="123"/>
      <c r="C1213" s="123"/>
      <c r="D1213" s="123"/>
      <c r="E1213" s="123"/>
      <c r="F1213" s="167"/>
      <c r="G1213" s="167"/>
      <c r="H1213" s="167"/>
      <c r="I1213" s="123"/>
      <c r="J1213" s="123"/>
      <c r="K1213" s="123"/>
      <c r="L1213" s="123"/>
      <c r="M1213" s="123"/>
      <c r="N1213" s="126"/>
    </row>
    <row r="1214" spans="1:14" s="3" customFormat="1" ht="25.2">
      <c r="A1214" s="125" t="s">
        <v>1907</v>
      </c>
      <c r="B1214" s="123"/>
      <c r="C1214" s="123"/>
      <c r="D1214" s="123"/>
      <c r="E1214" s="123"/>
      <c r="F1214" s="167" t="s">
        <v>1896</v>
      </c>
      <c r="G1214" s="204" t="e">
        <f>VLOOKUP(G1208, 'Detail PL'!$B$14:$Q$799, 11)</f>
        <v>#N/A</v>
      </c>
      <c r="H1214" s="204" t="s">
        <v>1905</v>
      </c>
      <c r="I1214" s="204"/>
      <c r="J1214" s="204"/>
      <c r="K1214" s="123"/>
      <c r="L1214" s="123"/>
      <c r="M1214" s="123"/>
      <c r="N1214" s="126"/>
    </row>
    <row r="1215" spans="1:14" s="4" customFormat="1" ht="25.2">
      <c r="A1215" s="125" t="s">
        <v>1908</v>
      </c>
      <c r="B1215" s="123"/>
      <c r="C1215" s="123"/>
      <c r="D1215" s="123"/>
      <c r="E1215" s="123"/>
      <c r="F1215" s="167"/>
      <c r="G1215" s="167"/>
      <c r="H1215" s="123"/>
      <c r="I1215" s="123"/>
      <c r="J1215" s="123"/>
      <c r="K1215" s="123"/>
      <c r="L1215" s="123"/>
      <c r="M1215" s="123"/>
      <c r="N1215" s="126"/>
    </row>
    <row r="1216" spans="1:14" s="3" customFormat="1" ht="9.9" customHeight="1">
      <c r="A1216" s="125"/>
      <c r="B1216" s="123"/>
      <c r="C1216" s="123"/>
      <c r="D1216" s="123"/>
      <c r="E1216" s="123"/>
      <c r="F1216" s="167"/>
      <c r="G1216" s="167"/>
      <c r="H1216" s="123"/>
      <c r="I1216" s="123"/>
      <c r="J1216" s="123"/>
      <c r="K1216" s="123"/>
      <c r="L1216" s="123"/>
      <c r="M1216" s="123"/>
      <c r="N1216" s="126"/>
    </row>
    <row r="1217" spans="1:15" s="3" customFormat="1" ht="25.2">
      <c r="A1217" s="129" t="s">
        <v>1909</v>
      </c>
      <c r="B1217" s="123"/>
      <c r="C1217" s="123"/>
      <c r="D1217" s="123"/>
      <c r="E1217" s="123"/>
      <c r="F1217" s="167" t="s">
        <v>1896</v>
      </c>
      <c r="G1217" s="204" t="e">
        <f>VLOOKUP(G1208, 'Detail PL'!$B$14:$Q$799, 9)</f>
        <v>#N/A</v>
      </c>
      <c r="H1217" s="205" t="s">
        <v>1910</v>
      </c>
      <c r="I1217" s="203"/>
      <c r="J1217" s="203"/>
      <c r="K1217" s="172"/>
      <c r="L1217" s="123"/>
      <c r="M1217" s="123"/>
      <c r="N1217" s="126"/>
    </row>
    <row r="1218" spans="1:15" s="4" customFormat="1" ht="25.2">
      <c r="A1218" s="125" t="s">
        <v>1911</v>
      </c>
      <c r="B1218" s="123"/>
      <c r="C1218" s="123"/>
      <c r="D1218" s="123"/>
      <c r="E1218" s="123"/>
      <c r="F1218" s="167"/>
      <c r="G1218" s="167"/>
      <c r="H1218" s="123"/>
      <c r="I1218" s="123"/>
      <c r="J1218" s="123"/>
      <c r="K1218" s="123"/>
      <c r="L1218" s="123"/>
      <c r="M1218" s="123"/>
      <c r="N1218" s="126"/>
    </row>
    <row r="1219" spans="1:15" s="3" customFormat="1" ht="9.9" customHeight="1">
      <c r="A1219" s="125"/>
      <c r="B1219" s="123"/>
      <c r="C1219" s="123"/>
      <c r="D1219" s="123"/>
      <c r="E1219" s="123"/>
      <c r="F1219" s="167"/>
      <c r="G1219" s="167"/>
      <c r="H1219" s="123"/>
      <c r="I1219" s="123"/>
      <c r="J1219" s="123"/>
      <c r="K1219" s="123"/>
      <c r="L1219" s="123"/>
      <c r="M1219" s="123"/>
      <c r="N1219" s="126"/>
    </row>
    <row r="1220" spans="1:15" s="3" customFormat="1" ht="42" customHeight="1">
      <c r="A1220" s="125" t="s">
        <v>1912</v>
      </c>
      <c r="B1220" s="123"/>
      <c r="C1220" s="123"/>
      <c r="D1220" s="123"/>
      <c r="E1220" s="123"/>
      <c r="F1220" s="166" t="s">
        <v>1913</v>
      </c>
      <c r="G1220" s="595" t="s">
        <v>1914</v>
      </c>
      <c r="H1220" s="595"/>
      <c r="I1220" s="595"/>
      <c r="J1220" s="595"/>
      <c r="K1220" s="595"/>
      <c r="L1220" s="595"/>
      <c r="M1220" s="595"/>
      <c r="N1220" s="596"/>
    </row>
    <row r="1221" spans="1:15" s="4" customFormat="1" ht="25.8" thickBot="1">
      <c r="A1221" s="125" t="s">
        <v>1915</v>
      </c>
      <c r="B1221" s="123"/>
      <c r="C1221" s="123"/>
      <c r="D1221" s="123"/>
      <c r="E1221" s="123"/>
      <c r="F1221" s="167"/>
      <c r="G1221" s="167"/>
      <c r="H1221" s="123"/>
      <c r="I1221" s="123"/>
      <c r="J1221" s="123"/>
      <c r="K1221" s="123"/>
      <c r="L1221" s="123"/>
      <c r="M1221" s="123"/>
      <c r="N1221" s="126"/>
    </row>
    <row r="1222" spans="1:15" ht="21" customHeight="1">
      <c r="A1222" s="598" t="s">
        <v>1916</v>
      </c>
      <c r="B1222" s="599"/>
      <c r="C1222" s="599"/>
      <c r="D1222" s="599"/>
      <c r="E1222" s="599"/>
      <c r="F1222" s="599"/>
      <c r="G1222" s="599"/>
      <c r="H1222" s="599"/>
      <c r="I1222" s="599"/>
      <c r="J1222" s="599"/>
      <c r="K1222" s="599"/>
      <c r="L1222" s="599"/>
      <c r="M1222" s="599"/>
      <c r="N1222" s="600"/>
    </row>
    <row r="1223" spans="1:15" ht="25.5" customHeight="1" thickBot="1">
      <c r="A1223" s="601"/>
      <c r="B1223" s="602"/>
      <c r="C1223" s="602"/>
      <c r="D1223" s="602"/>
      <c r="E1223" s="602"/>
      <c r="F1223" s="602"/>
      <c r="G1223" s="602"/>
      <c r="H1223" s="602"/>
      <c r="I1223" s="602"/>
      <c r="J1223" s="602"/>
      <c r="K1223" s="602"/>
      <c r="L1223" s="602"/>
      <c r="M1223" s="602"/>
      <c r="N1223" s="603"/>
    </row>
    <row r="1224" spans="1:15" ht="25.5" customHeight="1">
      <c r="E1224" s="206"/>
      <c r="F1224" s="206"/>
      <c r="G1224" s="206"/>
      <c r="H1224" s="206"/>
      <c r="I1224" s="206"/>
      <c r="J1224" s="206"/>
      <c r="K1224" s="206"/>
    </row>
    <row r="1225" spans="1:15" ht="21.6" thickBot="1"/>
    <row r="1226" spans="1:15" ht="95.25" customHeight="1" thickBot="1">
      <c r="A1226" s="592" t="s">
        <v>1883</v>
      </c>
      <c r="B1226" s="593"/>
      <c r="C1226" s="593"/>
      <c r="D1226" s="593"/>
      <c r="E1226" s="593"/>
      <c r="F1226" s="593"/>
      <c r="G1226" s="593"/>
      <c r="H1226" s="593"/>
      <c r="I1226" s="593"/>
      <c r="J1226" s="593"/>
      <c r="K1226" s="593"/>
      <c r="L1226" s="593"/>
      <c r="M1226" s="593"/>
      <c r="N1226" s="594"/>
    </row>
    <row r="1227" spans="1:15" s="3" customFormat="1" ht="37.5" customHeight="1">
      <c r="A1227" s="134" t="s">
        <v>1884</v>
      </c>
      <c r="B1227" s="166"/>
      <c r="C1227" s="166"/>
      <c r="D1227" s="123"/>
      <c r="E1227" s="123"/>
      <c r="F1227" s="167" t="s">
        <v>1885</v>
      </c>
      <c r="G1227" s="167" t="s">
        <v>1886</v>
      </c>
      <c r="H1227" s="167"/>
      <c r="I1227" s="167"/>
      <c r="J1227" s="167"/>
      <c r="K1227" s="167"/>
      <c r="L1227" s="167"/>
      <c r="M1227" s="167"/>
      <c r="N1227" s="152"/>
      <c r="O1227" s="201"/>
    </row>
    <row r="1228" spans="1:15" s="4" customFormat="1" ht="25.2">
      <c r="A1228" s="125" t="s">
        <v>1887</v>
      </c>
      <c r="B1228" s="123"/>
      <c r="C1228" s="123"/>
      <c r="D1228" s="123"/>
      <c r="E1228" s="123"/>
      <c r="F1228" s="167"/>
      <c r="G1228" s="167" t="s">
        <v>1888</v>
      </c>
      <c r="H1228" s="167"/>
      <c r="I1228" s="167"/>
      <c r="J1228" s="167"/>
      <c r="K1228" s="167"/>
      <c r="L1228" s="167"/>
      <c r="M1228" s="167"/>
      <c r="N1228" s="152"/>
    </row>
    <row r="1229" spans="1:15" s="3" customFormat="1" ht="9.9" customHeight="1">
      <c r="A1229" s="125"/>
      <c r="B1229" s="123"/>
      <c r="C1229" s="123"/>
      <c r="D1229" s="123"/>
      <c r="E1229" s="123"/>
      <c r="F1229" s="167"/>
      <c r="G1229" s="123"/>
      <c r="H1229" s="123"/>
      <c r="I1229" s="123"/>
      <c r="J1229" s="123"/>
      <c r="K1229" s="123"/>
      <c r="L1229" s="123"/>
      <c r="M1229" s="123"/>
      <c r="N1229" s="126"/>
    </row>
    <row r="1230" spans="1:15" s="3" customFormat="1" ht="42.75" customHeight="1">
      <c r="A1230" s="125" t="s">
        <v>1889</v>
      </c>
      <c r="B1230" s="123"/>
      <c r="C1230" s="123"/>
      <c r="D1230" s="123"/>
      <c r="E1230" s="123"/>
      <c r="F1230" s="167" t="s">
        <v>1885</v>
      </c>
      <c r="G1230" s="167" t="str">
        <f>PL!$B$13</f>
        <v>Branch of JSC "Doosan Enerbility" in the Turkestan region</v>
      </c>
      <c r="H1230" s="123"/>
      <c r="I1230" s="123"/>
      <c r="J1230" s="123"/>
      <c r="K1230" s="123"/>
      <c r="L1230" s="123"/>
      <c r="M1230" s="123"/>
      <c r="N1230" s="126"/>
    </row>
    <row r="1231" spans="1:15" s="3" customFormat="1" ht="24" customHeight="1">
      <c r="A1231" s="125" t="s">
        <v>1890</v>
      </c>
      <c r="B1231" s="123"/>
      <c r="C1231" s="123"/>
      <c r="D1231" s="123"/>
      <c r="E1231" s="123"/>
      <c r="F1231" s="168"/>
      <c r="G1231" s="167" t="str">
        <f>PL!$B$14</f>
        <v>321 Tauke Khan Avenue, Turkestan region, Turkestan, Kazakhstan, 161200</v>
      </c>
      <c r="H1231" s="123"/>
      <c r="I1231" s="123"/>
      <c r="J1231" s="123"/>
      <c r="K1231" s="123"/>
      <c r="L1231" s="123"/>
      <c r="M1231" s="123"/>
      <c r="N1231" s="126"/>
    </row>
    <row r="1232" spans="1:15" s="4" customFormat="1" ht="25.2">
      <c r="A1232" s="125"/>
      <c r="B1232" s="123"/>
      <c r="C1232" s="123"/>
      <c r="D1232" s="123"/>
      <c r="E1232" s="123"/>
      <c r="F1232" s="168"/>
      <c r="G1232" s="167" t="str">
        <f>PL!$B$15</f>
        <v>BIN: 230741006561</v>
      </c>
      <c r="H1232" s="123"/>
      <c r="I1232" s="123"/>
      <c r="J1232" s="123"/>
      <c r="K1232" s="123"/>
      <c r="L1232" s="123"/>
      <c r="M1232" s="123"/>
      <c r="N1232" s="126"/>
    </row>
    <row r="1233" spans="1:14" s="3" customFormat="1" ht="9.9" customHeight="1">
      <c r="A1233" s="125"/>
      <c r="B1233" s="123"/>
      <c r="C1233" s="123"/>
      <c r="D1233" s="123"/>
      <c r="E1233" s="123"/>
      <c r="F1233" s="169"/>
      <c r="G1233" s="169"/>
      <c r="H1233" s="123"/>
      <c r="I1233" s="123"/>
      <c r="J1233" s="123"/>
      <c r="K1233" s="123"/>
      <c r="L1233" s="123"/>
      <c r="M1233" s="123"/>
      <c r="N1233" s="126"/>
    </row>
    <row r="1234" spans="1:14" s="3" customFormat="1" ht="25.2">
      <c r="A1234" s="125" t="s">
        <v>1891</v>
      </c>
      <c r="B1234" s="123"/>
      <c r="C1234" s="123"/>
      <c r="D1234" s="123"/>
      <c r="E1234" s="123"/>
      <c r="F1234" s="167" t="s">
        <v>1892</v>
      </c>
      <c r="G1234" s="123"/>
      <c r="H1234" s="123"/>
      <c r="I1234" s="123"/>
      <c r="J1234" s="123"/>
      <c r="K1234" s="123"/>
      <c r="L1234" s="123"/>
      <c r="M1234" s="123"/>
      <c r="N1234" s="126"/>
    </row>
    <row r="1235" spans="1:14" s="4" customFormat="1" ht="25.2">
      <c r="A1235" s="125" t="s">
        <v>1893</v>
      </c>
      <c r="B1235" s="123"/>
      <c r="C1235" s="123"/>
      <c r="D1235" s="123"/>
      <c r="E1235" s="123"/>
      <c r="F1235" s="167" t="s">
        <v>1894</v>
      </c>
      <c r="G1235" s="123"/>
      <c r="H1235" s="123"/>
      <c r="I1235" s="123"/>
      <c r="J1235" s="123"/>
      <c r="K1235" s="123"/>
      <c r="L1235" s="123"/>
      <c r="M1235" s="123"/>
      <c r="N1235" s="126"/>
    </row>
    <row r="1236" spans="1:14" s="3" customFormat="1" ht="9.9" customHeight="1">
      <c r="A1236" s="125"/>
      <c r="B1236" s="123"/>
      <c r="C1236" s="123"/>
      <c r="D1236" s="123"/>
      <c r="E1236" s="123"/>
      <c r="F1236" s="167"/>
      <c r="G1236" s="123"/>
      <c r="H1236" s="123"/>
      <c r="I1236" s="123"/>
      <c r="J1236" s="123"/>
      <c r="K1236" s="123"/>
      <c r="L1236" s="123"/>
      <c r="M1236" s="123"/>
      <c r="N1236" s="126"/>
    </row>
    <row r="1237" spans="1:14" s="3" customFormat="1" ht="25.2">
      <c r="A1237" s="125" t="s">
        <v>1895</v>
      </c>
      <c r="B1237" s="123"/>
      <c r="C1237" s="123"/>
      <c r="D1237" s="123"/>
      <c r="E1237" s="123"/>
      <c r="F1237" s="167" t="s">
        <v>1896</v>
      </c>
      <c r="G1237" s="167" t="str">
        <f>PL!$V$8</f>
        <v>PGU-DE-0139-001</v>
      </c>
      <c r="H1237" s="123"/>
      <c r="I1237" s="123"/>
      <c r="J1237" s="123"/>
      <c r="K1237" s="123"/>
      <c r="L1237" s="123"/>
      <c r="M1237" s="123"/>
      <c r="N1237" s="126"/>
    </row>
    <row r="1238" spans="1:14" s="3" customFormat="1" ht="25.2">
      <c r="A1238" s="125" t="s">
        <v>1897</v>
      </c>
      <c r="B1238" s="123"/>
      <c r="C1238" s="123"/>
      <c r="D1238" s="123"/>
      <c r="E1238" s="123"/>
      <c r="F1238" s="167"/>
      <c r="G1238" s="123"/>
      <c r="H1238" s="123"/>
      <c r="I1238" s="123"/>
      <c r="J1238" s="123"/>
      <c r="K1238" s="123"/>
      <c r="L1238" s="123"/>
      <c r="M1238" s="123"/>
      <c r="N1238" s="126"/>
    </row>
    <row r="1239" spans="1:14" s="3" customFormat="1" ht="9.9" customHeight="1">
      <c r="A1239" s="125"/>
      <c r="B1239" s="123"/>
      <c r="C1239" s="123"/>
      <c r="D1239" s="123"/>
      <c r="E1239" s="123"/>
      <c r="F1239" s="167"/>
      <c r="G1239" s="123"/>
      <c r="H1239" s="123"/>
      <c r="I1239" s="123"/>
      <c r="J1239" s="123"/>
      <c r="K1239" s="123"/>
      <c r="L1239" s="123"/>
      <c r="M1239" s="123"/>
      <c r="N1239" s="126"/>
    </row>
    <row r="1240" spans="1:14" s="3" customFormat="1" ht="31.2" customHeight="1">
      <c r="A1240" s="127" t="s">
        <v>1898</v>
      </c>
      <c r="B1240" s="170"/>
      <c r="C1240" s="170"/>
      <c r="D1240" s="170"/>
      <c r="E1240" s="170"/>
      <c r="F1240" s="171" t="s">
        <v>1885</v>
      </c>
      <c r="G1240" s="597" t="e">
        <f>VLOOKUP(G1243, 'Detail PL'!$B$14:$Q$799,2)</f>
        <v>#N/A</v>
      </c>
      <c r="H1240" s="597"/>
      <c r="I1240" s="597"/>
      <c r="J1240" s="597"/>
      <c r="K1240" s="597"/>
      <c r="L1240" s="597"/>
      <c r="M1240" s="597"/>
      <c r="N1240" s="128"/>
    </row>
    <row r="1241" spans="1:14" s="3" customFormat="1" ht="25.2">
      <c r="A1241" s="127" t="s">
        <v>1899</v>
      </c>
      <c r="B1241" s="170"/>
      <c r="C1241" s="170"/>
      <c r="D1241" s="170"/>
      <c r="E1241" s="170"/>
      <c r="F1241" s="171"/>
      <c r="G1241" s="170"/>
      <c r="H1241" s="170"/>
      <c r="I1241" s="170"/>
      <c r="J1241" s="170"/>
      <c r="K1241" s="170"/>
      <c r="L1241" s="170"/>
      <c r="M1241" s="170"/>
      <c r="N1241" s="128"/>
    </row>
    <row r="1242" spans="1:14" s="3" customFormat="1" ht="9.9" customHeight="1">
      <c r="A1242" s="125"/>
      <c r="B1242" s="123"/>
      <c r="C1242" s="123"/>
      <c r="D1242" s="123"/>
      <c r="E1242" s="123"/>
      <c r="F1242" s="167"/>
      <c r="G1242" s="123"/>
      <c r="H1242" s="123"/>
      <c r="I1242" s="123"/>
      <c r="J1242" s="123"/>
      <c r="K1242" s="123"/>
      <c r="L1242" s="123"/>
      <c r="M1242" s="123"/>
      <c r="N1242" s="126"/>
    </row>
    <row r="1243" spans="1:14" s="3" customFormat="1" ht="25.2">
      <c r="A1243" s="125" t="s">
        <v>1900</v>
      </c>
      <c r="B1243" s="123"/>
      <c r="C1243" s="123"/>
      <c r="D1243" s="123"/>
      <c r="E1243" s="123"/>
      <c r="F1243" s="171" t="s">
        <v>1901</v>
      </c>
      <c r="G1243" s="604">
        <f t="shared" ref="G1243" si="33">G1208+1</f>
        <v>36</v>
      </c>
      <c r="H1243" s="604"/>
      <c r="I1243" s="604"/>
      <c r="J1243" s="604"/>
      <c r="K1243" s="604"/>
      <c r="L1243" s="123"/>
      <c r="M1243" s="123"/>
      <c r="N1243" s="126"/>
    </row>
    <row r="1244" spans="1:14" s="4" customFormat="1" ht="25.2">
      <c r="A1244" s="125" t="s">
        <v>1903</v>
      </c>
      <c r="B1244" s="123"/>
      <c r="C1244" s="123"/>
      <c r="D1244" s="123"/>
      <c r="E1244" s="123"/>
      <c r="F1244" s="167"/>
      <c r="G1244" s="167"/>
      <c r="H1244" s="123"/>
      <c r="I1244" s="123"/>
      <c r="J1244" s="123"/>
      <c r="K1244" s="123"/>
      <c r="L1244" s="123"/>
      <c r="M1244" s="123"/>
      <c r="N1244" s="126"/>
    </row>
    <row r="1245" spans="1:14" s="3" customFormat="1" ht="9.9" customHeight="1">
      <c r="A1245" s="125"/>
      <c r="B1245" s="123"/>
      <c r="C1245" s="123"/>
      <c r="D1245" s="123"/>
      <c r="E1245" s="123"/>
      <c r="F1245" s="167"/>
      <c r="G1245" s="167"/>
      <c r="H1245" s="123"/>
      <c r="I1245" s="123"/>
      <c r="J1245" s="123"/>
      <c r="K1245" s="123"/>
      <c r="L1245" s="123"/>
      <c r="M1245" s="123"/>
      <c r="N1245" s="126"/>
    </row>
    <row r="1246" spans="1:14" s="3" customFormat="1" ht="25.2">
      <c r="A1246" s="125" t="s">
        <v>1904</v>
      </c>
      <c r="B1246" s="123"/>
      <c r="C1246" s="123"/>
      <c r="D1246" s="123"/>
      <c r="E1246" s="123"/>
      <c r="F1246" s="167" t="s">
        <v>1896</v>
      </c>
      <c r="G1246" s="204" t="e">
        <f>VLOOKUP(G1243, 'Detail PL'!$B$14:$Q$799, 10)</f>
        <v>#N/A</v>
      </c>
      <c r="H1246" s="204" t="s">
        <v>1905</v>
      </c>
      <c r="I1246" s="204"/>
      <c r="J1246" s="204"/>
      <c r="K1246" s="123"/>
      <c r="L1246" s="123"/>
      <c r="M1246" s="123"/>
      <c r="N1246" s="126"/>
    </row>
    <row r="1247" spans="1:14" s="4" customFormat="1" ht="25.2">
      <c r="A1247" s="125" t="s">
        <v>1906</v>
      </c>
      <c r="B1247" s="123"/>
      <c r="C1247" s="123"/>
      <c r="D1247" s="123"/>
      <c r="E1247" s="123"/>
      <c r="F1247" s="167"/>
      <c r="G1247" s="167"/>
      <c r="H1247" s="167"/>
      <c r="I1247" s="123"/>
      <c r="J1247" s="123"/>
      <c r="K1247" s="123"/>
      <c r="L1247" s="123"/>
      <c r="M1247" s="123"/>
      <c r="N1247" s="126"/>
    </row>
    <row r="1248" spans="1:14" s="3" customFormat="1" ht="9.9" customHeight="1">
      <c r="A1248" s="125"/>
      <c r="B1248" s="123"/>
      <c r="C1248" s="123"/>
      <c r="D1248" s="123"/>
      <c r="E1248" s="123"/>
      <c r="F1248" s="167"/>
      <c r="G1248" s="167"/>
      <c r="H1248" s="167"/>
      <c r="I1248" s="123"/>
      <c r="J1248" s="123"/>
      <c r="K1248" s="123"/>
      <c r="L1248" s="123"/>
      <c r="M1248" s="123"/>
      <c r="N1248" s="126"/>
    </row>
    <row r="1249" spans="1:15" s="3" customFormat="1" ht="25.2">
      <c r="A1249" s="125" t="s">
        <v>1907</v>
      </c>
      <c r="B1249" s="123"/>
      <c r="C1249" s="123"/>
      <c r="D1249" s="123"/>
      <c r="E1249" s="123"/>
      <c r="F1249" s="167" t="s">
        <v>1896</v>
      </c>
      <c r="G1249" s="204" t="e">
        <f>VLOOKUP(G1243, 'Detail PL'!$B$14:$Q$799, 11)</f>
        <v>#N/A</v>
      </c>
      <c r="H1249" s="204" t="s">
        <v>1905</v>
      </c>
      <c r="I1249" s="204"/>
      <c r="J1249" s="204"/>
      <c r="K1249" s="123"/>
      <c r="L1249" s="123"/>
      <c r="M1249" s="123"/>
      <c r="N1249" s="126"/>
    </row>
    <row r="1250" spans="1:15" s="4" customFormat="1" ht="25.2">
      <c r="A1250" s="125" t="s">
        <v>1908</v>
      </c>
      <c r="B1250" s="123"/>
      <c r="C1250" s="123"/>
      <c r="D1250" s="123"/>
      <c r="E1250" s="123"/>
      <c r="F1250" s="167"/>
      <c r="G1250" s="167"/>
      <c r="H1250" s="123"/>
      <c r="I1250" s="123"/>
      <c r="J1250" s="123"/>
      <c r="K1250" s="123"/>
      <c r="L1250" s="123"/>
      <c r="M1250" s="123"/>
      <c r="N1250" s="126"/>
    </row>
    <row r="1251" spans="1:15" s="3" customFormat="1" ht="9.9" customHeight="1">
      <c r="A1251" s="125"/>
      <c r="B1251" s="123"/>
      <c r="C1251" s="123"/>
      <c r="D1251" s="123"/>
      <c r="E1251" s="123"/>
      <c r="F1251" s="167"/>
      <c r="G1251" s="167"/>
      <c r="H1251" s="123"/>
      <c r="I1251" s="123"/>
      <c r="J1251" s="123"/>
      <c r="K1251" s="123"/>
      <c r="L1251" s="123"/>
      <c r="M1251" s="123"/>
      <c r="N1251" s="126"/>
    </row>
    <row r="1252" spans="1:15" s="3" customFormat="1" ht="25.2">
      <c r="A1252" s="129" t="s">
        <v>1909</v>
      </c>
      <c r="B1252" s="123"/>
      <c r="C1252" s="123"/>
      <c r="D1252" s="123"/>
      <c r="E1252" s="123"/>
      <c r="F1252" s="167" t="s">
        <v>1896</v>
      </c>
      <c r="G1252" s="204" t="e">
        <f>VLOOKUP(G1243, 'Detail PL'!$B$14:$Q$799, 9)</f>
        <v>#N/A</v>
      </c>
      <c r="H1252" s="205" t="s">
        <v>1910</v>
      </c>
      <c r="I1252" s="203"/>
      <c r="J1252" s="203"/>
      <c r="K1252" s="172"/>
      <c r="L1252" s="123"/>
      <c r="M1252" s="123"/>
      <c r="N1252" s="126"/>
    </row>
    <row r="1253" spans="1:15" s="4" customFormat="1" ht="25.2">
      <c r="A1253" s="125" t="s">
        <v>1911</v>
      </c>
      <c r="B1253" s="123"/>
      <c r="C1253" s="123"/>
      <c r="D1253" s="123"/>
      <c r="E1253" s="123"/>
      <c r="F1253" s="167"/>
      <c r="G1253" s="167"/>
      <c r="H1253" s="123"/>
      <c r="I1253" s="123"/>
      <c r="J1253" s="123"/>
      <c r="K1253" s="123"/>
      <c r="L1253" s="123"/>
      <c r="M1253" s="123"/>
      <c r="N1253" s="126"/>
    </row>
    <row r="1254" spans="1:15" s="3" customFormat="1" ht="9.9" customHeight="1">
      <c r="A1254" s="125"/>
      <c r="B1254" s="123"/>
      <c r="C1254" s="123"/>
      <c r="D1254" s="123"/>
      <c r="E1254" s="123"/>
      <c r="F1254" s="167"/>
      <c r="G1254" s="167"/>
      <c r="H1254" s="123"/>
      <c r="I1254" s="123"/>
      <c r="J1254" s="123"/>
      <c r="K1254" s="123"/>
      <c r="L1254" s="123"/>
      <c r="M1254" s="123"/>
      <c r="N1254" s="126"/>
    </row>
    <row r="1255" spans="1:15" s="3" customFormat="1" ht="42" customHeight="1">
      <c r="A1255" s="125" t="s">
        <v>1912</v>
      </c>
      <c r="B1255" s="123"/>
      <c r="C1255" s="123"/>
      <c r="D1255" s="123"/>
      <c r="E1255" s="123"/>
      <c r="F1255" s="166" t="s">
        <v>1913</v>
      </c>
      <c r="G1255" s="595" t="s">
        <v>1914</v>
      </c>
      <c r="H1255" s="595"/>
      <c r="I1255" s="595"/>
      <c r="J1255" s="595"/>
      <c r="K1255" s="595"/>
      <c r="L1255" s="595"/>
      <c r="M1255" s="595"/>
      <c r="N1255" s="596"/>
    </row>
    <row r="1256" spans="1:15" s="4" customFormat="1" ht="25.8" thickBot="1">
      <c r="A1256" s="125" t="s">
        <v>1915</v>
      </c>
      <c r="B1256" s="123"/>
      <c r="C1256" s="123"/>
      <c r="D1256" s="123"/>
      <c r="E1256" s="123"/>
      <c r="F1256" s="167"/>
      <c r="G1256" s="167"/>
      <c r="H1256" s="123"/>
      <c r="I1256" s="123"/>
      <c r="J1256" s="123"/>
      <c r="K1256" s="123"/>
      <c r="L1256" s="123"/>
      <c r="M1256" s="123"/>
      <c r="N1256" s="126"/>
    </row>
    <row r="1257" spans="1:15" ht="21" customHeight="1">
      <c r="A1257" s="598" t="s">
        <v>1916</v>
      </c>
      <c r="B1257" s="599"/>
      <c r="C1257" s="599"/>
      <c r="D1257" s="599"/>
      <c r="E1257" s="599"/>
      <c r="F1257" s="599"/>
      <c r="G1257" s="599"/>
      <c r="H1257" s="599"/>
      <c r="I1257" s="599"/>
      <c r="J1257" s="599"/>
      <c r="K1257" s="599"/>
      <c r="L1257" s="599"/>
      <c r="M1257" s="599"/>
      <c r="N1257" s="600"/>
    </row>
    <row r="1258" spans="1:15" ht="25.5" customHeight="1" thickBot="1">
      <c r="A1258" s="601"/>
      <c r="B1258" s="602"/>
      <c r="C1258" s="602"/>
      <c r="D1258" s="602"/>
      <c r="E1258" s="602"/>
      <c r="F1258" s="602"/>
      <c r="G1258" s="602"/>
      <c r="H1258" s="602"/>
      <c r="I1258" s="602"/>
      <c r="J1258" s="602"/>
      <c r="K1258" s="602"/>
      <c r="L1258" s="602"/>
      <c r="M1258" s="602"/>
      <c r="N1258" s="603"/>
    </row>
    <row r="1259" spans="1:15" ht="25.5" customHeight="1">
      <c r="E1259" s="206"/>
      <c r="F1259" s="206"/>
      <c r="G1259" s="206"/>
      <c r="H1259" s="206"/>
      <c r="I1259" s="206"/>
      <c r="J1259" s="206"/>
      <c r="K1259" s="206"/>
    </row>
    <row r="1260" spans="1:15" ht="21.6" thickBot="1"/>
    <row r="1261" spans="1:15" ht="95.25" customHeight="1" thickBot="1">
      <c r="A1261" s="592" t="s">
        <v>1883</v>
      </c>
      <c r="B1261" s="593"/>
      <c r="C1261" s="593"/>
      <c r="D1261" s="593"/>
      <c r="E1261" s="593"/>
      <c r="F1261" s="593"/>
      <c r="G1261" s="593"/>
      <c r="H1261" s="593"/>
      <c r="I1261" s="593"/>
      <c r="J1261" s="593"/>
      <c r="K1261" s="593"/>
      <c r="L1261" s="593"/>
      <c r="M1261" s="593"/>
      <c r="N1261" s="594"/>
    </row>
    <row r="1262" spans="1:15" s="3" customFormat="1" ht="37.5" customHeight="1">
      <c r="A1262" s="134" t="s">
        <v>1884</v>
      </c>
      <c r="B1262" s="166"/>
      <c r="C1262" s="166"/>
      <c r="D1262" s="123"/>
      <c r="E1262" s="123"/>
      <c r="F1262" s="167" t="s">
        <v>1885</v>
      </c>
      <c r="G1262" s="167" t="s">
        <v>1886</v>
      </c>
      <c r="H1262" s="167"/>
      <c r="I1262" s="167"/>
      <c r="J1262" s="167"/>
      <c r="K1262" s="167"/>
      <c r="L1262" s="167"/>
      <c r="M1262" s="167"/>
      <c r="N1262" s="152"/>
      <c r="O1262" s="201"/>
    </row>
    <row r="1263" spans="1:15" s="4" customFormat="1" ht="25.2">
      <c r="A1263" s="125" t="s">
        <v>1887</v>
      </c>
      <c r="B1263" s="123"/>
      <c r="C1263" s="123"/>
      <c r="D1263" s="123"/>
      <c r="E1263" s="123"/>
      <c r="F1263" s="167"/>
      <c r="G1263" s="167" t="s">
        <v>1888</v>
      </c>
      <c r="H1263" s="167"/>
      <c r="I1263" s="167"/>
      <c r="J1263" s="167"/>
      <c r="K1263" s="167"/>
      <c r="L1263" s="167"/>
      <c r="M1263" s="167"/>
      <c r="N1263" s="152"/>
    </row>
    <row r="1264" spans="1:15" s="3" customFormat="1" ht="9.9" customHeight="1">
      <c r="A1264" s="125"/>
      <c r="B1264" s="123"/>
      <c r="C1264" s="123"/>
      <c r="D1264" s="123"/>
      <c r="E1264" s="123"/>
      <c r="F1264" s="167"/>
      <c r="G1264" s="123"/>
      <c r="H1264" s="123"/>
      <c r="I1264" s="123"/>
      <c r="J1264" s="123"/>
      <c r="K1264" s="123"/>
      <c r="L1264" s="123"/>
      <c r="M1264" s="123"/>
      <c r="N1264" s="126"/>
    </row>
    <row r="1265" spans="1:14" s="3" customFormat="1" ht="42.75" customHeight="1">
      <c r="A1265" s="125" t="s">
        <v>1889</v>
      </c>
      <c r="B1265" s="123"/>
      <c r="C1265" s="123"/>
      <c r="D1265" s="123"/>
      <c r="E1265" s="123"/>
      <c r="F1265" s="167" t="s">
        <v>1885</v>
      </c>
      <c r="G1265" s="167" t="str">
        <f>PL!$B$13</f>
        <v>Branch of JSC "Doosan Enerbility" in the Turkestan region</v>
      </c>
      <c r="H1265" s="123"/>
      <c r="I1265" s="123"/>
      <c r="J1265" s="123"/>
      <c r="K1265" s="123"/>
      <c r="L1265" s="123"/>
      <c r="M1265" s="123"/>
      <c r="N1265" s="126"/>
    </row>
    <row r="1266" spans="1:14" s="3" customFormat="1" ht="24" customHeight="1">
      <c r="A1266" s="125" t="s">
        <v>1890</v>
      </c>
      <c r="B1266" s="123"/>
      <c r="C1266" s="123"/>
      <c r="D1266" s="123"/>
      <c r="E1266" s="123"/>
      <c r="F1266" s="168"/>
      <c r="G1266" s="167" t="str">
        <f>PL!$B$14</f>
        <v>321 Tauke Khan Avenue, Turkestan region, Turkestan, Kazakhstan, 161200</v>
      </c>
      <c r="H1266" s="123"/>
      <c r="I1266" s="123"/>
      <c r="J1266" s="123"/>
      <c r="K1266" s="123"/>
      <c r="L1266" s="123"/>
      <c r="M1266" s="123"/>
      <c r="N1266" s="126"/>
    </row>
    <row r="1267" spans="1:14" s="4" customFormat="1" ht="25.2">
      <c r="A1267" s="125"/>
      <c r="B1267" s="123"/>
      <c r="C1267" s="123"/>
      <c r="D1267" s="123"/>
      <c r="E1267" s="123"/>
      <c r="F1267" s="168"/>
      <c r="G1267" s="167" t="str">
        <f>PL!$B$15</f>
        <v>BIN: 230741006561</v>
      </c>
      <c r="H1267" s="123"/>
      <c r="I1267" s="123"/>
      <c r="J1267" s="123"/>
      <c r="K1267" s="123"/>
      <c r="L1267" s="123"/>
      <c r="M1267" s="123"/>
      <c r="N1267" s="126"/>
    </row>
    <row r="1268" spans="1:14" s="3" customFormat="1" ht="9.9" customHeight="1">
      <c r="A1268" s="125"/>
      <c r="B1268" s="123"/>
      <c r="C1268" s="123"/>
      <c r="D1268" s="123"/>
      <c r="E1268" s="123"/>
      <c r="F1268" s="169"/>
      <c r="G1268" s="169"/>
      <c r="H1268" s="123"/>
      <c r="I1268" s="123"/>
      <c r="J1268" s="123"/>
      <c r="K1268" s="123"/>
      <c r="L1268" s="123"/>
      <c r="M1268" s="123"/>
      <c r="N1268" s="126"/>
    </row>
    <row r="1269" spans="1:14" s="3" customFormat="1" ht="25.2">
      <c r="A1269" s="125" t="s">
        <v>1891</v>
      </c>
      <c r="B1269" s="123"/>
      <c r="C1269" s="123"/>
      <c r="D1269" s="123"/>
      <c r="E1269" s="123"/>
      <c r="F1269" s="167" t="s">
        <v>1892</v>
      </c>
      <c r="G1269" s="123"/>
      <c r="H1269" s="123"/>
      <c r="I1269" s="123"/>
      <c r="J1269" s="123"/>
      <c r="K1269" s="123"/>
      <c r="L1269" s="123"/>
      <c r="M1269" s="123"/>
      <c r="N1269" s="126"/>
    </row>
    <row r="1270" spans="1:14" s="4" customFormat="1" ht="25.2">
      <c r="A1270" s="125" t="s">
        <v>1893</v>
      </c>
      <c r="B1270" s="123"/>
      <c r="C1270" s="123"/>
      <c r="D1270" s="123"/>
      <c r="E1270" s="123"/>
      <c r="F1270" s="167" t="s">
        <v>1894</v>
      </c>
      <c r="G1270" s="123"/>
      <c r="H1270" s="123"/>
      <c r="I1270" s="123"/>
      <c r="J1270" s="123"/>
      <c r="K1270" s="123"/>
      <c r="L1270" s="123"/>
      <c r="M1270" s="123"/>
      <c r="N1270" s="126"/>
    </row>
    <row r="1271" spans="1:14" s="3" customFormat="1" ht="9.9" customHeight="1">
      <c r="A1271" s="125"/>
      <c r="B1271" s="123"/>
      <c r="C1271" s="123"/>
      <c r="D1271" s="123"/>
      <c r="E1271" s="123"/>
      <c r="F1271" s="167"/>
      <c r="G1271" s="123"/>
      <c r="H1271" s="123"/>
      <c r="I1271" s="123"/>
      <c r="J1271" s="123"/>
      <c r="K1271" s="123"/>
      <c r="L1271" s="123"/>
      <c r="M1271" s="123"/>
      <c r="N1271" s="126"/>
    </row>
    <row r="1272" spans="1:14" s="3" customFormat="1" ht="25.2">
      <c r="A1272" s="125" t="s">
        <v>1895</v>
      </c>
      <c r="B1272" s="123"/>
      <c r="C1272" s="123"/>
      <c r="D1272" s="123"/>
      <c r="E1272" s="123"/>
      <c r="F1272" s="167" t="s">
        <v>1896</v>
      </c>
      <c r="G1272" s="167" t="str">
        <f>PL!$V$8</f>
        <v>PGU-DE-0139-001</v>
      </c>
      <c r="H1272" s="123"/>
      <c r="I1272" s="123"/>
      <c r="J1272" s="123"/>
      <c r="K1272" s="123"/>
      <c r="L1272" s="123"/>
      <c r="M1272" s="123"/>
      <c r="N1272" s="126"/>
    </row>
    <row r="1273" spans="1:14" s="3" customFormat="1" ht="25.2">
      <c r="A1273" s="125" t="s">
        <v>1897</v>
      </c>
      <c r="B1273" s="123"/>
      <c r="C1273" s="123"/>
      <c r="D1273" s="123"/>
      <c r="E1273" s="123"/>
      <c r="F1273" s="167"/>
      <c r="G1273" s="123"/>
      <c r="H1273" s="123"/>
      <c r="I1273" s="123"/>
      <c r="J1273" s="123"/>
      <c r="K1273" s="123"/>
      <c r="L1273" s="123"/>
      <c r="M1273" s="123"/>
      <c r="N1273" s="126"/>
    </row>
    <row r="1274" spans="1:14" s="3" customFormat="1" ht="9.9" customHeight="1">
      <c r="A1274" s="125"/>
      <c r="B1274" s="123"/>
      <c r="C1274" s="123"/>
      <c r="D1274" s="123"/>
      <c r="E1274" s="123"/>
      <c r="F1274" s="167"/>
      <c r="G1274" s="123"/>
      <c r="H1274" s="123"/>
      <c r="I1274" s="123"/>
      <c r="J1274" s="123"/>
      <c r="K1274" s="123"/>
      <c r="L1274" s="123"/>
      <c r="M1274" s="123"/>
      <c r="N1274" s="126"/>
    </row>
    <row r="1275" spans="1:14" s="3" customFormat="1" ht="31.2" customHeight="1">
      <c r="A1275" s="127" t="s">
        <v>1898</v>
      </c>
      <c r="B1275" s="170"/>
      <c r="C1275" s="170"/>
      <c r="D1275" s="170"/>
      <c r="E1275" s="170"/>
      <c r="F1275" s="171" t="s">
        <v>1885</v>
      </c>
      <c r="G1275" s="597" t="e">
        <f>VLOOKUP(G1278, 'Detail PL'!$B$14:$Q$799,2)</f>
        <v>#N/A</v>
      </c>
      <c r="H1275" s="597"/>
      <c r="I1275" s="597"/>
      <c r="J1275" s="597"/>
      <c r="K1275" s="597"/>
      <c r="L1275" s="597"/>
      <c r="M1275" s="597"/>
      <c r="N1275" s="128"/>
    </row>
    <row r="1276" spans="1:14" s="3" customFormat="1" ht="25.2">
      <c r="A1276" s="127" t="s">
        <v>1899</v>
      </c>
      <c r="B1276" s="170"/>
      <c r="C1276" s="170"/>
      <c r="D1276" s="170"/>
      <c r="E1276" s="170"/>
      <c r="F1276" s="171"/>
      <c r="G1276" s="170"/>
      <c r="H1276" s="170"/>
      <c r="I1276" s="170"/>
      <c r="J1276" s="170"/>
      <c r="K1276" s="170"/>
      <c r="L1276" s="170"/>
      <c r="M1276" s="170"/>
      <c r="N1276" s="128"/>
    </row>
    <row r="1277" spans="1:14" s="3" customFormat="1" ht="9.9" customHeight="1">
      <c r="A1277" s="125"/>
      <c r="B1277" s="123"/>
      <c r="C1277" s="123"/>
      <c r="D1277" s="123"/>
      <c r="E1277" s="123"/>
      <c r="F1277" s="167"/>
      <c r="G1277" s="123"/>
      <c r="H1277" s="123"/>
      <c r="I1277" s="123"/>
      <c r="J1277" s="123"/>
      <c r="K1277" s="123"/>
      <c r="L1277" s="123"/>
      <c r="M1277" s="123"/>
      <c r="N1277" s="126"/>
    </row>
    <row r="1278" spans="1:14" s="3" customFormat="1" ht="25.2">
      <c r="A1278" s="125" t="s">
        <v>1900</v>
      </c>
      <c r="B1278" s="123"/>
      <c r="C1278" s="123"/>
      <c r="D1278" s="123"/>
      <c r="E1278" s="123"/>
      <c r="F1278" s="171" t="s">
        <v>1901</v>
      </c>
      <c r="G1278" s="604">
        <f t="shared" ref="G1278" si="34">G1243+1</f>
        <v>37</v>
      </c>
      <c r="H1278" s="604"/>
      <c r="I1278" s="604"/>
      <c r="J1278" s="604"/>
      <c r="K1278" s="604"/>
      <c r="L1278" s="123"/>
      <c r="M1278" s="123"/>
      <c r="N1278" s="126"/>
    </row>
    <row r="1279" spans="1:14" s="4" customFormat="1" ht="25.2">
      <c r="A1279" s="125" t="s">
        <v>1903</v>
      </c>
      <c r="B1279" s="123"/>
      <c r="C1279" s="123"/>
      <c r="D1279" s="123"/>
      <c r="E1279" s="123"/>
      <c r="F1279" s="167"/>
      <c r="G1279" s="167"/>
      <c r="H1279" s="123"/>
      <c r="I1279" s="123"/>
      <c r="J1279" s="123"/>
      <c r="K1279" s="123"/>
      <c r="L1279" s="123"/>
      <c r="M1279" s="123"/>
      <c r="N1279" s="126"/>
    </row>
    <row r="1280" spans="1:14" s="3" customFormat="1" ht="9.9" customHeight="1">
      <c r="A1280" s="125"/>
      <c r="B1280" s="123"/>
      <c r="C1280" s="123"/>
      <c r="D1280" s="123"/>
      <c r="E1280" s="123"/>
      <c r="F1280" s="167"/>
      <c r="G1280" s="167"/>
      <c r="H1280" s="123"/>
      <c r="I1280" s="123"/>
      <c r="J1280" s="123"/>
      <c r="K1280" s="123"/>
      <c r="L1280" s="123"/>
      <c r="M1280" s="123"/>
      <c r="N1280" s="126"/>
    </row>
    <row r="1281" spans="1:14" s="3" customFormat="1" ht="25.2">
      <c r="A1281" s="125" t="s">
        <v>1904</v>
      </c>
      <c r="B1281" s="123"/>
      <c r="C1281" s="123"/>
      <c r="D1281" s="123"/>
      <c r="E1281" s="123"/>
      <c r="F1281" s="167" t="s">
        <v>1896</v>
      </c>
      <c r="G1281" s="204" t="e">
        <f>VLOOKUP(G1278, 'Detail PL'!$B$14:$Q$799, 10)</f>
        <v>#N/A</v>
      </c>
      <c r="H1281" s="204" t="s">
        <v>1905</v>
      </c>
      <c r="I1281" s="204"/>
      <c r="J1281" s="204"/>
      <c r="K1281" s="123"/>
      <c r="L1281" s="123"/>
      <c r="M1281" s="123"/>
      <c r="N1281" s="126"/>
    </row>
    <row r="1282" spans="1:14" s="4" customFormat="1" ht="25.2">
      <c r="A1282" s="125" t="s">
        <v>1906</v>
      </c>
      <c r="B1282" s="123"/>
      <c r="C1282" s="123"/>
      <c r="D1282" s="123"/>
      <c r="E1282" s="123"/>
      <c r="F1282" s="167"/>
      <c r="G1282" s="167"/>
      <c r="H1282" s="167"/>
      <c r="I1282" s="123"/>
      <c r="J1282" s="123"/>
      <c r="K1282" s="123"/>
      <c r="L1282" s="123"/>
      <c r="M1282" s="123"/>
      <c r="N1282" s="126"/>
    </row>
    <row r="1283" spans="1:14" s="3" customFormat="1" ht="9.9" customHeight="1">
      <c r="A1283" s="125"/>
      <c r="B1283" s="123"/>
      <c r="C1283" s="123"/>
      <c r="D1283" s="123"/>
      <c r="E1283" s="123"/>
      <c r="F1283" s="167"/>
      <c r="G1283" s="167"/>
      <c r="H1283" s="167"/>
      <c r="I1283" s="123"/>
      <c r="J1283" s="123"/>
      <c r="K1283" s="123"/>
      <c r="L1283" s="123"/>
      <c r="M1283" s="123"/>
      <c r="N1283" s="126"/>
    </row>
    <row r="1284" spans="1:14" s="3" customFormat="1" ht="25.2">
      <c r="A1284" s="125" t="s">
        <v>1907</v>
      </c>
      <c r="B1284" s="123"/>
      <c r="C1284" s="123"/>
      <c r="D1284" s="123"/>
      <c r="E1284" s="123"/>
      <c r="F1284" s="167" t="s">
        <v>1896</v>
      </c>
      <c r="G1284" s="204" t="e">
        <f>VLOOKUP(G1278, 'Detail PL'!$B$14:$Q$799, 11)</f>
        <v>#N/A</v>
      </c>
      <c r="H1284" s="204" t="s">
        <v>1905</v>
      </c>
      <c r="I1284" s="204"/>
      <c r="J1284" s="204"/>
      <c r="K1284" s="123"/>
      <c r="L1284" s="123"/>
      <c r="M1284" s="123"/>
      <c r="N1284" s="126"/>
    </row>
    <row r="1285" spans="1:14" s="4" customFormat="1" ht="25.2">
      <c r="A1285" s="125" t="s">
        <v>1908</v>
      </c>
      <c r="B1285" s="123"/>
      <c r="C1285" s="123"/>
      <c r="D1285" s="123"/>
      <c r="E1285" s="123"/>
      <c r="F1285" s="167"/>
      <c r="G1285" s="167"/>
      <c r="H1285" s="123"/>
      <c r="I1285" s="123"/>
      <c r="J1285" s="123"/>
      <c r="K1285" s="123"/>
      <c r="L1285" s="123"/>
      <c r="M1285" s="123"/>
      <c r="N1285" s="126"/>
    </row>
    <row r="1286" spans="1:14" s="3" customFormat="1" ht="9.9" customHeight="1">
      <c r="A1286" s="125"/>
      <c r="B1286" s="123"/>
      <c r="C1286" s="123"/>
      <c r="D1286" s="123"/>
      <c r="E1286" s="123"/>
      <c r="F1286" s="167"/>
      <c r="G1286" s="167"/>
      <c r="H1286" s="123"/>
      <c r="I1286" s="123"/>
      <c r="J1286" s="123"/>
      <c r="K1286" s="123"/>
      <c r="L1286" s="123"/>
      <c r="M1286" s="123"/>
      <c r="N1286" s="126"/>
    </row>
    <row r="1287" spans="1:14" s="3" customFormat="1" ht="25.2">
      <c r="A1287" s="129" t="s">
        <v>1909</v>
      </c>
      <c r="B1287" s="123"/>
      <c r="C1287" s="123"/>
      <c r="D1287" s="123"/>
      <c r="E1287" s="123"/>
      <c r="F1287" s="167" t="s">
        <v>1896</v>
      </c>
      <c r="G1287" s="204" t="e">
        <f>VLOOKUP(G1278, 'Detail PL'!$B$14:$Q$799, 9)</f>
        <v>#N/A</v>
      </c>
      <c r="H1287" s="205" t="s">
        <v>1910</v>
      </c>
      <c r="I1287" s="203"/>
      <c r="J1287" s="203"/>
      <c r="K1287" s="172"/>
      <c r="L1287" s="123"/>
      <c r="M1287" s="123"/>
      <c r="N1287" s="126"/>
    </row>
    <row r="1288" spans="1:14" s="4" customFormat="1" ht="25.2">
      <c r="A1288" s="125" t="s">
        <v>1911</v>
      </c>
      <c r="B1288" s="123"/>
      <c r="C1288" s="123"/>
      <c r="D1288" s="123"/>
      <c r="E1288" s="123"/>
      <c r="F1288" s="167"/>
      <c r="G1288" s="167"/>
      <c r="H1288" s="123"/>
      <c r="I1288" s="123"/>
      <c r="J1288" s="123"/>
      <c r="K1288" s="123"/>
      <c r="L1288" s="123"/>
      <c r="M1288" s="123"/>
      <c r="N1288" s="126"/>
    </row>
    <row r="1289" spans="1:14" s="3" customFormat="1" ht="9.9" customHeight="1">
      <c r="A1289" s="125"/>
      <c r="B1289" s="123"/>
      <c r="C1289" s="123"/>
      <c r="D1289" s="123"/>
      <c r="E1289" s="123"/>
      <c r="F1289" s="167"/>
      <c r="G1289" s="167"/>
      <c r="H1289" s="123"/>
      <c r="I1289" s="123"/>
      <c r="J1289" s="123"/>
      <c r="K1289" s="123"/>
      <c r="L1289" s="123"/>
      <c r="M1289" s="123"/>
      <c r="N1289" s="126"/>
    </row>
    <row r="1290" spans="1:14" s="3" customFormat="1" ht="42" customHeight="1">
      <c r="A1290" s="125" t="s">
        <v>1912</v>
      </c>
      <c r="B1290" s="123"/>
      <c r="C1290" s="123"/>
      <c r="D1290" s="123"/>
      <c r="E1290" s="123"/>
      <c r="F1290" s="166" t="s">
        <v>1913</v>
      </c>
      <c r="G1290" s="595" t="s">
        <v>1914</v>
      </c>
      <c r="H1290" s="595"/>
      <c r="I1290" s="595"/>
      <c r="J1290" s="595"/>
      <c r="K1290" s="595"/>
      <c r="L1290" s="595"/>
      <c r="M1290" s="595"/>
      <c r="N1290" s="596"/>
    </row>
    <row r="1291" spans="1:14" s="4" customFormat="1" ht="25.8" thickBot="1">
      <c r="A1291" s="125" t="s">
        <v>1915</v>
      </c>
      <c r="B1291" s="123"/>
      <c r="C1291" s="123"/>
      <c r="D1291" s="123"/>
      <c r="E1291" s="123"/>
      <c r="F1291" s="167"/>
      <c r="G1291" s="167"/>
      <c r="H1291" s="123"/>
      <c r="I1291" s="123"/>
      <c r="J1291" s="123"/>
      <c r="K1291" s="123"/>
      <c r="L1291" s="123"/>
      <c r="M1291" s="123"/>
      <c r="N1291" s="126"/>
    </row>
    <row r="1292" spans="1:14" ht="21" customHeight="1">
      <c r="A1292" s="598" t="s">
        <v>1916</v>
      </c>
      <c r="B1292" s="599"/>
      <c r="C1292" s="599"/>
      <c r="D1292" s="599"/>
      <c r="E1292" s="599"/>
      <c r="F1292" s="599"/>
      <c r="G1292" s="599"/>
      <c r="H1292" s="599"/>
      <c r="I1292" s="599"/>
      <c r="J1292" s="599"/>
      <c r="K1292" s="599"/>
      <c r="L1292" s="599"/>
      <c r="M1292" s="599"/>
      <c r="N1292" s="600"/>
    </row>
    <row r="1293" spans="1:14" ht="25.5" customHeight="1" thickBot="1">
      <c r="A1293" s="601"/>
      <c r="B1293" s="602"/>
      <c r="C1293" s="602"/>
      <c r="D1293" s="602"/>
      <c r="E1293" s="602"/>
      <c r="F1293" s="602"/>
      <c r="G1293" s="602"/>
      <c r="H1293" s="602"/>
      <c r="I1293" s="602"/>
      <c r="J1293" s="602"/>
      <c r="K1293" s="602"/>
      <c r="L1293" s="602"/>
      <c r="M1293" s="602"/>
      <c r="N1293" s="603"/>
    </row>
    <row r="1294" spans="1:14" ht="25.5" customHeight="1">
      <c r="E1294" s="206"/>
      <c r="F1294" s="206"/>
      <c r="G1294" s="206"/>
      <c r="H1294" s="206"/>
      <c r="I1294" s="206"/>
      <c r="J1294" s="206"/>
      <c r="K1294" s="206"/>
    </row>
    <row r="1295" spans="1:14" ht="21.6" thickBot="1"/>
    <row r="1296" spans="1:14" ht="95.25" customHeight="1" thickBot="1">
      <c r="A1296" s="592" t="s">
        <v>1883</v>
      </c>
      <c r="B1296" s="593"/>
      <c r="C1296" s="593"/>
      <c r="D1296" s="593"/>
      <c r="E1296" s="593"/>
      <c r="F1296" s="593"/>
      <c r="G1296" s="593"/>
      <c r="H1296" s="593"/>
      <c r="I1296" s="593"/>
      <c r="J1296" s="593"/>
      <c r="K1296" s="593"/>
      <c r="L1296" s="593"/>
      <c r="M1296" s="593"/>
      <c r="N1296" s="594"/>
    </row>
    <row r="1297" spans="1:15" s="3" customFormat="1" ht="37.5" customHeight="1">
      <c r="A1297" s="134" t="s">
        <v>1884</v>
      </c>
      <c r="B1297" s="166"/>
      <c r="C1297" s="166"/>
      <c r="D1297" s="123"/>
      <c r="E1297" s="123"/>
      <c r="F1297" s="167" t="s">
        <v>1885</v>
      </c>
      <c r="G1297" s="167" t="s">
        <v>1886</v>
      </c>
      <c r="H1297" s="167"/>
      <c r="I1297" s="167"/>
      <c r="J1297" s="167"/>
      <c r="K1297" s="167"/>
      <c r="L1297" s="167"/>
      <c r="M1297" s="167"/>
      <c r="N1297" s="152"/>
      <c r="O1297" s="201"/>
    </row>
    <row r="1298" spans="1:15" s="4" customFormat="1" ht="25.2">
      <c r="A1298" s="125" t="s">
        <v>1887</v>
      </c>
      <c r="B1298" s="123"/>
      <c r="C1298" s="123"/>
      <c r="D1298" s="123"/>
      <c r="E1298" s="123"/>
      <c r="F1298" s="167"/>
      <c r="G1298" s="167" t="s">
        <v>1888</v>
      </c>
      <c r="H1298" s="167"/>
      <c r="I1298" s="167"/>
      <c r="J1298" s="167"/>
      <c r="K1298" s="167"/>
      <c r="L1298" s="167"/>
      <c r="M1298" s="167"/>
      <c r="N1298" s="152"/>
    </row>
    <row r="1299" spans="1:15" s="3" customFormat="1" ht="9.9" customHeight="1">
      <c r="A1299" s="125"/>
      <c r="B1299" s="123"/>
      <c r="C1299" s="123"/>
      <c r="D1299" s="123"/>
      <c r="E1299" s="123"/>
      <c r="F1299" s="167"/>
      <c r="G1299" s="123"/>
      <c r="H1299" s="123"/>
      <c r="I1299" s="123"/>
      <c r="J1299" s="123"/>
      <c r="K1299" s="123"/>
      <c r="L1299" s="123"/>
      <c r="M1299" s="123"/>
      <c r="N1299" s="126"/>
    </row>
    <row r="1300" spans="1:15" s="3" customFormat="1" ht="42.75" customHeight="1">
      <c r="A1300" s="125" t="s">
        <v>1889</v>
      </c>
      <c r="B1300" s="123"/>
      <c r="C1300" s="123"/>
      <c r="D1300" s="123"/>
      <c r="E1300" s="123"/>
      <c r="F1300" s="167" t="s">
        <v>1885</v>
      </c>
      <c r="G1300" s="167" t="str">
        <f>PL!$B$13</f>
        <v>Branch of JSC "Doosan Enerbility" in the Turkestan region</v>
      </c>
      <c r="H1300" s="123"/>
      <c r="I1300" s="123"/>
      <c r="J1300" s="123"/>
      <c r="K1300" s="123"/>
      <c r="L1300" s="123"/>
      <c r="M1300" s="123"/>
      <c r="N1300" s="126"/>
    </row>
    <row r="1301" spans="1:15" s="3" customFormat="1" ht="24" customHeight="1">
      <c r="A1301" s="125" t="s">
        <v>1890</v>
      </c>
      <c r="B1301" s="123"/>
      <c r="C1301" s="123"/>
      <c r="D1301" s="123"/>
      <c r="E1301" s="123"/>
      <c r="F1301" s="168"/>
      <c r="G1301" s="167" t="str">
        <f>PL!$B$14</f>
        <v>321 Tauke Khan Avenue, Turkestan region, Turkestan, Kazakhstan, 161200</v>
      </c>
      <c r="H1301" s="123"/>
      <c r="I1301" s="123"/>
      <c r="J1301" s="123"/>
      <c r="K1301" s="123"/>
      <c r="L1301" s="123"/>
      <c r="M1301" s="123"/>
      <c r="N1301" s="126"/>
    </row>
    <row r="1302" spans="1:15" s="4" customFormat="1" ht="25.2">
      <c r="A1302" s="125"/>
      <c r="B1302" s="123"/>
      <c r="C1302" s="123"/>
      <c r="D1302" s="123"/>
      <c r="E1302" s="123"/>
      <c r="F1302" s="168"/>
      <c r="G1302" s="167" t="str">
        <f>PL!$B$15</f>
        <v>BIN: 230741006561</v>
      </c>
      <c r="H1302" s="123"/>
      <c r="I1302" s="123"/>
      <c r="J1302" s="123"/>
      <c r="K1302" s="123"/>
      <c r="L1302" s="123"/>
      <c r="M1302" s="123"/>
      <c r="N1302" s="126"/>
    </row>
    <row r="1303" spans="1:15" s="3" customFormat="1" ht="9.9" customHeight="1">
      <c r="A1303" s="125"/>
      <c r="B1303" s="123"/>
      <c r="C1303" s="123"/>
      <c r="D1303" s="123"/>
      <c r="E1303" s="123"/>
      <c r="F1303" s="169"/>
      <c r="G1303" s="169"/>
      <c r="H1303" s="123"/>
      <c r="I1303" s="123"/>
      <c r="J1303" s="123"/>
      <c r="K1303" s="123"/>
      <c r="L1303" s="123"/>
      <c r="M1303" s="123"/>
      <c r="N1303" s="126"/>
    </row>
    <row r="1304" spans="1:15" s="3" customFormat="1" ht="25.2">
      <c r="A1304" s="125" t="s">
        <v>1891</v>
      </c>
      <c r="B1304" s="123"/>
      <c r="C1304" s="123"/>
      <c r="D1304" s="123"/>
      <c r="E1304" s="123"/>
      <c r="F1304" s="167" t="s">
        <v>1892</v>
      </c>
      <c r="G1304" s="123"/>
      <c r="H1304" s="123"/>
      <c r="I1304" s="123"/>
      <c r="J1304" s="123"/>
      <c r="K1304" s="123"/>
      <c r="L1304" s="123"/>
      <c r="M1304" s="123"/>
      <c r="N1304" s="126"/>
    </row>
    <row r="1305" spans="1:15" s="4" customFormat="1" ht="25.2">
      <c r="A1305" s="125" t="s">
        <v>1893</v>
      </c>
      <c r="B1305" s="123"/>
      <c r="C1305" s="123"/>
      <c r="D1305" s="123"/>
      <c r="E1305" s="123"/>
      <c r="F1305" s="167" t="s">
        <v>1894</v>
      </c>
      <c r="G1305" s="123"/>
      <c r="H1305" s="123"/>
      <c r="I1305" s="123"/>
      <c r="J1305" s="123"/>
      <c r="K1305" s="123"/>
      <c r="L1305" s="123"/>
      <c r="M1305" s="123"/>
      <c r="N1305" s="126"/>
    </row>
    <row r="1306" spans="1:15" s="3" customFormat="1" ht="9.9" customHeight="1">
      <c r="A1306" s="125"/>
      <c r="B1306" s="123"/>
      <c r="C1306" s="123"/>
      <c r="D1306" s="123"/>
      <c r="E1306" s="123"/>
      <c r="F1306" s="167"/>
      <c r="G1306" s="123"/>
      <c r="H1306" s="123"/>
      <c r="I1306" s="123"/>
      <c r="J1306" s="123"/>
      <c r="K1306" s="123"/>
      <c r="L1306" s="123"/>
      <c r="M1306" s="123"/>
      <c r="N1306" s="126"/>
    </row>
    <row r="1307" spans="1:15" s="3" customFormat="1" ht="25.2">
      <c r="A1307" s="125" t="s">
        <v>1895</v>
      </c>
      <c r="B1307" s="123"/>
      <c r="C1307" s="123"/>
      <c r="D1307" s="123"/>
      <c r="E1307" s="123"/>
      <c r="F1307" s="167" t="s">
        <v>1896</v>
      </c>
      <c r="G1307" s="167" t="str">
        <f>PL!$V$8</f>
        <v>PGU-DE-0139-001</v>
      </c>
      <c r="H1307" s="123"/>
      <c r="I1307" s="123"/>
      <c r="J1307" s="123"/>
      <c r="K1307" s="123"/>
      <c r="L1307" s="123"/>
      <c r="M1307" s="123"/>
      <c r="N1307" s="126"/>
    </row>
    <row r="1308" spans="1:15" s="3" customFormat="1" ht="25.2">
      <c r="A1308" s="125" t="s">
        <v>1897</v>
      </c>
      <c r="B1308" s="123"/>
      <c r="C1308" s="123"/>
      <c r="D1308" s="123"/>
      <c r="E1308" s="123"/>
      <c r="F1308" s="167"/>
      <c r="G1308" s="123"/>
      <c r="H1308" s="123"/>
      <c r="I1308" s="123"/>
      <c r="J1308" s="123"/>
      <c r="K1308" s="123"/>
      <c r="L1308" s="123"/>
      <c r="M1308" s="123"/>
      <c r="N1308" s="126"/>
    </row>
    <row r="1309" spans="1:15" s="3" customFormat="1" ht="9.9" customHeight="1">
      <c r="A1309" s="125"/>
      <c r="B1309" s="123"/>
      <c r="C1309" s="123"/>
      <c r="D1309" s="123"/>
      <c r="E1309" s="123"/>
      <c r="F1309" s="167"/>
      <c r="G1309" s="123"/>
      <c r="H1309" s="123"/>
      <c r="I1309" s="123"/>
      <c r="J1309" s="123"/>
      <c r="K1309" s="123"/>
      <c r="L1309" s="123"/>
      <c r="M1309" s="123"/>
      <c r="N1309" s="126"/>
    </row>
    <row r="1310" spans="1:15" s="3" customFormat="1" ht="31.2" customHeight="1">
      <c r="A1310" s="127" t="s">
        <v>1898</v>
      </c>
      <c r="B1310" s="170"/>
      <c r="C1310" s="170"/>
      <c r="D1310" s="170"/>
      <c r="E1310" s="170"/>
      <c r="F1310" s="171" t="s">
        <v>1885</v>
      </c>
      <c r="G1310" s="597" t="e">
        <f>VLOOKUP(G1313, 'Detail PL'!$B$14:$Q$799,2)</f>
        <v>#N/A</v>
      </c>
      <c r="H1310" s="597"/>
      <c r="I1310" s="597"/>
      <c r="J1310" s="597"/>
      <c r="K1310" s="597"/>
      <c r="L1310" s="597"/>
      <c r="M1310" s="597"/>
      <c r="N1310" s="128"/>
    </row>
    <row r="1311" spans="1:15" s="3" customFormat="1" ht="25.2">
      <c r="A1311" s="127" t="s">
        <v>1899</v>
      </c>
      <c r="B1311" s="170"/>
      <c r="C1311" s="170"/>
      <c r="D1311" s="170"/>
      <c r="E1311" s="170"/>
      <c r="F1311" s="171"/>
      <c r="G1311" s="170"/>
      <c r="H1311" s="170"/>
      <c r="I1311" s="170"/>
      <c r="J1311" s="170"/>
      <c r="K1311" s="170"/>
      <c r="L1311" s="170"/>
      <c r="M1311" s="170"/>
      <c r="N1311" s="128"/>
    </row>
    <row r="1312" spans="1:15" s="3" customFormat="1" ht="9.9" customHeight="1">
      <c r="A1312" s="125"/>
      <c r="B1312" s="123"/>
      <c r="C1312" s="123"/>
      <c r="D1312" s="123"/>
      <c r="E1312" s="123"/>
      <c r="F1312" s="167"/>
      <c r="G1312" s="123"/>
      <c r="H1312" s="123"/>
      <c r="I1312" s="123"/>
      <c r="J1312" s="123"/>
      <c r="K1312" s="123"/>
      <c r="L1312" s="123"/>
      <c r="M1312" s="123"/>
      <c r="N1312" s="126"/>
    </row>
    <row r="1313" spans="1:14" s="3" customFormat="1" ht="25.2">
      <c r="A1313" s="125" t="s">
        <v>1900</v>
      </c>
      <c r="B1313" s="123"/>
      <c r="C1313" s="123"/>
      <c r="D1313" s="123"/>
      <c r="E1313" s="123"/>
      <c r="F1313" s="171" t="s">
        <v>1901</v>
      </c>
      <c r="G1313" s="604">
        <f t="shared" ref="G1313" si="35">G1278+1</f>
        <v>38</v>
      </c>
      <c r="H1313" s="604"/>
      <c r="I1313" s="604"/>
      <c r="J1313" s="604"/>
      <c r="K1313" s="604"/>
      <c r="L1313" s="123"/>
      <c r="M1313" s="123"/>
      <c r="N1313" s="126"/>
    </row>
    <row r="1314" spans="1:14" s="4" customFormat="1" ht="25.2">
      <c r="A1314" s="125" t="s">
        <v>1903</v>
      </c>
      <c r="B1314" s="123"/>
      <c r="C1314" s="123"/>
      <c r="D1314" s="123"/>
      <c r="E1314" s="123"/>
      <c r="F1314" s="167"/>
      <c r="G1314" s="167"/>
      <c r="H1314" s="123"/>
      <c r="I1314" s="123"/>
      <c r="J1314" s="123"/>
      <c r="K1314" s="123"/>
      <c r="L1314" s="123"/>
      <c r="M1314" s="123"/>
      <c r="N1314" s="126"/>
    </row>
    <row r="1315" spans="1:14" s="3" customFormat="1" ht="9.9" customHeight="1">
      <c r="A1315" s="125"/>
      <c r="B1315" s="123"/>
      <c r="C1315" s="123"/>
      <c r="D1315" s="123"/>
      <c r="E1315" s="123"/>
      <c r="F1315" s="167"/>
      <c r="G1315" s="167"/>
      <c r="H1315" s="123"/>
      <c r="I1315" s="123"/>
      <c r="J1315" s="123"/>
      <c r="K1315" s="123"/>
      <c r="L1315" s="123"/>
      <c r="M1315" s="123"/>
      <c r="N1315" s="126"/>
    </row>
    <row r="1316" spans="1:14" s="3" customFormat="1" ht="25.2">
      <c r="A1316" s="125" t="s">
        <v>1904</v>
      </c>
      <c r="B1316" s="123"/>
      <c r="C1316" s="123"/>
      <c r="D1316" s="123"/>
      <c r="E1316" s="123"/>
      <c r="F1316" s="167" t="s">
        <v>1896</v>
      </c>
      <c r="G1316" s="204" t="e">
        <f>VLOOKUP(G1313, 'Detail PL'!$B$14:$Q$799, 10)</f>
        <v>#N/A</v>
      </c>
      <c r="H1316" s="204" t="s">
        <v>1905</v>
      </c>
      <c r="I1316" s="204"/>
      <c r="J1316" s="204"/>
      <c r="K1316" s="123"/>
      <c r="L1316" s="123"/>
      <c r="M1316" s="123"/>
      <c r="N1316" s="126"/>
    </row>
    <row r="1317" spans="1:14" s="4" customFormat="1" ht="25.2">
      <c r="A1317" s="125" t="s">
        <v>1906</v>
      </c>
      <c r="B1317" s="123"/>
      <c r="C1317" s="123"/>
      <c r="D1317" s="123"/>
      <c r="E1317" s="123"/>
      <c r="F1317" s="167"/>
      <c r="G1317" s="167"/>
      <c r="H1317" s="167"/>
      <c r="I1317" s="123"/>
      <c r="J1317" s="123"/>
      <c r="K1317" s="123"/>
      <c r="L1317" s="123"/>
      <c r="M1317" s="123"/>
      <c r="N1317" s="126"/>
    </row>
    <row r="1318" spans="1:14" s="3" customFormat="1" ht="9.9" customHeight="1">
      <c r="A1318" s="125"/>
      <c r="B1318" s="123"/>
      <c r="C1318" s="123"/>
      <c r="D1318" s="123"/>
      <c r="E1318" s="123"/>
      <c r="F1318" s="167"/>
      <c r="G1318" s="167"/>
      <c r="H1318" s="167"/>
      <c r="I1318" s="123"/>
      <c r="J1318" s="123"/>
      <c r="K1318" s="123"/>
      <c r="L1318" s="123"/>
      <c r="M1318" s="123"/>
      <c r="N1318" s="126"/>
    </row>
    <row r="1319" spans="1:14" s="3" customFormat="1" ht="25.2">
      <c r="A1319" s="125" t="s">
        <v>1907</v>
      </c>
      <c r="B1319" s="123"/>
      <c r="C1319" s="123"/>
      <c r="D1319" s="123"/>
      <c r="E1319" s="123"/>
      <c r="F1319" s="167" t="s">
        <v>1896</v>
      </c>
      <c r="G1319" s="204" t="e">
        <f>VLOOKUP(G1313, 'Detail PL'!$B$14:$Q$799, 11)</f>
        <v>#N/A</v>
      </c>
      <c r="H1319" s="204" t="s">
        <v>1905</v>
      </c>
      <c r="I1319" s="204"/>
      <c r="J1319" s="204"/>
      <c r="K1319" s="123"/>
      <c r="L1319" s="123"/>
      <c r="M1319" s="123"/>
      <c r="N1319" s="126"/>
    </row>
    <row r="1320" spans="1:14" s="4" customFormat="1" ht="25.2">
      <c r="A1320" s="125" t="s">
        <v>1908</v>
      </c>
      <c r="B1320" s="123"/>
      <c r="C1320" s="123"/>
      <c r="D1320" s="123"/>
      <c r="E1320" s="123"/>
      <c r="F1320" s="167"/>
      <c r="G1320" s="167"/>
      <c r="H1320" s="123"/>
      <c r="I1320" s="123"/>
      <c r="J1320" s="123"/>
      <c r="K1320" s="123"/>
      <c r="L1320" s="123"/>
      <c r="M1320" s="123"/>
      <c r="N1320" s="126"/>
    </row>
    <row r="1321" spans="1:14" s="3" customFormat="1" ht="9.9" customHeight="1">
      <c r="A1321" s="125"/>
      <c r="B1321" s="123"/>
      <c r="C1321" s="123"/>
      <c r="D1321" s="123"/>
      <c r="E1321" s="123"/>
      <c r="F1321" s="167"/>
      <c r="G1321" s="167"/>
      <c r="H1321" s="123"/>
      <c r="I1321" s="123"/>
      <c r="J1321" s="123"/>
      <c r="K1321" s="123"/>
      <c r="L1321" s="123"/>
      <c r="M1321" s="123"/>
      <c r="N1321" s="126"/>
    </row>
    <row r="1322" spans="1:14" s="3" customFormat="1" ht="25.2">
      <c r="A1322" s="129" t="s">
        <v>1909</v>
      </c>
      <c r="B1322" s="123"/>
      <c r="C1322" s="123"/>
      <c r="D1322" s="123"/>
      <c r="E1322" s="123"/>
      <c r="F1322" s="167" t="s">
        <v>1896</v>
      </c>
      <c r="G1322" s="204" t="e">
        <f>VLOOKUP(G1313, 'Detail PL'!$B$14:$Q$799, 9)</f>
        <v>#N/A</v>
      </c>
      <c r="H1322" s="205" t="s">
        <v>1910</v>
      </c>
      <c r="I1322" s="203"/>
      <c r="J1322" s="203"/>
      <c r="K1322" s="172"/>
      <c r="L1322" s="123"/>
      <c r="M1322" s="123"/>
      <c r="N1322" s="126"/>
    </row>
    <row r="1323" spans="1:14" s="4" customFormat="1" ht="25.2">
      <c r="A1323" s="125" t="s">
        <v>1911</v>
      </c>
      <c r="B1323" s="123"/>
      <c r="C1323" s="123"/>
      <c r="D1323" s="123"/>
      <c r="E1323" s="123"/>
      <c r="F1323" s="167"/>
      <c r="G1323" s="167"/>
      <c r="H1323" s="123"/>
      <c r="I1323" s="123"/>
      <c r="J1323" s="123"/>
      <c r="K1323" s="123"/>
      <c r="L1323" s="123"/>
      <c r="M1323" s="123"/>
      <c r="N1323" s="126"/>
    </row>
    <row r="1324" spans="1:14" s="3" customFormat="1" ht="9.9" customHeight="1">
      <c r="A1324" s="125"/>
      <c r="B1324" s="123"/>
      <c r="C1324" s="123"/>
      <c r="D1324" s="123"/>
      <c r="E1324" s="123"/>
      <c r="F1324" s="167"/>
      <c r="G1324" s="167"/>
      <c r="H1324" s="123"/>
      <c r="I1324" s="123"/>
      <c r="J1324" s="123"/>
      <c r="K1324" s="123"/>
      <c r="L1324" s="123"/>
      <c r="M1324" s="123"/>
      <c r="N1324" s="126"/>
    </row>
    <row r="1325" spans="1:14" s="3" customFormat="1" ht="42" customHeight="1">
      <c r="A1325" s="125" t="s">
        <v>1912</v>
      </c>
      <c r="B1325" s="123"/>
      <c r="C1325" s="123"/>
      <c r="D1325" s="123"/>
      <c r="E1325" s="123"/>
      <c r="F1325" s="166" t="s">
        <v>1913</v>
      </c>
      <c r="G1325" s="595" t="s">
        <v>1914</v>
      </c>
      <c r="H1325" s="595"/>
      <c r="I1325" s="595"/>
      <c r="J1325" s="595"/>
      <c r="K1325" s="595"/>
      <c r="L1325" s="595"/>
      <c r="M1325" s="595"/>
      <c r="N1325" s="596"/>
    </row>
    <row r="1326" spans="1:14" s="4" customFormat="1" ht="25.8" thickBot="1">
      <c r="A1326" s="125" t="s">
        <v>1915</v>
      </c>
      <c r="B1326" s="123"/>
      <c r="C1326" s="123"/>
      <c r="D1326" s="123"/>
      <c r="E1326" s="123"/>
      <c r="F1326" s="167"/>
      <c r="G1326" s="167"/>
      <c r="H1326" s="123"/>
      <c r="I1326" s="123"/>
      <c r="J1326" s="123"/>
      <c r="K1326" s="123"/>
      <c r="L1326" s="123"/>
      <c r="M1326" s="123"/>
      <c r="N1326" s="126"/>
    </row>
    <row r="1327" spans="1:14" ht="21" customHeight="1">
      <c r="A1327" s="598" t="s">
        <v>1916</v>
      </c>
      <c r="B1327" s="599"/>
      <c r="C1327" s="599"/>
      <c r="D1327" s="599"/>
      <c r="E1327" s="599"/>
      <c r="F1327" s="599"/>
      <c r="G1327" s="599"/>
      <c r="H1327" s="599"/>
      <c r="I1327" s="599"/>
      <c r="J1327" s="599"/>
      <c r="K1327" s="599"/>
      <c r="L1327" s="599"/>
      <c r="M1327" s="599"/>
      <c r="N1327" s="600"/>
    </row>
    <row r="1328" spans="1:14" ht="25.5" customHeight="1" thickBot="1">
      <c r="A1328" s="601"/>
      <c r="B1328" s="602"/>
      <c r="C1328" s="602"/>
      <c r="D1328" s="602"/>
      <c r="E1328" s="602"/>
      <c r="F1328" s="602"/>
      <c r="G1328" s="602"/>
      <c r="H1328" s="602"/>
      <c r="I1328" s="602"/>
      <c r="J1328" s="602"/>
      <c r="K1328" s="602"/>
      <c r="L1328" s="602"/>
      <c r="M1328" s="602"/>
      <c r="N1328" s="603"/>
    </row>
    <row r="1329" spans="1:15" ht="25.5" customHeight="1">
      <c r="E1329" s="206"/>
      <c r="F1329" s="206"/>
      <c r="G1329" s="206"/>
      <c r="H1329" s="206"/>
      <c r="I1329" s="206"/>
      <c r="J1329" s="206"/>
      <c r="K1329" s="206"/>
    </row>
    <row r="1330" spans="1:15" ht="21.6" thickBot="1"/>
    <row r="1331" spans="1:15" ht="95.25" customHeight="1" thickBot="1">
      <c r="A1331" s="592" t="s">
        <v>1883</v>
      </c>
      <c r="B1331" s="593"/>
      <c r="C1331" s="593"/>
      <c r="D1331" s="593"/>
      <c r="E1331" s="593"/>
      <c r="F1331" s="593"/>
      <c r="G1331" s="593"/>
      <c r="H1331" s="593"/>
      <c r="I1331" s="593"/>
      <c r="J1331" s="593"/>
      <c r="K1331" s="593"/>
      <c r="L1331" s="593"/>
      <c r="M1331" s="593"/>
      <c r="N1331" s="594"/>
    </row>
    <row r="1332" spans="1:15" s="3" customFormat="1" ht="37.5" customHeight="1">
      <c r="A1332" s="134" t="s">
        <v>1884</v>
      </c>
      <c r="B1332" s="166"/>
      <c r="C1332" s="166"/>
      <c r="D1332" s="123"/>
      <c r="E1332" s="123"/>
      <c r="F1332" s="167" t="s">
        <v>1885</v>
      </c>
      <c r="G1332" s="167" t="s">
        <v>1886</v>
      </c>
      <c r="H1332" s="167"/>
      <c r="I1332" s="167"/>
      <c r="J1332" s="167"/>
      <c r="K1332" s="167"/>
      <c r="L1332" s="167"/>
      <c r="M1332" s="167"/>
      <c r="N1332" s="152"/>
      <c r="O1332" s="201"/>
    </row>
    <row r="1333" spans="1:15" s="4" customFormat="1" ht="25.2">
      <c r="A1333" s="125" t="s">
        <v>1887</v>
      </c>
      <c r="B1333" s="123"/>
      <c r="C1333" s="123"/>
      <c r="D1333" s="123"/>
      <c r="E1333" s="123"/>
      <c r="F1333" s="167"/>
      <c r="G1333" s="167" t="s">
        <v>1888</v>
      </c>
      <c r="H1333" s="167"/>
      <c r="I1333" s="167"/>
      <c r="J1333" s="167"/>
      <c r="K1333" s="167"/>
      <c r="L1333" s="167"/>
      <c r="M1333" s="167"/>
      <c r="N1333" s="152"/>
    </row>
    <row r="1334" spans="1:15" s="3" customFormat="1" ht="9.9" customHeight="1">
      <c r="A1334" s="125"/>
      <c r="B1334" s="123"/>
      <c r="C1334" s="123"/>
      <c r="D1334" s="123"/>
      <c r="E1334" s="123"/>
      <c r="F1334" s="167"/>
      <c r="G1334" s="123"/>
      <c r="H1334" s="123"/>
      <c r="I1334" s="123"/>
      <c r="J1334" s="123"/>
      <c r="K1334" s="123"/>
      <c r="L1334" s="123"/>
      <c r="M1334" s="123"/>
      <c r="N1334" s="126"/>
    </row>
    <row r="1335" spans="1:15" s="3" customFormat="1" ht="42.75" customHeight="1">
      <c r="A1335" s="125" t="s">
        <v>1889</v>
      </c>
      <c r="B1335" s="123"/>
      <c r="C1335" s="123"/>
      <c r="D1335" s="123"/>
      <c r="E1335" s="123"/>
      <c r="F1335" s="167" t="s">
        <v>1885</v>
      </c>
      <c r="G1335" s="167" t="str">
        <f>PL!$B$13</f>
        <v>Branch of JSC "Doosan Enerbility" in the Turkestan region</v>
      </c>
      <c r="H1335" s="123"/>
      <c r="I1335" s="123"/>
      <c r="J1335" s="123"/>
      <c r="K1335" s="123"/>
      <c r="L1335" s="123"/>
      <c r="M1335" s="123"/>
      <c r="N1335" s="126"/>
    </row>
    <row r="1336" spans="1:15" s="3" customFormat="1" ht="24" customHeight="1">
      <c r="A1336" s="125" t="s">
        <v>1890</v>
      </c>
      <c r="B1336" s="123"/>
      <c r="C1336" s="123"/>
      <c r="D1336" s="123"/>
      <c r="E1336" s="123"/>
      <c r="F1336" s="168"/>
      <c r="G1336" s="167" t="str">
        <f>PL!$B$14</f>
        <v>321 Tauke Khan Avenue, Turkestan region, Turkestan, Kazakhstan, 161200</v>
      </c>
      <c r="H1336" s="123"/>
      <c r="I1336" s="123"/>
      <c r="J1336" s="123"/>
      <c r="K1336" s="123"/>
      <c r="L1336" s="123"/>
      <c r="M1336" s="123"/>
      <c r="N1336" s="126"/>
    </row>
    <row r="1337" spans="1:15" s="4" customFormat="1" ht="25.2">
      <c r="A1337" s="125"/>
      <c r="B1337" s="123"/>
      <c r="C1337" s="123"/>
      <c r="D1337" s="123"/>
      <c r="E1337" s="123"/>
      <c r="F1337" s="168"/>
      <c r="G1337" s="167" t="str">
        <f>PL!$B$15</f>
        <v>BIN: 230741006561</v>
      </c>
      <c r="H1337" s="123"/>
      <c r="I1337" s="123"/>
      <c r="J1337" s="123"/>
      <c r="K1337" s="123"/>
      <c r="L1337" s="123"/>
      <c r="M1337" s="123"/>
      <c r="N1337" s="126"/>
    </row>
    <row r="1338" spans="1:15" s="3" customFormat="1" ht="9.9" customHeight="1">
      <c r="A1338" s="125"/>
      <c r="B1338" s="123"/>
      <c r="C1338" s="123"/>
      <c r="D1338" s="123"/>
      <c r="E1338" s="123"/>
      <c r="F1338" s="169"/>
      <c r="G1338" s="169"/>
      <c r="H1338" s="123"/>
      <c r="I1338" s="123"/>
      <c r="J1338" s="123"/>
      <c r="K1338" s="123"/>
      <c r="L1338" s="123"/>
      <c r="M1338" s="123"/>
      <c r="N1338" s="126"/>
    </row>
    <row r="1339" spans="1:15" s="3" customFormat="1" ht="25.2">
      <c r="A1339" s="125" t="s">
        <v>1891</v>
      </c>
      <c r="B1339" s="123"/>
      <c r="C1339" s="123"/>
      <c r="D1339" s="123"/>
      <c r="E1339" s="123"/>
      <c r="F1339" s="167" t="s">
        <v>1892</v>
      </c>
      <c r="G1339" s="123"/>
      <c r="H1339" s="123"/>
      <c r="I1339" s="123"/>
      <c r="J1339" s="123"/>
      <c r="K1339" s="123"/>
      <c r="L1339" s="123"/>
      <c r="M1339" s="123"/>
      <c r="N1339" s="126"/>
    </row>
    <row r="1340" spans="1:15" s="4" customFormat="1" ht="25.2">
      <c r="A1340" s="125" t="s">
        <v>1893</v>
      </c>
      <c r="B1340" s="123"/>
      <c r="C1340" s="123"/>
      <c r="D1340" s="123"/>
      <c r="E1340" s="123"/>
      <c r="F1340" s="167" t="s">
        <v>1894</v>
      </c>
      <c r="G1340" s="123"/>
      <c r="H1340" s="123"/>
      <c r="I1340" s="123"/>
      <c r="J1340" s="123"/>
      <c r="K1340" s="123"/>
      <c r="L1340" s="123"/>
      <c r="M1340" s="123"/>
      <c r="N1340" s="126"/>
    </row>
    <row r="1341" spans="1:15" s="3" customFormat="1" ht="9.9" customHeight="1">
      <c r="A1341" s="125"/>
      <c r="B1341" s="123"/>
      <c r="C1341" s="123"/>
      <c r="D1341" s="123"/>
      <c r="E1341" s="123"/>
      <c r="F1341" s="167"/>
      <c r="G1341" s="123"/>
      <c r="H1341" s="123"/>
      <c r="I1341" s="123"/>
      <c r="J1341" s="123"/>
      <c r="K1341" s="123"/>
      <c r="L1341" s="123"/>
      <c r="M1341" s="123"/>
      <c r="N1341" s="126"/>
    </row>
    <row r="1342" spans="1:15" s="3" customFormat="1" ht="25.2">
      <c r="A1342" s="125" t="s">
        <v>1895</v>
      </c>
      <c r="B1342" s="123"/>
      <c r="C1342" s="123"/>
      <c r="D1342" s="123"/>
      <c r="E1342" s="123"/>
      <c r="F1342" s="167" t="s">
        <v>1896</v>
      </c>
      <c r="G1342" s="167" t="str">
        <f>PL!$V$8</f>
        <v>PGU-DE-0139-001</v>
      </c>
      <c r="H1342" s="123"/>
      <c r="I1342" s="123"/>
      <c r="J1342" s="123"/>
      <c r="K1342" s="123"/>
      <c r="L1342" s="123"/>
      <c r="M1342" s="123"/>
      <c r="N1342" s="126"/>
    </row>
    <row r="1343" spans="1:15" s="3" customFormat="1" ht="25.2">
      <c r="A1343" s="125" t="s">
        <v>1897</v>
      </c>
      <c r="B1343" s="123"/>
      <c r="C1343" s="123"/>
      <c r="D1343" s="123"/>
      <c r="E1343" s="123"/>
      <c r="F1343" s="167"/>
      <c r="G1343" s="123"/>
      <c r="H1343" s="123"/>
      <c r="I1343" s="123"/>
      <c r="J1343" s="123"/>
      <c r="K1343" s="123"/>
      <c r="L1343" s="123"/>
      <c r="M1343" s="123"/>
      <c r="N1343" s="126"/>
    </row>
    <row r="1344" spans="1:15" s="3" customFormat="1" ht="9.9" customHeight="1">
      <c r="A1344" s="125"/>
      <c r="B1344" s="123"/>
      <c r="C1344" s="123"/>
      <c r="D1344" s="123"/>
      <c r="E1344" s="123"/>
      <c r="F1344" s="167"/>
      <c r="G1344" s="123"/>
      <c r="H1344" s="123"/>
      <c r="I1344" s="123"/>
      <c r="J1344" s="123"/>
      <c r="K1344" s="123"/>
      <c r="L1344" s="123"/>
      <c r="M1344" s="123"/>
      <c r="N1344" s="126"/>
    </row>
    <row r="1345" spans="1:14" s="3" customFormat="1" ht="31.2" customHeight="1">
      <c r="A1345" s="127" t="s">
        <v>1898</v>
      </c>
      <c r="B1345" s="170"/>
      <c r="C1345" s="170"/>
      <c r="D1345" s="170"/>
      <c r="E1345" s="170"/>
      <c r="F1345" s="171" t="s">
        <v>1885</v>
      </c>
      <c r="G1345" s="597" t="e">
        <f>VLOOKUP(G1348, 'Detail PL'!$B$14:$Q$799,2)</f>
        <v>#N/A</v>
      </c>
      <c r="H1345" s="597"/>
      <c r="I1345" s="597"/>
      <c r="J1345" s="597"/>
      <c r="K1345" s="597"/>
      <c r="L1345" s="597"/>
      <c r="M1345" s="597"/>
      <c r="N1345" s="128"/>
    </row>
    <row r="1346" spans="1:14" s="3" customFormat="1" ht="25.2">
      <c r="A1346" s="127" t="s">
        <v>1899</v>
      </c>
      <c r="B1346" s="170"/>
      <c r="C1346" s="170"/>
      <c r="D1346" s="170"/>
      <c r="E1346" s="170"/>
      <c r="F1346" s="171"/>
      <c r="G1346" s="170"/>
      <c r="H1346" s="170"/>
      <c r="I1346" s="170"/>
      <c r="J1346" s="170"/>
      <c r="K1346" s="170"/>
      <c r="L1346" s="170"/>
      <c r="M1346" s="170"/>
      <c r="N1346" s="128"/>
    </row>
    <row r="1347" spans="1:14" s="3" customFormat="1" ht="9.9" customHeight="1">
      <c r="A1347" s="125"/>
      <c r="B1347" s="123"/>
      <c r="C1347" s="123"/>
      <c r="D1347" s="123"/>
      <c r="E1347" s="123"/>
      <c r="F1347" s="167"/>
      <c r="G1347" s="123"/>
      <c r="H1347" s="123"/>
      <c r="I1347" s="123"/>
      <c r="J1347" s="123"/>
      <c r="K1347" s="123"/>
      <c r="L1347" s="123"/>
      <c r="M1347" s="123"/>
      <c r="N1347" s="126"/>
    </row>
    <row r="1348" spans="1:14" s="3" customFormat="1" ht="25.2">
      <c r="A1348" s="125" t="s">
        <v>1900</v>
      </c>
      <c r="B1348" s="123"/>
      <c r="C1348" s="123"/>
      <c r="D1348" s="123"/>
      <c r="E1348" s="123"/>
      <c r="F1348" s="171" t="s">
        <v>1901</v>
      </c>
      <c r="G1348" s="604">
        <f t="shared" ref="G1348" si="36">G1313+1</f>
        <v>39</v>
      </c>
      <c r="H1348" s="604"/>
      <c r="I1348" s="604"/>
      <c r="J1348" s="604"/>
      <c r="K1348" s="604"/>
      <c r="L1348" s="123"/>
      <c r="M1348" s="123"/>
      <c r="N1348" s="126"/>
    </row>
    <row r="1349" spans="1:14" s="4" customFormat="1" ht="25.2">
      <c r="A1349" s="125" t="s">
        <v>1903</v>
      </c>
      <c r="B1349" s="123"/>
      <c r="C1349" s="123"/>
      <c r="D1349" s="123"/>
      <c r="E1349" s="123"/>
      <c r="F1349" s="167"/>
      <c r="G1349" s="167"/>
      <c r="H1349" s="123"/>
      <c r="I1349" s="123"/>
      <c r="J1349" s="123"/>
      <c r="K1349" s="123"/>
      <c r="L1349" s="123"/>
      <c r="M1349" s="123"/>
      <c r="N1349" s="126"/>
    </row>
    <row r="1350" spans="1:14" s="3" customFormat="1" ht="9.9" customHeight="1">
      <c r="A1350" s="125"/>
      <c r="B1350" s="123"/>
      <c r="C1350" s="123"/>
      <c r="D1350" s="123"/>
      <c r="E1350" s="123"/>
      <c r="F1350" s="167"/>
      <c r="G1350" s="167"/>
      <c r="H1350" s="123"/>
      <c r="I1350" s="123"/>
      <c r="J1350" s="123"/>
      <c r="K1350" s="123"/>
      <c r="L1350" s="123"/>
      <c r="M1350" s="123"/>
      <c r="N1350" s="126"/>
    </row>
    <row r="1351" spans="1:14" s="3" customFormat="1" ht="25.2">
      <c r="A1351" s="125" t="s">
        <v>1904</v>
      </c>
      <c r="B1351" s="123"/>
      <c r="C1351" s="123"/>
      <c r="D1351" s="123"/>
      <c r="E1351" s="123"/>
      <c r="F1351" s="167" t="s">
        <v>1896</v>
      </c>
      <c r="G1351" s="204" t="e">
        <f>VLOOKUP(G1348, 'Detail PL'!$B$14:$Q$799, 10)</f>
        <v>#N/A</v>
      </c>
      <c r="H1351" s="204" t="s">
        <v>1905</v>
      </c>
      <c r="I1351" s="204"/>
      <c r="J1351" s="204"/>
      <c r="K1351" s="123"/>
      <c r="L1351" s="123"/>
      <c r="M1351" s="123"/>
      <c r="N1351" s="126"/>
    </row>
    <row r="1352" spans="1:14" s="4" customFormat="1" ht="25.2">
      <c r="A1352" s="125" t="s">
        <v>1906</v>
      </c>
      <c r="B1352" s="123"/>
      <c r="C1352" s="123"/>
      <c r="D1352" s="123"/>
      <c r="E1352" s="123"/>
      <c r="F1352" s="167"/>
      <c r="G1352" s="167"/>
      <c r="H1352" s="167"/>
      <c r="I1352" s="123"/>
      <c r="J1352" s="123"/>
      <c r="K1352" s="123"/>
      <c r="L1352" s="123"/>
      <c r="M1352" s="123"/>
      <c r="N1352" s="126"/>
    </row>
    <row r="1353" spans="1:14" s="3" customFormat="1" ht="9.9" customHeight="1">
      <c r="A1353" s="125"/>
      <c r="B1353" s="123"/>
      <c r="C1353" s="123"/>
      <c r="D1353" s="123"/>
      <c r="E1353" s="123"/>
      <c r="F1353" s="167"/>
      <c r="G1353" s="167"/>
      <c r="H1353" s="167"/>
      <c r="I1353" s="123"/>
      <c r="J1353" s="123"/>
      <c r="K1353" s="123"/>
      <c r="L1353" s="123"/>
      <c r="M1353" s="123"/>
      <c r="N1353" s="126"/>
    </row>
    <row r="1354" spans="1:14" s="3" customFormat="1" ht="25.2">
      <c r="A1354" s="125" t="s">
        <v>1907</v>
      </c>
      <c r="B1354" s="123"/>
      <c r="C1354" s="123"/>
      <c r="D1354" s="123"/>
      <c r="E1354" s="123"/>
      <c r="F1354" s="167" t="s">
        <v>1896</v>
      </c>
      <c r="G1354" s="204" t="e">
        <f>VLOOKUP(G1348, 'Detail PL'!$B$14:$Q$799, 11)</f>
        <v>#N/A</v>
      </c>
      <c r="H1354" s="204" t="s">
        <v>1905</v>
      </c>
      <c r="I1354" s="204"/>
      <c r="J1354" s="204"/>
      <c r="K1354" s="123"/>
      <c r="L1354" s="123"/>
      <c r="M1354" s="123"/>
      <c r="N1354" s="126"/>
    </row>
    <row r="1355" spans="1:14" s="4" customFormat="1" ht="25.2">
      <c r="A1355" s="125" t="s">
        <v>1908</v>
      </c>
      <c r="B1355" s="123"/>
      <c r="C1355" s="123"/>
      <c r="D1355" s="123"/>
      <c r="E1355" s="123"/>
      <c r="F1355" s="167"/>
      <c r="G1355" s="167"/>
      <c r="H1355" s="123"/>
      <c r="I1355" s="123"/>
      <c r="J1355" s="123"/>
      <c r="K1355" s="123"/>
      <c r="L1355" s="123"/>
      <c r="M1355" s="123"/>
      <c r="N1355" s="126"/>
    </row>
    <row r="1356" spans="1:14" s="3" customFormat="1" ht="9.9" customHeight="1">
      <c r="A1356" s="125"/>
      <c r="B1356" s="123"/>
      <c r="C1356" s="123"/>
      <c r="D1356" s="123"/>
      <c r="E1356" s="123"/>
      <c r="F1356" s="167"/>
      <c r="G1356" s="167"/>
      <c r="H1356" s="123"/>
      <c r="I1356" s="123"/>
      <c r="J1356" s="123"/>
      <c r="K1356" s="123"/>
      <c r="L1356" s="123"/>
      <c r="M1356" s="123"/>
      <c r="N1356" s="126"/>
    </row>
    <row r="1357" spans="1:14" s="3" customFormat="1" ht="25.2">
      <c r="A1357" s="129" t="s">
        <v>1909</v>
      </c>
      <c r="B1357" s="123"/>
      <c r="C1357" s="123"/>
      <c r="D1357" s="123"/>
      <c r="E1357" s="123"/>
      <c r="F1357" s="167" t="s">
        <v>1896</v>
      </c>
      <c r="G1357" s="204" t="e">
        <f>VLOOKUP(G1348, 'Detail PL'!$B$14:$Q$799, 9)</f>
        <v>#N/A</v>
      </c>
      <c r="H1357" s="205" t="s">
        <v>1910</v>
      </c>
      <c r="I1357" s="203"/>
      <c r="J1357" s="203"/>
      <c r="K1357" s="172"/>
      <c r="L1357" s="123"/>
      <c r="M1357" s="123"/>
      <c r="N1357" s="126"/>
    </row>
    <row r="1358" spans="1:14" s="4" customFormat="1" ht="25.2">
      <c r="A1358" s="125" t="s">
        <v>1911</v>
      </c>
      <c r="B1358" s="123"/>
      <c r="C1358" s="123"/>
      <c r="D1358" s="123"/>
      <c r="E1358" s="123"/>
      <c r="F1358" s="167"/>
      <c r="G1358" s="167"/>
      <c r="H1358" s="123"/>
      <c r="I1358" s="123"/>
      <c r="J1358" s="123"/>
      <c r="K1358" s="123"/>
      <c r="L1358" s="123"/>
      <c r="M1358" s="123"/>
      <c r="N1358" s="126"/>
    </row>
    <row r="1359" spans="1:14" s="3" customFormat="1" ht="9.9" customHeight="1">
      <c r="A1359" s="125"/>
      <c r="B1359" s="123"/>
      <c r="C1359" s="123"/>
      <c r="D1359" s="123"/>
      <c r="E1359" s="123"/>
      <c r="F1359" s="167"/>
      <c r="G1359" s="167"/>
      <c r="H1359" s="123"/>
      <c r="I1359" s="123"/>
      <c r="J1359" s="123"/>
      <c r="K1359" s="123"/>
      <c r="L1359" s="123"/>
      <c r="M1359" s="123"/>
      <c r="N1359" s="126"/>
    </row>
    <row r="1360" spans="1:14" s="3" customFormat="1" ht="42" customHeight="1">
      <c r="A1360" s="125" t="s">
        <v>1912</v>
      </c>
      <c r="B1360" s="123"/>
      <c r="C1360" s="123"/>
      <c r="D1360" s="123"/>
      <c r="E1360" s="123"/>
      <c r="F1360" s="166" t="s">
        <v>1913</v>
      </c>
      <c r="G1360" s="595" t="s">
        <v>1914</v>
      </c>
      <c r="H1360" s="595"/>
      <c r="I1360" s="595"/>
      <c r="J1360" s="595"/>
      <c r="K1360" s="595"/>
      <c r="L1360" s="595"/>
      <c r="M1360" s="595"/>
      <c r="N1360" s="596"/>
    </row>
    <row r="1361" spans="1:15" s="4" customFormat="1" ht="25.8" thickBot="1">
      <c r="A1361" s="125" t="s">
        <v>1915</v>
      </c>
      <c r="B1361" s="123"/>
      <c r="C1361" s="123"/>
      <c r="D1361" s="123"/>
      <c r="E1361" s="123"/>
      <c r="F1361" s="167"/>
      <c r="G1361" s="167"/>
      <c r="H1361" s="123"/>
      <c r="I1361" s="123"/>
      <c r="J1361" s="123"/>
      <c r="K1361" s="123"/>
      <c r="L1361" s="123"/>
      <c r="M1361" s="123"/>
      <c r="N1361" s="126"/>
    </row>
    <row r="1362" spans="1:15" ht="21" customHeight="1">
      <c r="A1362" s="598" t="s">
        <v>1916</v>
      </c>
      <c r="B1362" s="599"/>
      <c r="C1362" s="599"/>
      <c r="D1362" s="599"/>
      <c r="E1362" s="599"/>
      <c r="F1362" s="599"/>
      <c r="G1362" s="599"/>
      <c r="H1362" s="599"/>
      <c r="I1362" s="599"/>
      <c r="J1362" s="599"/>
      <c r="K1362" s="599"/>
      <c r="L1362" s="599"/>
      <c r="M1362" s="599"/>
      <c r="N1362" s="600"/>
    </row>
    <row r="1363" spans="1:15" ht="25.5" customHeight="1" thickBot="1">
      <c r="A1363" s="601"/>
      <c r="B1363" s="602"/>
      <c r="C1363" s="602"/>
      <c r="D1363" s="602"/>
      <c r="E1363" s="602"/>
      <c r="F1363" s="602"/>
      <c r="G1363" s="602"/>
      <c r="H1363" s="602"/>
      <c r="I1363" s="602"/>
      <c r="J1363" s="602"/>
      <c r="K1363" s="602"/>
      <c r="L1363" s="602"/>
      <c r="M1363" s="602"/>
      <c r="N1363" s="603"/>
    </row>
    <row r="1364" spans="1:15" ht="25.5" customHeight="1">
      <c r="E1364" s="206"/>
      <c r="F1364" s="206"/>
      <c r="G1364" s="206"/>
      <c r="H1364" s="206"/>
      <c r="I1364" s="206"/>
      <c r="J1364" s="206"/>
      <c r="K1364" s="206"/>
    </row>
    <row r="1365" spans="1:15" ht="21.6" thickBot="1"/>
    <row r="1366" spans="1:15" ht="95.25" customHeight="1" thickBot="1">
      <c r="A1366" s="592" t="s">
        <v>1883</v>
      </c>
      <c r="B1366" s="593"/>
      <c r="C1366" s="593"/>
      <c r="D1366" s="593"/>
      <c r="E1366" s="593"/>
      <c r="F1366" s="593"/>
      <c r="G1366" s="593"/>
      <c r="H1366" s="593"/>
      <c r="I1366" s="593"/>
      <c r="J1366" s="593"/>
      <c r="K1366" s="593"/>
      <c r="L1366" s="593"/>
      <c r="M1366" s="593"/>
      <c r="N1366" s="594"/>
    </row>
    <row r="1367" spans="1:15" s="3" customFormat="1" ht="37.5" customHeight="1">
      <c r="A1367" s="134" t="s">
        <v>1884</v>
      </c>
      <c r="B1367" s="166"/>
      <c r="C1367" s="166"/>
      <c r="D1367" s="123"/>
      <c r="E1367" s="123"/>
      <c r="F1367" s="167" t="s">
        <v>1885</v>
      </c>
      <c r="G1367" s="167" t="s">
        <v>1886</v>
      </c>
      <c r="H1367" s="167"/>
      <c r="I1367" s="167"/>
      <c r="J1367" s="167"/>
      <c r="K1367" s="167"/>
      <c r="L1367" s="167"/>
      <c r="M1367" s="167"/>
      <c r="N1367" s="152"/>
      <c r="O1367" s="201"/>
    </row>
    <row r="1368" spans="1:15" s="4" customFormat="1" ht="25.2">
      <c r="A1368" s="125" t="s">
        <v>1887</v>
      </c>
      <c r="B1368" s="123"/>
      <c r="C1368" s="123"/>
      <c r="D1368" s="123"/>
      <c r="E1368" s="123"/>
      <c r="F1368" s="167"/>
      <c r="G1368" s="167" t="s">
        <v>1888</v>
      </c>
      <c r="H1368" s="167"/>
      <c r="I1368" s="167"/>
      <c r="J1368" s="167"/>
      <c r="K1368" s="167"/>
      <c r="L1368" s="167"/>
      <c r="M1368" s="167"/>
      <c r="N1368" s="152"/>
    </row>
    <row r="1369" spans="1:15" s="3" customFormat="1" ht="9.9" customHeight="1">
      <c r="A1369" s="125"/>
      <c r="B1369" s="123"/>
      <c r="C1369" s="123"/>
      <c r="D1369" s="123"/>
      <c r="E1369" s="123"/>
      <c r="F1369" s="167"/>
      <c r="G1369" s="123"/>
      <c r="H1369" s="123"/>
      <c r="I1369" s="123"/>
      <c r="J1369" s="123"/>
      <c r="K1369" s="123"/>
      <c r="L1369" s="123"/>
      <c r="M1369" s="123"/>
      <c r="N1369" s="126"/>
    </row>
    <row r="1370" spans="1:15" s="3" customFormat="1" ht="42.75" customHeight="1">
      <c r="A1370" s="125" t="s">
        <v>1889</v>
      </c>
      <c r="B1370" s="123"/>
      <c r="C1370" s="123"/>
      <c r="D1370" s="123"/>
      <c r="E1370" s="123"/>
      <c r="F1370" s="167" t="s">
        <v>1885</v>
      </c>
      <c r="G1370" s="167" t="str">
        <f>PL!$B$13</f>
        <v>Branch of JSC "Doosan Enerbility" in the Turkestan region</v>
      </c>
      <c r="H1370" s="123"/>
      <c r="I1370" s="123"/>
      <c r="J1370" s="123"/>
      <c r="K1370" s="123"/>
      <c r="L1370" s="123"/>
      <c r="M1370" s="123"/>
      <c r="N1370" s="126"/>
    </row>
    <row r="1371" spans="1:15" s="3" customFormat="1" ht="24" customHeight="1">
      <c r="A1371" s="125" t="s">
        <v>1890</v>
      </c>
      <c r="B1371" s="123"/>
      <c r="C1371" s="123"/>
      <c r="D1371" s="123"/>
      <c r="E1371" s="123"/>
      <c r="F1371" s="168"/>
      <c r="G1371" s="167" t="str">
        <f>PL!$B$14</f>
        <v>321 Tauke Khan Avenue, Turkestan region, Turkestan, Kazakhstan, 161200</v>
      </c>
      <c r="H1371" s="123"/>
      <c r="I1371" s="123"/>
      <c r="J1371" s="123"/>
      <c r="K1371" s="123"/>
      <c r="L1371" s="123"/>
      <c r="M1371" s="123"/>
      <c r="N1371" s="126"/>
    </row>
    <row r="1372" spans="1:15" s="4" customFormat="1" ht="25.2">
      <c r="A1372" s="125"/>
      <c r="B1372" s="123"/>
      <c r="C1372" s="123"/>
      <c r="D1372" s="123"/>
      <c r="E1372" s="123"/>
      <c r="F1372" s="168"/>
      <c r="G1372" s="167" t="str">
        <f>PL!$B$15</f>
        <v>BIN: 230741006561</v>
      </c>
      <c r="H1372" s="123"/>
      <c r="I1372" s="123"/>
      <c r="J1372" s="123"/>
      <c r="K1372" s="123"/>
      <c r="L1372" s="123"/>
      <c r="M1372" s="123"/>
      <c r="N1372" s="126"/>
    </row>
    <row r="1373" spans="1:15" s="3" customFormat="1" ht="9.9" customHeight="1">
      <c r="A1373" s="125"/>
      <c r="B1373" s="123"/>
      <c r="C1373" s="123"/>
      <c r="D1373" s="123"/>
      <c r="E1373" s="123"/>
      <c r="F1373" s="169"/>
      <c r="G1373" s="169"/>
      <c r="H1373" s="123"/>
      <c r="I1373" s="123"/>
      <c r="J1373" s="123"/>
      <c r="K1373" s="123"/>
      <c r="L1373" s="123"/>
      <c r="M1373" s="123"/>
      <c r="N1373" s="126"/>
    </row>
    <row r="1374" spans="1:15" s="3" customFormat="1" ht="25.2">
      <c r="A1374" s="125" t="s">
        <v>1891</v>
      </c>
      <c r="B1374" s="123"/>
      <c r="C1374" s="123"/>
      <c r="D1374" s="123"/>
      <c r="E1374" s="123"/>
      <c r="F1374" s="167" t="s">
        <v>1892</v>
      </c>
      <c r="G1374" s="123"/>
      <c r="H1374" s="123"/>
      <c r="I1374" s="123"/>
      <c r="J1374" s="123"/>
      <c r="K1374" s="123"/>
      <c r="L1374" s="123"/>
      <c r="M1374" s="123"/>
      <c r="N1374" s="126"/>
    </row>
    <row r="1375" spans="1:15" s="4" customFormat="1" ht="25.2">
      <c r="A1375" s="125" t="s">
        <v>1893</v>
      </c>
      <c r="B1375" s="123"/>
      <c r="C1375" s="123"/>
      <c r="D1375" s="123"/>
      <c r="E1375" s="123"/>
      <c r="F1375" s="167" t="s">
        <v>1894</v>
      </c>
      <c r="G1375" s="123"/>
      <c r="H1375" s="123"/>
      <c r="I1375" s="123"/>
      <c r="J1375" s="123"/>
      <c r="K1375" s="123"/>
      <c r="L1375" s="123"/>
      <c r="M1375" s="123"/>
      <c r="N1375" s="126"/>
    </row>
    <row r="1376" spans="1:15" s="3" customFormat="1" ht="9.9" customHeight="1">
      <c r="A1376" s="125"/>
      <c r="B1376" s="123"/>
      <c r="C1376" s="123"/>
      <c r="D1376" s="123"/>
      <c r="E1376" s="123"/>
      <c r="F1376" s="167"/>
      <c r="G1376" s="123"/>
      <c r="H1376" s="123"/>
      <c r="I1376" s="123"/>
      <c r="J1376" s="123"/>
      <c r="K1376" s="123"/>
      <c r="L1376" s="123"/>
      <c r="M1376" s="123"/>
      <c r="N1376" s="126"/>
    </row>
    <row r="1377" spans="1:14" s="3" customFormat="1" ht="25.2">
      <c r="A1377" s="125" t="s">
        <v>1895</v>
      </c>
      <c r="B1377" s="123"/>
      <c r="C1377" s="123"/>
      <c r="D1377" s="123"/>
      <c r="E1377" s="123"/>
      <c r="F1377" s="167" t="s">
        <v>1896</v>
      </c>
      <c r="G1377" s="167" t="str">
        <f>PL!$V$8</f>
        <v>PGU-DE-0139-001</v>
      </c>
      <c r="H1377" s="123"/>
      <c r="I1377" s="123"/>
      <c r="J1377" s="123"/>
      <c r="K1377" s="123"/>
      <c r="L1377" s="123"/>
      <c r="M1377" s="123"/>
      <c r="N1377" s="126"/>
    </row>
    <row r="1378" spans="1:14" s="3" customFormat="1" ht="25.2">
      <c r="A1378" s="125" t="s">
        <v>1897</v>
      </c>
      <c r="B1378" s="123"/>
      <c r="C1378" s="123"/>
      <c r="D1378" s="123"/>
      <c r="E1378" s="123"/>
      <c r="F1378" s="167"/>
      <c r="G1378" s="123"/>
      <c r="H1378" s="123"/>
      <c r="I1378" s="123"/>
      <c r="J1378" s="123"/>
      <c r="K1378" s="123"/>
      <c r="L1378" s="123"/>
      <c r="M1378" s="123"/>
      <c r="N1378" s="126"/>
    </row>
    <row r="1379" spans="1:14" s="3" customFormat="1" ht="9.9" customHeight="1">
      <c r="A1379" s="125"/>
      <c r="B1379" s="123"/>
      <c r="C1379" s="123"/>
      <c r="D1379" s="123"/>
      <c r="E1379" s="123"/>
      <c r="F1379" s="167"/>
      <c r="G1379" s="123"/>
      <c r="H1379" s="123"/>
      <c r="I1379" s="123"/>
      <c r="J1379" s="123"/>
      <c r="K1379" s="123"/>
      <c r="L1379" s="123"/>
      <c r="M1379" s="123"/>
      <c r="N1379" s="126"/>
    </row>
    <row r="1380" spans="1:14" s="3" customFormat="1" ht="31.2" customHeight="1">
      <c r="A1380" s="127" t="s">
        <v>1898</v>
      </c>
      <c r="B1380" s="170"/>
      <c r="C1380" s="170"/>
      <c r="D1380" s="170"/>
      <c r="E1380" s="170"/>
      <c r="F1380" s="171" t="s">
        <v>1885</v>
      </c>
      <c r="G1380" s="597" t="e">
        <f>VLOOKUP(G1383, 'Detail PL'!$B$14:$Q$799,2)</f>
        <v>#N/A</v>
      </c>
      <c r="H1380" s="597"/>
      <c r="I1380" s="597"/>
      <c r="J1380" s="597"/>
      <c r="K1380" s="597"/>
      <c r="L1380" s="597"/>
      <c r="M1380" s="597"/>
      <c r="N1380" s="128"/>
    </row>
    <row r="1381" spans="1:14" s="3" customFormat="1" ht="25.2">
      <c r="A1381" s="127" t="s">
        <v>1899</v>
      </c>
      <c r="B1381" s="170"/>
      <c r="C1381" s="170"/>
      <c r="D1381" s="170"/>
      <c r="E1381" s="170"/>
      <c r="F1381" s="171"/>
      <c r="G1381" s="170"/>
      <c r="H1381" s="170"/>
      <c r="I1381" s="170"/>
      <c r="J1381" s="170"/>
      <c r="K1381" s="170"/>
      <c r="L1381" s="170"/>
      <c r="M1381" s="170"/>
      <c r="N1381" s="128"/>
    </row>
    <row r="1382" spans="1:14" s="3" customFormat="1" ht="9.9" customHeight="1">
      <c r="A1382" s="125"/>
      <c r="B1382" s="123"/>
      <c r="C1382" s="123"/>
      <c r="D1382" s="123"/>
      <c r="E1382" s="123"/>
      <c r="F1382" s="167"/>
      <c r="G1382" s="123"/>
      <c r="H1382" s="123"/>
      <c r="I1382" s="123"/>
      <c r="J1382" s="123"/>
      <c r="K1382" s="123"/>
      <c r="L1382" s="123"/>
      <c r="M1382" s="123"/>
      <c r="N1382" s="126"/>
    </row>
    <row r="1383" spans="1:14" s="3" customFormat="1" ht="25.2">
      <c r="A1383" s="125" t="s">
        <v>1900</v>
      </c>
      <c r="B1383" s="123"/>
      <c r="C1383" s="123"/>
      <c r="D1383" s="123"/>
      <c r="E1383" s="123"/>
      <c r="F1383" s="171" t="s">
        <v>1901</v>
      </c>
      <c r="G1383" s="604">
        <f t="shared" ref="G1383" si="37">G1348+1</f>
        <v>40</v>
      </c>
      <c r="H1383" s="604"/>
      <c r="I1383" s="604"/>
      <c r="J1383" s="604"/>
      <c r="K1383" s="604"/>
      <c r="L1383" s="123"/>
      <c r="M1383" s="123"/>
      <c r="N1383" s="126"/>
    </row>
    <row r="1384" spans="1:14" s="4" customFormat="1" ht="25.2">
      <c r="A1384" s="125" t="s">
        <v>1903</v>
      </c>
      <c r="B1384" s="123"/>
      <c r="C1384" s="123"/>
      <c r="D1384" s="123"/>
      <c r="E1384" s="123"/>
      <c r="F1384" s="167"/>
      <c r="G1384" s="167"/>
      <c r="H1384" s="123"/>
      <c r="I1384" s="123"/>
      <c r="J1384" s="123"/>
      <c r="K1384" s="123"/>
      <c r="L1384" s="123"/>
      <c r="M1384" s="123"/>
      <c r="N1384" s="126"/>
    </row>
    <row r="1385" spans="1:14" s="3" customFormat="1" ht="9.9" customHeight="1">
      <c r="A1385" s="125"/>
      <c r="B1385" s="123"/>
      <c r="C1385" s="123"/>
      <c r="D1385" s="123"/>
      <c r="E1385" s="123"/>
      <c r="F1385" s="167"/>
      <c r="G1385" s="167"/>
      <c r="H1385" s="123"/>
      <c r="I1385" s="123"/>
      <c r="J1385" s="123"/>
      <c r="K1385" s="123"/>
      <c r="L1385" s="123"/>
      <c r="M1385" s="123"/>
      <c r="N1385" s="126"/>
    </row>
    <row r="1386" spans="1:14" s="3" customFormat="1" ht="25.2">
      <c r="A1386" s="125" t="s">
        <v>1904</v>
      </c>
      <c r="B1386" s="123"/>
      <c r="C1386" s="123"/>
      <c r="D1386" s="123"/>
      <c r="E1386" s="123"/>
      <c r="F1386" s="167" t="s">
        <v>1896</v>
      </c>
      <c r="G1386" s="204" t="e">
        <f>VLOOKUP(G1383, 'Detail PL'!$B$14:$Q$799, 10)</f>
        <v>#N/A</v>
      </c>
      <c r="H1386" s="204" t="s">
        <v>1905</v>
      </c>
      <c r="I1386" s="204"/>
      <c r="J1386" s="204"/>
      <c r="K1386" s="123"/>
      <c r="L1386" s="123"/>
      <c r="M1386" s="123"/>
      <c r="N1386" s="126"/>
    </row>
    <row r="1387" spans="1:14" s="4" customFormat="1" ht="25.2">
      <c r="A1387" s="125" t="s">
        <v>1906</v>
      </c>
      <c r="B1387" s="123"/>
      <c r="C1387" s="123"/>
      <c r="D1387" s="123"/>
      <c r="E1387" s="123"/>
      <c r="F1387" s="167"/>
      <c r="G1387" s="167"/>
      <c r="H1387" s="167"/>
      <c r="I1387" s="123"/>
      <c r="J1387" s="123"/>
      <c r="K1387" s="123"/>
      <c r="L1387" s="123"/>
      <c r="M1387" s="123"/>
      <c r="N1387" s="126"/>
    </row>
    <row r="1388" spans="1:14" s="3" customFormat="1" ht="9.9" customHeight="1">
      <c r="A1388" s="125"/>
      <c r="B1388" s="123"/>
      <c r="C1388" s="123"/>
      <c r="D1388" s="123"/>
      <c r="E1388" s="123"/>
      <c r="F1388" s="167"/>
      <c r="G1388" s="167"/>
      <c r="H1388" s="167"/>
      <c r="I1388" s="123"/>
      <c r="J1388" s="123"/>
      <c r="K1388" s="123"/>
      <c r="L1388" s="123"/>
      <c r="M1388" s="123"/>
      <c r="N1388" s="126"/>
    </row>
    <row r="1389" spans="1:14" s="3" customFormat="1" ht="25.2">
      <c r="A1389" s="125" t="s">
        <v>1907</v>
      </c>
      <c r="B1389" s="123"/>
      <c r="C1389" s="123"/>
      <c r="D1389" s="123"/>
      <c r="E1389" s="123"/>
      <c r="F1389" s="167" t="s">
        <v>1896</v>
      </c>
      <c r="G1389" s="204" t="e">
        <f>VLOOKUP(G1383, 'Detail PL'!$B$14:$Q$799, 11)</f>
        <v>#N/A</v>
      </c>
      <c r="H1389" s="204" t="s">
        <v>1905</v>
      </c>
      <c r="I1389" s="204"/>
      <c r="J1389" s="204"/>
      <c r="K1389" s="123"/>
      <c r="L1389" s="123"/>
      <c r="M1389" s="123"/>
      <c r="N1389" s="126"/>
    </row>
    <row r="1390" spans="1:14" s="4" customFormat="1" ht="25.2">
      <c r="A1390" s="125" t="s">
        <v>1908</v>
      </c>
      <c r="B1390" s="123"/>
      <c r="C1390" s="123"/>
      <c r="D1390" s="123"/>
      <c r="E1390" s="123"/>
      <c r="F1390" s="167"/>
      <c r="G1390" s="167"/>
      <c r="H1390" s="123"/>
      <c r="I1390" s="123"/>
      <c r="J1390" s="123"/>
      <c r="K1390" s="123"/>
      <c r="L1390" s="123"/>
      <c r="M1390" s="123"/>
      <c r="N1390" s="126"/>
    </row>
    <row r="1391" spans="1:14" s="3" customFormat="1" ht="9.9" customHeight="1">
      <c r="A1391" s="125"/>
      <c r="B1391" s="123"/>
      <c r="C1391" s="123"/>
      <c r="D1391" s="123"/>
      <c r="E1391" s="123"/>
      <c r="F1391" s="167"/>
      <c r="G1391" s="167"/>
      <c r="H1391" s="123"/>
      <c r="I1391" s="123"/>
      <c r="J1391" s="123"/>
      <c r="K1391" s="123"/>
      <c r="L1391" s="123"/>
      <c r="M1391" s="123"/>
      <c r="N1391" s="126"/>
    </row>
    <row r="1392" spans="1:14" s="3" customFormat="1" ht="25.2">
      <c r="A1392" s="129" t="s">
        <v>1909</v>
      </c>
      <c r="B1392" s="123"/>
      <c r="C1392" s="123"/>
      <c r="D1392" s="123"/>
      <c r="E1392" s="123"/>
      <c r="F1392" s="167" t="s">
        <v>1896</v>
      </c>
      <c r="G1392" s="204" t="e">
        <f>VLOOKUP(G1383, 'Detail PL'!$B$14:$Q$799, 9)</f>
        <v>#N/A</v>
      </c>
      <c r="H1392" s="205" t="s">
        <v>1910</v>
      </c>
      <c r="I1392" s="203"/>
      <c r="J1392" s="203"/>
      <c r="K1392" s="172"/>
      <c r="L1392" s="123"/>
      <c r="M1392" s="123"/>
      <c r="N1392" s="126"/>
    </row>
    <row r="1393" spans="1:15" s="4" customFormat="1" ht="25.2">
      <c r="A1393" s="125" t="s">
        <v>1911</v>
      </c>
      <c r="B1393" s="123"/>
      <c r="C1393" s="123"/>
      <c r="D1393" s="123"/>
      <c r="E1393" s="123"/>
      <c r="F1393" s="167"/>
      <c r="G1393" s="167"/>
      <c r="H1393" s="123"/>
      <c r="I1393" s="123"/>
      <c r="J1393" s="123"/>
      <c r="K1393" s="123"/>
      <c r="L1393" s="123"/>
      <c r="M1393" s="123"/>
      <c r="N1393" s="126"/>
    </row>
    <row r="1394" spans="1:15" s="3" customFormat="1" ht="9.9" customHeight="1">
      <c r="A1394" s="125"/>
      <c r="B1394" s="123"/>
      <c r="C1394" s="123"/>
      <c r="D1394" s="123"/>
      <c r="E1394" s="123"/>
      <c r="F1394" s="167"/>
      <c r="G1394" s="167"/>
      <c r="H1394" s="123"/>
      <c r="I1394" s="123"/>
      <c r="J1394" s="123"/>
      <c r="K1394" s="123"/>
      <c r="L1394" s="123"/>
      <c r="M1394" s="123"/>
      <c r="N1394" s="126"/>
    </row>
    <row r="1395" spans="1:15" s="3" customFormat="1" ht="42" customHeight="1">
      <c r="A1395" s="125" t="s">
        <v>1912</v>
      </c>
      <c r="B1395" s="123"/>
      <c r="C1395" s="123"/>
      <c r="D1395" s="123"/>
      <c r="E1395" s="123"/>
      <c r="F1395" s="166" t="s">
        <v>1913</v>
      </c>
      <c r="G1395" s="595" t="s">
        <v>1914</v>
      </c>
      <c r="H1395" s="595"/>
      <c r="I1395" s="595"/>
      <c r="J1395" s="595"/>
      <c r="K1395" s="595"/>
      <c r="L1395" s="595"/>
      <c r="M1395" s="595"/>
      <c r="N1395" s="596"/>
    </row>
    <row r="1396" spans="1:15" s="4" customFormat="1" ht="25.8" thickBot="1">
      <c r="A1396" s="125" t="s">
        <v>1915</v>
      </c>
      <c r="B1396" s="123"/>
      <c r="C1396" s="123"/>
      <c r="D1396" s="123"/>
      <c r="E1396" s="123"/>
      <c r="F1396" s="167"/>
      <c r="G1396" s="167"/>
      <c r="H1396" s="123"/>
      <c r="I1396" s="123"/>
      <c r="J1396" s="123"/>
      <c r="K1396" s="123"/>
      <c r="L1396" s="123"/>
      <c r="M1396" s="123"/>
      <c r="N1396" s="126"/>
    </row>
    <row r="1397" spans="1:15" ht="21" customHeight="1">
      <c r="A1397" s="598" t="s">
        <v>1916</v>
      </c>
      <c r="B1397" s="599"/>
      <c r="C1397" s="599"/>
      <c r="D1397" s="599"/>
      <c r="E1397" s="599"/>
      <c r="F1397" s="599"/>
      <c r="G1397" s="599"/>
      <c r="H1397" s="599"/>
      <c r="I1397" s="599"/>
      <c r="J1397" s="599"/>
      <c r="K1397" s="599"/>
      <c r="L1397" s="599"/>
      <c r="M1397" s="599"/>
      <c r="N1397" s="600"/>
    </row>
    <row r="1398" spans="1:15" ht="25.5" customHeight="1" thickBot="1">
      <c r="A1398" s="601"/>
      <c r="B1398" s="602"/>
      <c r="C1398" s="602"/>
      <c r="D1398" s="602"/>
      <c r="E1398" s="602"/>
      <c r="F1398" s="602"/>
      <c r="G1398" s="602"/>
      <c r="H1398" s="602"/>
      <c r="I1398" s="602"/>
      <c r="J1398" s="602"/>
      <c r="K1398" s="602"/>
      <c r="L1398" s="602"/>
      <c r="M1398" s="602"/>
      <c r="N1398" s="603"/>
    </row>
    <row r="1399" spans="1:15" ht="25.5" customHeight="1">
      <c r="E1399" s="206"/>
      <c r="F1399" s="206"/>
      <c r="G1399" s="206"/>
      <c r="H1399" s="206"/>
      <c r="I1399" s="206"/>
      <c r="J1399" s="206"/>
      <c r="K1399" s="206"/>
    </row>
    <row r="1400" spans="1:15" ht="21.6" thickBot="1"/>
    <row r="1401" spans="1:15" ht="95.25" customHeight="1" thickBot="1">
      <c r="A1401" s="592" t="s">
        <v>1883</v>
      </c>
      <c r="B1401" s="593"/>
      <c r="C1401" s="593"/>
      <c r="D1401" s="593"/>
      <c r="E1401" s="593"/>
      <c r="F1401" s="593"/>
      <c r="G1401" s="593"/>
      <c r="H1401" s="593"/>
      <c r="I1401" s="593"/>
      <c r="J1401" s="593"/>
      <c r="K1401" s="593"/>
      <c r="L1401" s="593"/>
      <c r="M1401" s="593"/>
      <c r="N1401" s="594"/>
    </row>
    <row r="1402" spans="1:15" s="3" customFormat="1" ht="37.5" customHeight="1">
      <c r="A1402" s="134" t="s">
        <v>1884</v>
      </c>
      <c r="B1402" s="166"/>
      <c r="C1402" s="166"/>
      <c r="D1402" s="123"/>
      <c r="E1402" s="123"/>
      <c r="F1402" s="167" t="s">
        <v>1885</v>
      </c>
      <c r="G1402" s="167" t="s">
        <v>1886</v>
      </c>
      <c r="H1402" s="167"/>
      <c r="I1402" s="167"/>
      <c r="J1402" s="167"/>
      <c r="K1402" s="167"/>
      <c r="L1402" s="167"/>
      <c r="M1402" s="167"/>
      <c r="N1402" s="152"/>
      <c r="O1402" s="201"/>
    </row>
    <row r="1403" spans="1:15" s="4" customFormat="1" ht="25.2">
      <c r="A1403" s="125" t="s">
        <v>1887</v>
      </c>
      <c r="B1403" s="123"/>
      <c r="C1403" s="123"/>
      <c r="D1403" s="123"/>
      <c r="E1403" s="123"/>
      <c r="F1403" s="167"/>
      <c r="G1403" s="167" t="s">
        <v>1888</v>
      </c>
      <c r="H1403" s="167"/>
      <c r="I1403" s="167"/>
      <c r="J1403" s="167"/>
      <c r="K1403" s="167"/>
      <c r="L1403" s="167"/>
      <c r="M1403" s="167"/>
      <c r="N1403" s="152"/>
    </row>
    <row r="1404" spans="1:15" s="3" customFormat="1" ht="9.9" customHeight="1">
      <c r="A1404" s="125"/>
      <c r="B1404" s="123"/>
      <c r="C1404" s="123"/>
      <c r="D1404" s="123"/>
      <c r="E1404" s="123"/>
      <c r="F1404" s="167"/>
      <c r="G1404" s="123"/>
      <c r="H1404" s="123"/>
      <c r="I1404" s="123"/>
      <c r="J1404" s="123"/>
      <c r="K1404" s="123"/>
      <c r="L1404" s="123"/>
      <c r="M1404" s="123"/>
      <c r="N1404" s="126"/>
    </row>
    <row r="1405" spans="1:15" s="3" customFormat="1" ht="42.75" customHeight="1">
      <c r="A1405" s="125" t="s">
        <v>1889</v>
      </c>
      <c r="B1405" s="123"/>
      <c r="C1405" s="123"/>
      <c r="D1405" s="123"/>
      <c r="E1405" s="123"/>
      <c r="F1405" s="167" t="s">
        <v>1885</v>
      </c>
      <c r="G1405" s="167" t="str">
        <f>PL!$B$13</f>
        <v>Branch of JSC "Doosan Enerbility" in the Turkestan region</v>
      </c>
      <c r="H1405" s="123"/>
      <c r="I1405" s="123"/>
      <c r="J1405" s="123"/>
      <c r="K1405" s="123"/>
      <c r="L1405" s="123"/>
      <c r="M1405" s="123"/>
      <c r="N1405" s="126"/>
    </row>
    <row r="1406" spans="1:15" s="3" customFormat="1" ht="24" customHeight="1">
      <c r="A1406" s="125" t="s">
        <v>1890</v>
      </c>
      <c r="B1406" s="123"/>
      <c r="C1406" s="123"/>
      <c r="D1406" s="123"/>
      <c r="E1406" s="123"/>
      <c r="F1406" s="168"/>
      <c r="G1406" s="167" t="str">
        <f>PL!$B$14</f>
        <v>321 Tauke Khan Avenue, Turkestan region, Turkestan, Kazakhstan, 161200</v>
      </c>
      <c r="H1406" s="123"/>
      <c r="I1406" s="123"/>
      <c r="J1406" s="123"/>
      <c r="K1406" s="123"/>
      <c r="L1406" s="123"/>
      <c r="M1406" s="123"/>
      <c r="N1406" s="126"/>
    </row>
    <row r="1407" spans="1:15" s="4" customFormat="1" ht="25.2">
      <c r="A1407" s="125"/>
      <c r="B1407" s="123"/>
      <c r="C1407" s="123"/>
      <c r="D1407" s="123"/>
      <c r="E1407" s="123"/>
      <c r="F1407" s="168"/>
      <c r="G1407" s="167" t="str">
        <f>PL!$B$15</f>
        <v>BIN: 230741006561</v>
      </c>
      <c r="H1407" s="123"/>
      <c r="I1407" s="123"/>
      <c r="J1407" s="123"/>
      <c r="K1407" s="123"/>
      <c r="L1407" s="123"/>
      <c r="M1407" s="123"/>
      <c r="N1407" s="126"/>
    </row>
    <row r="1408" spans="1:15" s="3" customFormat="1" ht="9.9" customHeight="1">
      <c r="A1408" s="125"/>
      <c r="B1408" s="123"/>
      <c r="C1408" s="123"/>
      <c r="D1408" s="123"/>
      <c r="E1408" s="123"/>
      <c r="F1408" s="169"/>
      <c r="G1408" s="169"/>
      <c r="H1408" s="123"/>
      <c r="I1408" s="123"/>
      <c r="J1408" s="123"/>
      <c r="K1408" s="123"/>
      <c r="L1408" s="123"/>
      <c r="M1408" s="123"/>
      <c r="N1408" s="126"/>
    </row>
    <row r="1409" spans="1:14" s="3" customFormat="1" ht="25.2">
      <c r="A1409" s="125" t="s">
        <v>1891</v>
      </c>
      <c r="B1409" s="123"/>
      <c r="C1409" s="123"/>
      <c r="D1409" s="123"/>
      <c r="E1409" s="123"/>
      <c r="F1409" s="167" t="s">
        <v>1892</v>
      </c>
      <c r="G1409" s="123"/>
      <c r="H1409" s="123"/>
      <c r="I1409" s="123"/>
      <c r="J1409" s="123"/>
      <c r="K1409" s="123"/>
      <c r="L1409" s="123"/>
      <c r="M1409" s="123"/>
      <c r="N1409" s="126"/>
    </row>
    <row r="1410" spans="1:14" s="4" customFormat="1" ht="25.2">
      <c r="A1410" s="125" t="s">
        <v>1893</v>
      </c>
      <c r="B1410" s="123"/>
      <c r="C1410" s="123"/>
      <c r="D1410" s="123"/>
      <c r="E1410" s="123"/>
      <c r="F1410" s="167" t="s">
        <v>1894</v>
      </c>
      <c r="G1410" s="123"/>
      <c r="H1410" s="123"/>
      <c r="I1410" s="123"/>
      <c r="J1410" s="123"/>
      <c r="K1410" s="123"/>
      <c r="L1410" s="123"/>
      <c r="M1410" s="123"/>
      <c r="N1410" s="126"/>
    </row>
    <row r="1411" spans="1:14" s="3" customFormat="1" ht="9.9" customHeight="1">
      <c r="A1411" s="125"/>
      <c r="B1411" s="123"/>
      <c r="C1411" s="123"/>
      <c r="D1411" s="123"/>
      <c r="E1411" s="123"/>
      <c r="F1411" s="167"/>
      <c r="G1411" s="123"/>
      <c r="H1411" s="123"/>
      <c r="I1411" s="123"/>
      <c r="J1411" s="123"/>
      <c r="K1411" s="123"/>
      <c r="L1411" s="123"/>
      <c r="M1411" s="123"/>
      <c r="N1411" s="126"/>
    </row>
    <row r="1412" spans="1:14" s="3" customFormat="1" ht="25.2">
      <c r="A1412" s="125" t="s">
        <v>1895</v>
      </c>
      <c r="B1412" s="123"/>
      <c r="C1412" s="123"/>
      <c r="D1412" s="123"/>
      <c r="E1412" s="123"/>
      <c r="F1412" s="167" t="s">
        <v>1896</v>
      </c>
      <c r="G1412" s="167" t="str">
        <f>PL!$V$8</f>
        <v>PGU-DE-0139-001</v>
      </c>
      <c r="H1412" s="123"/>
      <c r="I1412" s="123"/>
      <c r="J1412" s="123"/>
      <c r="K1412" s="123"/>
      <c r="L1412" s="123"/>
      <c r="M1412" s="123"/>
      <c r="N1412" s="126"/>
    </row>
    <row r="1413" spans="1:14" s="3" customFormat="1" ht="25.2">
      <c r="A1413" s="125" t="s">
        <v>1897</v>
      </c>
      <c r="B1413" s="123"/>
      <c r="C1413" s="123"/>
      <c r="D1413" s="123"/>
      <c r="E1413" s="123"/>
      <c r="F1413" s="167"/>
      <c r="G1413" s="123"/>
      <c r="H1413" s="123"/>
      <c r="I1413" s="123"/>
      <c r="J1413" s="123"/>
      <c r="K1413" s="123"/>
      <c r="L1413" s="123"/>
      <c r="M1413" s="123"/>
      <c r="N1413" s="126"/>
    </row>
    <row r="1414" spans="1:14" s="3" customFormat="1" ht="9.9" customHeight="1">
      <c r="A1414" s="125"/>
      <c r="B1414" s="123"/>
      <c r="C1414" s="123"/>
      <c r="D1414" s="123"/>
      <c r="E1414" s="123"/>
      <c r="F1414" s="167"/>
      <c r="G1414" s="123"/>
      <c r="H1414" s="123"/>
      <c r="I1414" s="123"/>
      <c r="J1414" s="123"/>
      <c r="K1414" s="123"/>
      <c r="L1414" s="123"/>
      <c r="M1414" s="123"/>
      <c r="N1414" s="126"/>
    </row>
    <row r="1415" spans="1:14" s="3" customFormat="1" ht="31.2" customHeight="1">
      <c r="A1415" s="127" t="s">
        <v>1898</v>
      </c>
      <c r="B1415" s="170"/>
      <c r="C1415" s="170"/>
      <c r="D1415" s="170"/>
      <c r="E1415" s="170"/>
      <c r="F1415" s="171" t="s">
        <v>1885</v>
      </c>
      <c r="G1415" s="597" t="e">
        <f>VLOOKUP(G1418, 'Detail PL'!$B$14:$Q$799,2)</f>
        <v>#N/A</v>
      </c>
      <c r="H1415" s="597"/>
      <c r="I1415" s="597"/>
      <c r="J1415" s="597"/>
      <c r="K1415" s="597"/>
      <c r="L1415" s="597"/>
      <c r="M1415" s="597"/>
      <c r="N1415" s="128"/>
    </row>
    <row r="1416" spans="1:14" s="3" customFormat="1" ht="25.2">
      <c r="A1416" s="127" t="s">
        <v>1899</v>
      </c>
      <c r="B1416" s="170"/>
      <c r="C1416" s="170"/>
      <c r="D1416" s="170"/>
      <c r="E1416" s="170"/>
      <c r="F1416" s="171"/>
      <c r="G1416" s="170"/>
      <c r="H1416" s="170"/>
      <c r="I1416" s="170"/>
      <c r="J1416" s="170"/>
      <c r="K1416" s="170"/>
      <c r="L1416" s="170"/>
      <c r="M1416" s="170"/>
      <c r="N1416" s="128"/>
    </row>
    <row r="1417" spans="1:14" s="3" customFormat="1" ht="9.9" customHeight="1">
      <c r="A1417" s="125"/>
      <c r="B1417" s="123"/>
      <c r="C1417" s="123"/>
      <c r="D1417" s="123"/>
      <c r="E1417" s="123"/>
      <c r="F1417" s="167"/>
      <c r="G1417" s="123"/>
      <c r="H1417" s="123"/>
      <c r="I1417" s="123"/>
      <c r="J1417" s="123"/>
      <c r="K1417" s="123"/>
      <c r="L1417" s="123"/>
      <c r="M1417" s="123"/>
      <c r="N1417" s="126"/>
    </row>
    <row r="1418" spans="1:14" s="3" customFormat="1" ht="25.2">
      <c r="A1418" s="125" t="s">
        <v>1900</v>
      </c>
      <c r="B1418" s="123"/>
      <c r="C1418" s="123"/>
      <c r="D1418" s="123"/>
      <c r="E1418" s="123"/>
      <c r="F1418" s="171" t="s">
        <v>1901</v>
      </c>
      <c r="G1418" s="604">
        <f t="shared" ref="G1418" si="38">G1383+1</f>
        <v>41</v>
      </c>
      <c r="H1418" s="604"/>
      <c r="I1418" s="604"/>
      <c r="J1418" s="604"/>
      <c r="K1418" s="604"/>
      <c r="L1418" s="123"/>
      <c r="M1418" s="123"/>
      <c r="N1418" s="126"/>
    </row>
    <row r="1419" spans="1:14" s="4" customFormat="1" ht="25.2">
      <c r="A1419" s="125" t="s">
        <v>1903</v>
      </c>
      <c r="B1419" s="123"/>
      <c r="C1419" s="123"/>
      <c r="D1419" s="123"/>
      <c r="E1419" s="123"/>
      <c r="F1419" s="167"/>
      <c r="G1419" s="167"/>
      <c r="H1419" s="123"/>
      <c r="I1419" s="123"/>
      <c r="J1419" s="123"/>
      <c r="K1419" s="123"/>
      <c r="L1419" s="123"/>
      <c r="M1419" s="123"/>
      <c r="N1419" s="126"/>
    </row>
    <row r="1420" spans="1:14" s="3" customFormat="1" ht="9.9" customHeight="1">
      <c r="A1420" s="125"/>
      <c r="B1420" s="123"/>
      <c r="C1420" s="123"/>
      <c r="D1420" s="123"/>
      <c r="E1420" s="123"/>
      <c r="F1420" s="167"/>
      <c r="G1420" s="167"/>
      <c r="H1420" s="123"/>
      <c r="I1420" s="123"/>
      <c r="J1420" s="123"/>
      <c r="K1420" s="123"/>
      <c r="L1420" s="123"/>
      <c r="M1420" s="123"/>
      <c r="N1420" s="126"/>
    </row>
    <row r="1421" spans="1:14" s="3" customFormat="1" ht="25.2">
      <c r="A1421" s="125" t="s">
        <v>1904</v>
      </c>
      <c r="B1421" s="123"/>
      <c r="C1421" s="123"/>
      <c r="D1421" s="123"/>
      <c r="E1421" s="123"/>
      <c r="F1421" s="167" t="s">
        <v>1896</v>
      </c>
      <c r="G1421" s="204" t="e">
        <f>VLOOKUP(G1418, 'Detail PL'!$B$14:$Q$799, 10)</f>
        <v>#N/A</v>
      </c>
      <c r="H1421" s="204" t="s">
        <v>1905</v>
      </c>
      <c r="I1421" s="204"/>
      <c r="J1421" s="204"/>
      <c r="K1421" s="123"/>
      <c r="L1421" s="123"/>
      <c r="M1421" s="123"/>
      <c r="N1421" s="126"/>
    </row>
    <row r="1422" spans="1:14" s="4" customFormat="1" ht="25.2">
      <c r="A1422" s="125" t="s">
        <v>1906</v>
      </c>
      <c r="B1422" s="123"/>
      <c r="C1422" s="123"/>
      <c r="D1422" s="123"/>
      <c r="E1422" s="123"/>
      <c r="F1422" s="167"/>
      <c r="G1422" s="167"/>
      <c r="H1422" s="167"/>
      <c r="I1422" s="123"/>
      <c r="J1422" s="123"/>
      <c r="K1422" s="123"/>
      <c r="L1422" s="123"/>
      <c r="M1422" s="123"/>
      <c r="N1422" s="126"/>
    </row>
    <row r="1423" spans="1:14" s="3" customFormat="1" ht="9.9" customHeight="1">
      <c r="A1423" s="125"/>
      <c r="B1423" s="123"/>
      <c r="C1423" s="123"/>
      <c r="D1423" s="123"/>
      <c r="E1423" s="123"/>
      <c r="F1423" s="167"/>
      <c r="G1423" s="167"/>
      <c r="H1423" s="167"/>
      <c r="I1423" s="123"/>
      <c r="J1423" s="123"/>
      <c r="K1423" s="123"/>
      <c r="L1423" s="123"/>
      <c r="M1423" s="123"/>
      <c r="N1423" s="126"/>
    </row>
    <row r="1424" spans="1:14" s="3" customFormat="1" ht="25.2">
      <c r="A1424" s="125" t="s">
        <v>1907</v>
      </c>
      <c r="B1424" s="123"/>
      <c r="C1424" s="123"/>
      <c r="D1424" s="123"/>
      <c r="E1424" s="123"/>
      <c r="F1424" s="167" t="s">
        <v>1896</v>
      </c>
      <c r="G1424" s="204" t="e">
        <f>VLOOKUP(G1418, 'Detail PL'!$B$14:$Q$799, 11)</f>
        <v>#N/A</v>
      </c>
      <c r="H1424" s="204" t="s">
        <v>1905</v>
      </c>
      <c r="I1424" s="204"/>
      <c r="J1424" s="204"/>
      <c r="K1424" s="123"/>
      <c r="L1424" s="123"/>
      <c r="M1424" s="123"/>
      <c r="N1424" s="126"/>
    </row>
    <row r="1425" spans="1:15" s="4" customFormat="1" ht="25.2">
      <c r="A1425" s="125" t="s">
        <v>1908</v>
      </c>
      <c r="B1425" s="123"/>
      <c r="C1425" s="123"/>
      <c r="D1425" s="123"/>
      <c r="E1425" s="123"/>
      <c r="F1425" s="167"/>
      <c r="G1425" s="167"/>
      <c r="H1425" s="123"/>
      <c r="I1425" s="123"/>
      <c r="J1425" s="123"/>
      <c r="K1425" s="123"/>
      <c r="L1425" s="123"/>
      <c r="M1425" s="123"/>
      <c r="N1425" s="126"/>
    </row>
    <row r="1426" spans="1:15" s="3" customFormat="1" ht="9.9" customHeight="1">
      <c r="A1426" s="125"/>
      <c r="B1426" s="123"/>
      <c r="C1426" s="123"/>
      <c r="D1426" s="123"/>
      <c r="E1426" s="123"/>
      <c r="F1426" s="167"/>
      <c r="G1426" s="167"/>
      <c r="H1426" s="123"/>
      <c r="I1426" s="123"/>
      <c r="J1426" s="123"/>
      <c r="K1426" s="123"/>
      <c r="L1426" s="123"/>
      <c r="M1426" s="123"/>
      <c r="N1426" s="126"/>
    </row>
    <row r="1427" spans="1:15" s="3" customFormat="1" ht="25.2">
      <c r="A1427" s="129" t="s">
        <v>1909</v>
      </c>
      <c r="B1427" s="123"/>
      <c r="C1427" s="123"/>
      <c r="D1427" s="123"/>
      <c r="E1427" s="123"/>
      <c r="F1427" s="167" t="s">
        <v>1896</v>
      </c>
      <c r="G1427" s="204" t="e">
        <f>VLOOKUP(G1418, 'Detail PL'!$B$14:$Q$799, 9)</f>
        <v>#N/A</v>
      </c>
      <c r="H1427" s="205" t="s">
        <v>1910</v>
      </c>
      <c r="I1427" s="203"/>
      <c r="J1427" s="203"/>
      <c r="K1427" s="172"/>
      <c r="L1427" s="123"/>
      <c r="M1427" s="123"/>
      <c r="N1427" s="126"/>
    </row>
    <row r="1428" spans="1:15" s="4" customFormat="1" ht="25.2">
      <c r="A1428" s="125" t="s">
        <v>1911</v>
      </c>
      <c r="B1428" s="123"/>
      <c r="C1428" s="123"/>
      <c r="D1428" s="123"/>
      <c r="E1428" s="123"/>
      <c r="F1428" s="167"/>
      <c r="G1428" s="167"/>
      <c r="H1428" s="123"/>
      <c r="I1428" s="123"/>
      <c r="J1428" s="123"/>
      <c r="K1428" s="123"/>
      <c r="L1428" s="123"/>
      <c r="M1428" s="123"/>
      <c r="N1428" s="126"/>
    </row>
    <row r="1429" spans="1:15" s="3" customFormat="1" ht="9.9" customHeight="1">
      <c r="A1429" s="125"/>
      <c r="B1429" s="123"/>
      <c r="C1429" s="123"/>
      <c r="D1429" s="123"/>
      <c r="E1429" s="123"/>
      <c r="F1429" s="167"/>
      <c r="G1429" s="167"/>
      <c r="H1429" s="123"/>
      <c r="I1429" s="123"/>
      <c r="J1429" s="123"/>
      <c r="K1429" s="123"/>
      <c r="L1429" s="123"/>
      <c r="M1429" s="123"/>
      <c r="N1429" s="126"/>
    </row>
    <row r="1430" spans="1:15" s="3" customFormat="1" ht="42" customHeight="1">
      <c r="A1430" s="125" t="s">
        <v>1912</v>
      </c>
      <c r="B1430" s="123"/>
      <c r="C1430" s="123"/>
      <c r="D1430" s="123"/>
      <c r="E1430" s="123"/>
      <c r="F1430" s="166" t="s">
        <v>1913</v>
      </c>
      <c r="G1430" s="595" t="s">
        <v>1914</v>
      </c>
      <c r="H1430" s="595"/>
      <c r="I1430" s="595"/>
      <c r="J1430" s="595"/>
      <c r="K1430" s="595"/>
      <c r="L1430" s="595"/>
      <c r="M1430" s="595"/>
      <c r="N1430" s="596"/>
    </row>
    <row r="1431" spans="1:15" s="4" customFormat="1" ht="25.8" thickBot="1">
      <c r="A1431" s="125" t="s">
        <v>1915</v>
      </c>
      <c r="B1431" s="123"/>
      <c r="C1431" s="123"/>
      <c r="D1431" s="123"/>
      <c r="E1431" s="123"/>
      <c r="F1431" s="167"/>
      <c r="G1431" s="167"/>
      <c r="H1431" s="123"/>
      <c r="I1431" s="123"/>
      <c r="J1431" s="123"/>
      <c r="K1431" s="123"/>
      <c r="L1431" s="123"/>
      <c r="M1431" s="123"/>
      <c r="N1431" s="126"/>
    </row>
    <row r="1432" spans="1:15" ht="21" customHeight="1">
      <c r="A1432" s="598" t="s">
        <v>1916</v>
      </c>
      <c r="B1432" s="599"/>
      <c r="C1432" s="599"/>
      <c r="D1432" s="599"/>
      <c r="E1432" s="599"/>
      <c r="F1432" s="599"/>
      <c r="G1432" s="599"/>
      <c r="H1432" s="599"/>
      <c r="I1432" s="599"/>
      <c r="J1432" s="599"/>
      <c r="K1432" s="599"/>
      <c r="L1432" s="599"/>
      <c r="M1432" s="599"/>
      <c r="N1432" s="600"/>
    </row>
    <row r="1433" spans="1:15" ht="25.5" customHeight="1" thickBot="1">
      <c r="A1433" s="601"/>
      <c r="B1433" s="602"/>
      <c r="C1433" s="602"/>
      <c r="D1433" s="602"/>
      <c r="E1433" s="602"/>
      <c r="F1433" s="602"/>
      <c r="G1433" s="602"/>
      <c r="H1433" s="602"/>
      <c r="I1433" s="602"/>
      <c r="J1433" s="602"/>
      <c r="K1433" s="602"/>
      <c r="L1433" s="602"/>
      <c r="M1433" s="602"/>
      <c r="N1433" s="603"/>
    </row>
    <row r="1434" spans="1:15" ht="25.5" customHeight="1">
      <c r="E1434" s="206"/>
      <c r="F1434" s="206"/>
      <c r="G1434" s="206"/>
      <c r="H1434" s="206"/>
      <c r="I1434" s="206"/>
      <c r="J1434" s="206"/>
      <c r="K1434" s="206"/>
    </row>
    <row r="1435" spans="1:15" ht="21.6" thickBot="1"/>
    <row r="1436" spans="1:15" ht="95.25" customHeight="1" thickBot="1">
      <c r="A1436" s="592" t="s">
        <v>1883</v>
      </c>
      <c r="B1436" s="593"/>
      <c r="C1436" s="593"/>
      <c r="D1436" s="593"/>
      <c r="E1436" s="593"/>
      <c r="F1436" s="593"/>
      <c r="G1436" s="593"/>
      <c r="H1436" s="593"/>
      <c r="I1436" s="593"/>
      <c r="J1436" s="593"/>
      <c r="K1436" s="593"/>
      <c r="L1436" s="593"/>
      <c r="M1436" s="593"/>
      <c r="N1436" s="594"/>
    </row>
    <row r="1437" spans="1:15" s="3" customFormat="1" ht="37.5" customHeight="1">
      <c r="A1437" s="134" t="s">
        <v>1884</v>
      </c>
      <c r="B1437" s="166"/>
      <c r="C1437" s="166"/>
      <c r="D1437" s="123"/>
      <c r="E1437" s="123"/>
      <c r="F1437" s="167" t="s">
        <v>1885</v>
      </c>
      <c r="G1437" s="167" t="s">
        <v>1886</v>
      </c>
      <c r="H1437" s="167"/>
      <c r="I1437" s="167"/>
      <c r="J1437" s="167"/>
      <c r="K1437" s="167"/>
      <c r="L1437" s="167"/>
      <c r="M1437" s="167"/>
      <c r="N1437" s="152"/>
      <c r="O1437" s="201"/>
    </row>
    <row r="1438" spans="1:15" s="4" customFormat="1" ht="25.2">
      <c r="A1438" s="125" t="s">
        <v>1887</v>
      </c>
      <c r="B1438" s="123"/>
      <c r="C1438" s="123"/>
      <c r="D1438" s="123"/>
      <c r="E1438" s="123"/>
      <c r="F1438" s="167"/>
      <c r="G1438" s="167" t="s">
        <v>1888</v>
      </c>
      <c r="H1438" s="167"/>
      <c r="I1438" s="167"/>
      <c r="J1438" s="167"/>
      <c r="K1438" s="167"/>
      <c r="L1438" s="167"/>
      <c r="M1438" s="167"/>
      <c r="N1438" s="152"/>
    </row>
    <row r="1439" spans="1:15" s="3" customFormat="1" ht="9.9" customHeight="1">
      <c r="A1439" s="125"/>
      <c r="B1439" s="123"/>
      <c r="C1439" s="123"/>
      <c r="D1439" s="123"/>
      <c r="E1439" s="123"/>
      <c r="F1439" s="167"/>
      <c r="G1439" s="123"/>
      <c r="H1439" s="123"/>
      <c r="I1439" s="123"/>
      <c r="J1439" s="123"/>
      <c r="K1439" s="123"/>
      <c r="L1439" s="123"/>
      <c r="M1439" s="123"/>
      <c r="N1439" s="126"/>
    </row>
    <row r="1440" spans="1:15" s="3" customFormat="1" ht="42.75" customHeight="1">
      <c r="A1440" s="125" t="s">
        <v>1889</v>
      </c>
      <c r="B1440" s="123"/>
      <c r="C1440" s="123"/>
      <c r="D1440" s="123"/>
      <c r="E1440" s="123"/>
      <c r="F1440" s="167" t="s">
        <v>1885</v>
      </c>
      <c r="G1440" s="167" t="str">
        <f>PL!$B$13</f>
        <v>Branch of JSC "Doosan Enerbility" in the Turkestan region</v>
      </c>
      <c r="H1440" s="123"/>
      <c r="I1440" s="123"/>
      <c r="J1440" s="123"/>
      <c r="K1440" s="123"/>
      <c r="L1440" s="123"/>
      <c r="M1440" s="123"/>
      <c r="N1440" s="126"/>
    </row>
    <row r="1441" spans="1:14" s="3" customFormat="1" ht="24" customHeight="1">
      <c r="A1441" s="125" t="s">
        <v>1890</v>
      </c>
      <c r="B1441" s="123"/>
      <c r="C1441" s="123"/>
      <c r="D1441" s="123"/>
      <c r="E1441" s="123"/>
      <c r="F1441" s="168"/>
      <c r="G1441" s="167" t="str">
        <f>PL!$B$14</f>
        <v>321 Tauke Khan Avenue, Turkestan region, Turkestan, Kazakhstan, 161200</v>
      </c>
      <c r="H1441" s="123"/>
      <c r="I1441" s="123"/>
      <c r="J1441" s="123"/>
      <c r="K1441" s="123"/>
      <c r="L1441" s="123"/>
      <c r="M1441" s="123"/>
      <c r="N1441" s="126"/>
    </row>
    <row r="1442" spans="1:14" s="4" customFormat="1" ht="25.2">
      <c r="A1442" s="125"/>
      <c r="B1442" s="123"/>
      <c r="C1442" s="123"/>
      <c r="D1442" s="123"/>
      <c r="E1442" s="123"/>
      <c r="F1442" s="168"/>
      <c r="G1442" s="167" t="str">
        <f>PL!$B$15</f>
        <v>BIN: 230741006561</v>
      </c>
      <c r="H1442" s="123"/>
      <c r="I1442" s="123"/>
      <c r="J1442" s="123"/>
      <c r="K1442" s="123"/>
      <c r="L1442" s="123"/>
      <c r="M1442" s="123"/>
      <c r="N1442" s="126"/>
    </row>
    <row r="1443" spans="1:14" s="3" customFormat="1" ht="9.9" customHeight="1">
      <c r="A1443" s="125"/>
      <c r="B1443" s="123"/>
      <c r="C1443" s="123"/>
      <c r="D1443" s="123"/>
      <c r="E1443" s="123"/>
      <c r="F1443" s="169"/>
      <c r="G1443" s="169"/>
      <c r="H1443" s="123"/>
      <c r="I1443" s="123"/>
      <c r="J1443" s="123"/>
      <c r="K1443" s="123"/>
      <c r="L1443" s="123"/>
      <c r="M1443" s="123"/>
      <c r="N1443" s="126"/>
    </row>
    <row r="1444" spans="1:14" s="3" customFormat="1" ht="25.2">
      <c r="A1444" s="125" t="s">
        <v>1891</v>
      </c>
      <c r="B1444" s="123"/>
      <c r="C1444" s="123"/>
      <c r="D1444" s="123"/>
      <c r="E1444" s="123"/>
      <c r="F1444" s="167" t="s">
        <v>1892</v>
      </c>
      <c r="G1444" s="123"/>
      <c r="H1444" s="123"/>
      <c r="I1444" s="123"/>
      <c r="J1444" s="123"/>
      <c r="K1444" s="123"/>
      <c r="L1444" s="123"/>
      <c r="M1444" s="123"/>
      <c r="N1444" s="126"/>
    </row>
    <row r="1445" spans="1:14" s="4" customFormat="1" ht="25.2">
      <c r="A1445" s="125" t="s">
        <v>1893</v>
      </c>
      <c r="B1445" s="123"/>
      <c r="C1445" s="123"/>
      <c r="D1445" s="123"/>
      <c r="E1445" s="123"/>
      <c r="F1445" s="167" t="s">
        <v>1894</v>
      </c>
      <c r="G1445" s="123"/>
      <c r="H1445" s="123"/>
      <c r="I1445" s="123"/>
      <c r="J1445" s="123"/>
      <c r="K1445" s="123"/>
      <c r="L1445" s="123"/>
      <c r="M1445" s="123"/>
      <c r="N1445" s="126"/>
    </row>
    <row r="1446" spans="1:14" s="3" customFormat="1" ht="9.9" customHeight="1">
      <c r="A1446" s="125"/>
      <c r="B1446" s="123"/>
      <c r="C1446" s="123"/>
      <c r="D1446" s="123"/>
      <c r="E1446" s="123"/>
      <c r="F1446" s="167"/>
      <c r="G1446" s="123"/>
      <c r="H1446" s="123"/>
      <c r="I1446" s="123"/>
      <c r="J1446" s="123"/>
      <c r="K1446" s="123"/>
      <c r="L1446" s="123"/>
      <c r="M1446" s="123"/>
      <c r="N1446" s="126"/>
    </row>
    <row r="1447" spans="1:14" s="3" customFormat="1" ht="25.2">
      <c r="A1447" s="125" t="s">
        <v>1895</v>
      </c>
      <c r="B1447" s="123"/>
      <c r="C1447" s="123"/>
      <c r="D1447" s="123"/>
      <c r="E1447" s="123"/>
      <c r="F1447" s="167" t="s">
        <v>1896</v>
      </c>
      <c r="G1447" s="167" t="str">
        <f>PL!$V$8</f>
        <v>PGU-DE-0139-001</v>
      </c>
      <c r="H1447" s="123"/>
      <c r="I1447" s="123"/>
      <c r="J1447" s="123"/>
      <c r="K1447" s="123"/>
      <c r="L1447" s="123"/>
      <c r="M1447" s="123"/>
      <c r="N1447" s="126"/>
    </row>
    <row r="1448" spans="1:14" s="3" customFormat="1" ht="25.2">
      <c r="A1448" s="125" t="s">
        <v>1897</v>
      </c>
      <c r="B1448" s="123"/>
      <c r="C1448" s="123"/>
      <c r="D1448" s="123"/>
      <c r="E1448" s="123"/>
      <c r="F1448" s="167"/>
      <c r="G1448" s="123"/>
      <c r="H1448" s="123"/>
      <c r="I1448" s="123"/>
      <c r="J1448" s="123"/>
      <c r="K1448" s="123"/>
      <c r="L1448" s="123"/>
      <c r="M1448" s="123"/>
      <c r="N1448" s="126"/>
    </row>
    <row r="1449" spans="1:14" s="3" customFormat="1" ht="9.9" customHeight="1">
      <c r="A1449" s="125"/>
      <c r="B1449" s="123"/>
      <c r="C1449" s="123"/>
      <c r="D1449" s="123"/>
      <c r="E1449" s="123"/>
      <c r="F1449" s="167"/>
      <c r="G1449" s="123"/>
      <c r="H1449" s="123"/>
      <c r="I1449" s="123"/>
      <c r="J1449" s="123"/>
      <c r="K1449" s="123"/>
      <c r="L1449" s="123"/>
      <c r="M1449" s="123"/>
      <c r="N1449" s="126"/>
    </row>
    <row r="1450" spans="1:14" s="3" customFormat="1" ht="31.2" customHeight="1">
      <c r="A1450" s="127" t="s">
        <v>1898</v>
      </c>
      <c r="B1450" s="170"/>
      <c r="C1450" s="170"/>
      <c r="D1450" s="170"/>
      <c r="E1450" s="170"/>
      <c r="F1450" s="171" t="s">
        <v>1885</v>
      </c>
      <c r="G1450" s="597" t="e">
        <f>VLOOKUP(G1453, 'Detail PL'!$B$14:$Q$799,2)</f>
        <v>#N/A</v>
      </c>
      <c r="H1450" s="597"/>
      <c r="I1450" s="597"/>
      <c r="J1450" s="597"/>
      <c r="K1450" s="597"/>
      <c r="L1450" s="597"/>
      <c r="M1450" s="597"/>
      <c r="N1450" s="128"/>
    </row>
    <row r="1451" spans="1:14" s="3" customFormat="1" ht="25.2">
      <c r="A1451" s="127" t="s">
        <v>1899</v>
      </c>
      <c r="B1451" s="170"/>
      <c r="C1451" s="170"/>
      <c r="D1451" s="170"/>
      <c r="E1451" s="170"/>
      <c r="F1451" s="171"/>
      <c r="G1451" s="170"/>
      <c r="H1451" s="170"/>
      <c r="I1451" s="170"/>
      <c r="J1451" s="170"/>
      <c r="K1451" s="170"/>
      <c r="L1451" s="170"/>
      <c r="M1451" s="170"/>
      <c r="N1451" s="128"/>
    </row>
    <row r="1452" spans="1:14" s="3" customFormat="1" ht="9.9" customHeight="1">
      <c r="A1452" s="125"/>
      <c r="B1452" s="123"/>
      <c r="C1452" s="123"/>
      <c r="D1452" s="123"/>
      <c r="E1452" s="123"/>
      <c r="F1452" s="167"/>
      <c r="G1452" s="123"/>
      <c r="H1452" s="123"/>
      <c r="I1452" s="123"/>
      <c r="J1452" s="123"/>
      <c r="K1452" s="123"/>
      <c r="L1452" s="123"/>
      <c r="M1452" s="123"/>
      <c r="N1452" s="126"/>
    </row>
    <row r="1453" spans="1:14" s="3" customFormat="1" ht="25.2">
      <c r="A1453" s="125" t="s">
        <v>1900</v>
      </c>
      <c r="B1453" s="123"/>
      <c r="C1453" s="123"/>
      <c r="D1453" s="123"/>
      <c r="E1453" s="123"/>
      <c r="F1453" s="171" t="s">
        <v>1901</v>
      </c>
      <c r="G1453" s="604">
        <f t="shared" ref="G1453" si="39">G1418+1</f>
        <v>42</v>
      </c>
      <c r="H1453" s="604"/>
      <c r="I1453" s="604"/>
      <c r="J1453" s="604"/>
      <c r="K1453" s="604"/>
      <c r="L1453" s="123"/>
      <c r="M1453" s="123"/>
      <c r="N1453" s="126"/>
    </row>
    <row r="1454" spans="1:14" s="4" customFormat="1" ht="25.2">
      <c r="A1454" s="125" t="s">
        <v>1903</v>
      </c>
      <c r="B1454" s="123"/>
      <c r="C1454" s="123"/>
      <c r="D1454" s="123"/>
      <c r="E1454" s="123"/>
      <c r="F1454" s="167"/>
      <c r="G1454" s="167"/>
      <c r="H1454" s="123"/>
      <c r="I1454" s="123"/>
      <c r="J1454" s="123"/>
      <c r="K1454" s="123"/>
      <c r="L1454" s="123"/>
      <c r="M1454" s="123"/>
      <c r="N1454" s="126"/>
    </row>
    <row r="1455" spans="1:14" s="3" customFormat="1" ht="9.9" customHeight="1">
      <c r="A1455" s="125"/>
      <c r="B1455" s="123"/>
      <c r="C1455" s="123"/>
      <c r="D1455" s="123"/>
      <c r="E1455" s="123"/>
      <c r="F1455" s="167"/>
      <c r="G1455" s="167"/>
      <c r="H1455" s="123"/>
      <c r="I1455" s="123"/>
      <c r="J1455" s="123"/>
      <c r="K1455" s="123"/>
      <c r="L1455" s="123"/>
      <c r="M1455" s="123"/>
      <c r="N1455" s="126"/>
    </row>
    <row r="1456" spans="1:14" s="3" customFormat="1" ht="25.2">
      <c r="A1456" s="125" t="s">
        <v>1904</v>
      </c>
      <c r="B1456" s="123"/>
      <c r="C1456" s="123"/>
      <c r="D1456" s="123"/>
      <c r="E1456" s="123"/>
      <c r="F1456" s="167" t="s">
        <v>1896</v>
      </c>
      <c r="G1456" s="204" t="e">
        <f>VLOOKUP(G1453, 'Detail PL'!$B$14:$Q$799, 10)</f>
        <v>#N/A</v>
      </c>
      <c r="H1456" s="204" t="s">
        <v>1905</v>
      </c>
      <c r="I1456" s="204"/>
      <c r="J1456" s="204"/>
      <c r="K1456" s="123"/>
      <c r="L1456" s="123"/>
      <c r="M1456" s="123"/>
      <c r="N1456" s="126"/>
    </row>
    <row r="1457" spans="1:15" s="4" customFormat="1" ht="25.2">
      <c r="A1457" s="125" t="s">
        <v>1906</v>
      </c>
      <c r="B1457" s="123"/>
      <c r="C1457" s="123"/>
      <c r="D1457" s="123"/>
      <c r="E1457" s="123"/>
      <c r="F1457" s="167"/>
      <c r="G1457" s="167"/>
      <c r="H1457" s="167"/>
      <c r="I1457" s="123"/>
      <c r="J1457" s="123"/>
      <c r="K1457" s="123"/>
      <c r="L1457" s="123"/>
      <c r="M1457" s="123"/>
      <c r="N1457" s="126"/>
    </row>
    <row r="1458" spans="1:15" s="3" customFormat="1" ht="9.9" customHeight="1">
      <c r="A1458" s="125"/>
      <c r="B1458" s="123"/>
      <c r="C1458" s="123"/>
      <c r="D1458" s="123"/>
      <c r="E1458" s="123"/>
      <c r="F1458" s="167"/>
      <c r="G1458" s="167"/>
      <c r="H1458" s="167"/>
      <c r="I1458" s="123"/>
      <c r="J1458" s="123"/>
      <c r="K1458" s="123"/>
      <c r="L1458" s="123"/>
      <c r="M1458" s="123"/>
      <c r="N1458" s="126"/>
    </row>
    <row r="1459" spans="1:15" s="3" customFormat="1" ht="25.2">
      <c r="A1459" s="125" t="s">
        <v>1907</v>
      </c>
      <c r="B1459" s="123"/>
      <c r="C1459" s="123"/>
      <c r="D1459" s="123"/>
      <c r="E1459" s="123"/>
      <c r="F1459" s="167" t="s">
        <v>1896</v>
      </c>
      <c r="G1459" s="204" t="e">
        <f>VLOOKUP(G1453, 'Detail PL'!$B$14:$Q$799, 11)</f>
        <v>#N/A</v>
      </c>
      <c r="H1459" s="204" t="s">
        <v>1905</v>
      </c>
      <c r="I1459" s="204"/>
      <c r="J1459" s="204"/>
      <c r="K1459" s="123"/>
      <c r="L1459" s="123"/>
      <c r="M1459" s="123"/>
      <c r="N1459" s="126"/>
    </row>
    <row r="1460" spans="1:15" s="4" customFormat="1" ht="25.2">
      <c r="A1460" s="125" t="s">
        <v>1908</v>
      </c>
      <c r="B1460" s="123"/>
      <c r="C1460" s="123"/>
      <c r="D1460" s="123"/>
      <c r="E1460" s="123"/>
      <c r="F1460" s="167"/>
      <c r="G1460" s="167"/>
      <c r="H1460" s="123"/>
      <c r="I1460" s="123"/>
      <c r="J1460" s="123"/>
      <c r="K1460" s="123"/>
      <c r="L1460" s="123"/>
      <c r="M1460" s="123"/>
      <c r="N1460" s="126"/>
    </row>
    <row r="1461" spans="1:15" s="3" customFormat="1" ht="9.9" customHeight="1">
      <c r="A1461" s="125"/>
      <c r="B1461" s="123"/>
      <c r="C1461" s="123"/>
      <c r="D1461" s="123"/>
      <c r="E1461" s="123"/>
      <c r="F1461" s="167"/>
      <c r="G1461" s="167"/>
      <c r="H1461" s="123"/>
      <c r="I1461" s="123"/>
      <c r="J1461" s="123"/>
      <c r="K1461" s="123"/>
      <c r="L1461" s="123"/>
      <c r="M1461" s="123"/>
      <c r="N1461" s="126"/>
    </row>
    <row r="1462" spans="1:15" s="3" customFormat="1" ht="25.2">
      <c r="A1462" s="129" t="s">
        <v>1909</v>
      </c>
      <c r="B1462" s="123"/>
      <c r="C1462" s="123"/>
      <c r="D1462" s="123"/>
      <c r="E1462" s="123"/>
      <c r="F1462" s="167" t="s">
        <v>1896</v>
      </c>
      <c r="G1462" s="204" t="e">
        <f>VLOOKUP(G1453, 'Detail PL'!$B$14:$Q$799, 9)</f>
        <v>#N/A</v>
      </c>
      <c r="H1462" s="205" t="s">
        <v>1910</v>
      </c>
      <c r="I1462" s="203"/>
      <c r="J1462" s="203"/>
      <c r="K1462" s="172"/>
      <c r="L1462" s="123"/>
      <c r="M1462" s="123"/>
      <c r="N1462" s="126"/>
    </row>
    <row r="1463" spans="1:15" s="4" customFormat="1" ht="25.2">
      <c r="A1463" s="125" t="s">
        <v>1911</v>
      </c>
      <c r="B1463" s="123"/>
      <c r="C1463" s="123"/>
      <c r="D1463" s="123"/>
      <c r="E1463" s="123"/>
      <c r="F1463" s="167"/>
      <c r="G1463" s="167"/>
      <c r="H1463" s="123"/>
      <c r="I1463" s="123"/>
      <c r="J1463" s="123"/>
      <c r="K1463" s="123"/>
      <c r="L1463" s="123"/>
      <c r="M1463" s="123"/>
      <c r="N1463" s="126"/>
    </row>
    <row r="1464" spans="1:15" s="3" customFormat="1" ht="9.9" customHeight="1">
      <c r="A1464" s="125"/>
      <c r="B1464" s="123"/>
      <c r="C1464" s="123"/>
      <c r="D1464" s="123"/>
      <c r="E1464" s="123"/>
      <c r="F1464" s="167"/>
      <c r="G1464" s="167"/>
      <c r="H1464" s="123"/>
      <c r="I1464" s="123"/>
      <c r="J1464" s="123"/>
      <c r="K1464" s="123"/>
      <c r="L1464" s="123"/>
      <c r="M1464" s="123"/>
      <c r="N1464" s="126"/>
    </row>
    <row r="1465" spans="1:15" s="3" customFormat="1" ht="42" customHeight="1">
      <c r="A1465" s="125" t="s">
        <v>1912</v>
      </c>
      <c r="B1465" s="123"/>
      <c r="C1465" s="123"/>
      <c r="D1465" s="123"/>
      <c r="E1465" s="123"/>
      <c r="F1465" s="166" t="s">
        <v>1913</v>
      </c>
      <c r="G1465" s="595" t="s">
        <v>1914</v>
      </c>
      <c r="H1465" s="595"/>
      <c r="I1465" s="595"/>
      <c r="J1465" s="595"/>
      <c r="K1465" s="595"/>
      <c r="L1465" s="595"/>
      <c r="M1465" s="595"/>
      <c r="N1465" s="596"/>
    </row>
    <row r="1466" spans="1:15" s="4" customFormat="1" ht="25.8" thickBot="1">
      <c r="A1466" s="125" t="s">
        <v>1915</v>
      </c>
      <c r="B1466" s="123"/>
      <c r="C1466" s="123"/>
      <c r="D1466" s="123"/>
      <c r="E1466" s="123"/>
      <c r="F1466" s="167"/>
      <c r="G1466" s="167"/>
      <c r="H1466" s="123"/>
      <c r="I1466" s="123"/>
      <c r="J1466" s="123"/>
      <c r="K1466" s="123"/>
      <c r="L1466" s="123"/>
      <c r="M1466" s="123"/>
      <c r="N1466" s="126"/>
    </row>
    <row r="1467" spans="1:15" ht="21" customHeight="1">
      <c r="A1467" s="598" t="s">
        <v>1916</v>
      </c>
      <c r="B1467" s="599"/>
      <c r="C1467" s="599"/>
      <c r="D1467" s="599"/>
      <c r="E1467" s="599"/>
      <c r="F1467" s="599"/>
      <c r="G1467" s="599"/>
      <c r="H1467" s="599"/>
      <c r="I1467" s="599"/>
      <c r="J1467" s="599"/>
      <c r="K1467" s="599"/>
      <c r="L1467" s="599"/>
      <c r="M1467" s="599"/>
      <c r="N1467" s="600"/>
    </row>
    <row r="1468" spans="1:15" ht="25.5" customHeight="1" thickBot="1">
      <c r="A1468" s="601"/>
      <c r="B1468" s="602"/>
      <c r="C1468" s="602"/>
      <c r="D1468" s="602"/>
      <c r="E1468" s="602"/>
      <c r="F1468" s="602"/>
      <c r="G1468" s="602"/>
      <c r="H1468" s="602"/>
      <c r="I1468" s="602"/>
      <c r="J1468" s="602"/>
      <c r="K1468" s="602"/>
      <c r="L1468" s="602"/>
      <c r="M1468" s="602"/>
      <c r="N1468" s="603"/>
    </row>
    <row r="1469" spans="1:15" ht="25.5" customHeight="1">
      <c r="E1469" s="206"/>
      <c r="F1469" s="206"/>
      <c r="G1469" s="206"/>
      <c r="H1469" s="206"/>
      <c r="I1469" s="206"/>
      <c r="J1469" s="206"/>
      <c r="K1469" s="206"/>
    </row>
    <row r="1470" spans="1:15" ht="21.6" thickBot="1"/>
    <row r="1471" spans="1:15" ht="95.25" customHeight="1" thickBot="1">
      <c r="A1471" s="592" t="s">
        <v>1883</v>
      </c>
      <c r="B1471" s="593"/>
      <c r="C1471" s="593"/>
      <c r="D1471" s="593"/>
      <c r="E1471" s="593"/>
      <c r="F1471" s="593"/>
      <c r="G1471" s="593"/>
      <c r="H1471" s="593"/>
      <c r="I1471" s="593"/>
      <c r="J1471" s="593"/>
      <c r="K1471" s="593"/>
      <c r="L1471" s="593"/>
      <c r="M1471" s="593"/>
      <c r="N1471" s="594"/>
    </row>
    <row r="1472" spans="1:15" s="3" customFormat="1" ht="37.5" customHeight="1">
      <c r="A1472" s="134" t="s">
        <v>1884</v>
      </c>
      <c r="B1472" s="166"/>
      <c r="C1472" s="166"/>
      <c r="D1472" s="123"/>
      <c r="E1472" s="123"/>
      <c r="F1472" s="167" t="s">
        <v>1885</v>
      </c>
      <c r="G1472" s="167" t="s">
        <v>1886</v>
      </c>
      <c r="H1472" s="167"/>
      <c r="I1472" s="167"/>
      <c r="J1472" s="167"/>
      <c r="K1472" s="167"/>
      <c r="L1472" s="167"/>
      <c r="M1472" s="167"/>
      <c r="N1472" s="152"/>
      <c r="O1472" s="201"/>
    </row>
    <row r="1473" spans="1:14" s="4" customFormat="1" ht="25.2">
      <c r="A1473" s="125" t="s">
        <v>1887</v>
      </c>
      <c r="B1473" s="123"/>
      <c r="C1473" s="123"/>
      <c r="D1473" s="123"/>
      <c r="E1473" s="123"/>
      <c r="F1473" s="167"/>
      <c r="G1473" s="167" t="s">
        <v>1888</v>
      </c>
      <c r="H1473" s="167"/>
      <c r="I1473" s="167"/>
      <c r="J1473" s="167"/>
      <c r="K1473" s="167"/>
      <c r="L1473" s="167"/>
      <c r="M1473" s="167"/>
      <c r="N1473" s="152"/>
    </row>
    <row r="1474" spans="1:14" s="3" customFormat="1" ht="9.9" customHeight="1">
      <c r="A1474" s="125"/>
      <c r="B1474" s="123"/>
      <c r="C1474" s="123"/>
      <c r="D1474" s="123"/>
      <c r="E1474" s="123"/>
      <c r="F1474" s="167"/>
      <c r="G1474" s="123"/>
      <c r="H1474" s="123"/>
      <c r="I1474" s="123"/>
      <c r="J1474" s="123"/>
      <c r="K1474" s="123"/>
      <c r="L1474" s="123"/>
      <c r="M1474" s="123"/>
      <c r="N1474" s="126"/>
    </row>
    <row r="1475" spans="1:14" s="3" customFormat="1" ht="42.75" customHeight="1">
      <c r="A1475" s="125" t="s">
        <v>1889</v>
      </c>
      <c r="B1475" s="123"/>
      <c r="C1475" s="123"/>
      <c r="D1475" s="123"/>
      <c r="E1475" s="123"/>
      <c r="F1475" s="167" t="s">
        <v>1885</v>
      </c>
      <c r="G1475" s="167" t="str">
        <f>PL!$B$13</f>
        <v>Branch of JSC "Doosan Enerbility" in the Turkestan region</v>
      </c>
      <c r="H1475" s="123"/>
      <c r="I1475" s="123"/>
      <c r="J1475" s="123"/>
      <c r="K1475" s="123"/>
      <c r="L1475" s="123"/>
      <c r="M1475" s="123"/>
      <c r="N1475" s="126"/>
    </row>
    <row r="1476" spans="1:14" s="3" customFormat="1" ht="24" customHeight="1">
      <c r="A1476" s="125" t="s">
        <v>1890</v>
      </c>
      <c r="B1476" s="123"/>
      <c r="C1476" s="123"/>
      <c r="D1476" s="123"/>
      <c r="E1476" s="123"/>
      <c r="F1476" s="168"/>
      <c r="G1476" s="167" t="str">
        <f>PL!$B$14</f>
        <v>321 Tauke Khan Avenue, Turkestan region, Turkestan, Kazakhstan, 161200</v>
      </c>
      <c r="H1476" s="123"/>
      <c r="I1476" s="123"/>
      <c r="J1476" s="123"/>
      <c r="K1476" s="123"/>
      <c r="L1476" s="123"/>
      <c r="M1476" s="123"/>
      <c r="N1476" s="126"/>
    </row>
    <row r="1477" spans="1:14" s="4" customFormat="1" ht="25.2">
      <c r="A1477" s="125"/>
      <c r="B1477" s="123"/>
      <c r="C1477" s="123"/>
      <c r="D1477" s="123"/>
      <c r="E1477" s="123"/>
      <c r="F1477" s="168"/>
      <c r="G1477" s="167" t="str">
        <f>PL!$B$15</f>
        <v>BIN: 230741006561</v>
      </c>
      <c r="H1477" s="123"/>
      <c r="I1477" s="123"/>
      <c r="J1477" s="123"/>
      <c r="K1477" s="123"/>
      <c r="L1477" s="123"/>
      <c r="M1477" s="123"/>
      <c r="N1477" s="126"/>
    </row>
    <row r="1478" spans="1:14" s="3" customFormat="1" ht="9.9" customHeight="1">
      <c r="A1478" s="125"/>
      <c r="B1478" s="123"/>
      <c r="C1478" s="123"/>
      <c r="D1478" s="123"/>
      <c r="E1478" s="123"/>
      <c r="F1478" s="169"/>
      <c r="G1478" s="169"/>
      <c r="H1478" s="123"/>
      <c r="I1478" s="123"/>
      <c r="J1478" s="123"/>
      <c r="K1478" s="123"/>
      <c r="L1478" s="123"/>
      <c r="M1478" s="123"/>
      <c r="N1478" s="126"/>
    </row>
    <row r="1479" spans="1:14" s="3" customFormat="1" ht="25.2">
      <c r="A1479" s="125" t="s">
        <v>1891</v>
      </c>
      <c r="B1479" s="123"/>
      <c r="C1479" s="123"/>
      <c r="D1479" s="123"/>
      <c r="E1479" s="123"/>
      <c r="F1479" s="167" t="s">
        <v>1892</v>
      </c>
      <c r="G1479" s="123"/>
      <c r="H1479" s="123"/>
      <c r="I1479" s="123"/>
      <c r="J1479" s="123"/>
      <c r="K1479" s="123"/>
      <c r="L1479" s="123"/>
      <c r="M1479" s="123"/>
      <c r="N1479" s="126"/>
    </row>
    <row r="1480" spans="1:14" s="4" customFormat="1" ht="25.2">
      <c r="A1480" s="125" t="s">
        <v>1893</v>
      </c>
      <c r="B1480" s="123"/>
      <c r="C1480" s="123"/>
      <c r="D1480" s="123"/>
      <c r="E1480" s="123"/>
      <c r="F1480" s="167" t="s">
        <v>1894</v>
      </c>
      <c r="G1480" s="123"/>
      <c r="H1480" s="123"/>
      <c r="I1480" s="123"/>
      <c r="J1480" s="123"/>
      <c r="K1480" s="123"/>
      <c r="L1480" s="123"/>
      <c r="M1480" s="123"/>
      <c r="N1480" s="126"/>
    </row>
    <row r="1481" spans="1:14" s="3" customFormat="1" ht="9.9" customHeight="1">
      <c r="A1481" s="125"/>
      <c r="B1481" s="123"/>
      <c r="C1481" s="123"/>
      <c r="D1481" s="123"/>
      <c r="E1481" s="123"/>
      <c r="F1481" s="167"/>
      <c r="G1481" s="123"/>
      <c r="H1481" s="123"/>
      <c r="I1481" s="123"/>
      <c r="J1481" s="123"/>
      <c r="K1481" s="123"/>
      <c r="L1481" s="123"/>
      <c r="M1481" s="123"/>
      <c r="N1481" s="126"/>
    </row>
    <row r="1482" spans="1:14" s="3" customFormat="1" ht="25.2">
      <c r="A1482" s="125" t="s">
        <v>1895</v>
      </c>
      <c r="B1482" s="123"/>
      <c r="C1482" s="123"/>
      <c r="D1482" s="123"/>
      <c r="E1482" s="123"/>
      <c r="F1482" s="167" t="s">
        <v>1896</v>
      </c>
      <c r="G1482" s="167" t="str">
        <f>PL!$V$8</f>
        <v>PGU-DE-0139-001</v>
      </c>
      <c r="H1482" s="123"/>
      <c r="I1482" s="123"/>
      <c r="J1482" s="123"/>
      <c r="K1482" s="123"/>
      <c r="L1482" s="123"/>
      <c r="M1482" s="123"/>
      <c r="N1482" s="126"/>
    </row>
    <row r="1483" spans="1:14" s="3" customFormat="1" ht="25.2">
      <c r="A1483" s="125" t="s">
        <v>1897</v>
      </c>
      <c r="B1483" s="123"/>
      <c r="C1483" s="123"/>
      <c r="D1483" s="123"/>
      <c r="E1483" s="123"/>
      <c r="F1483" s="167"/>
      <c r="G1483" s="123"/>
      <c r="H1483" s="123"/>
      <c r="I1483" s="123"/>
      <c r="J1483" s="123"/>
      <c r="K1483" s="123"/>
      <c r="L1483" s="123"/>
      <c r="M1483" s="123"/>
      <c r="N1483" s="126"/>
    </row>
    <row r="1484" spans="1:14" s="3" customFormat="1" ht="9.9" customHeight="1">
      <c r="A1484" s="125"/>
      <c r="B1484" s="123"/>
      <c r="C1484" s="123"/>
      <c r="D1484" s="123"/>
      <c r="E1484" s="123"/>
      <c r="F1484" s="167"/>
      <c r="G1484" s="123"/>
      <c r="H1484" s="123"/>
      <c r="I1484" s="123"/>
      <c r="J1484" s="123"/>
      <c r="K1484" s="123"/>
      <c r="L1484" s="123"/>
      <c r="M1484" s="123"/>
      <c r="N1484" s="126"/>
    </row>
    <row r="1485" spans="1:14" s="3" customFormat="1" ht="31.2" customHeight="1">
      <c r="A1485" s="127" t="s">
        <v>1898</v>
      </c>
      <c r="B1485" s="170"/>
      <c r="C1485" s="170"/>
      <c r="D1485" s="170"/>
      <c r="E1485" s="170"/>
      <c r="F1485" s="171" t="s">
        <v>1885</v>
      </c>
      <c r="G1485" s="597" t="e">
        <f>VLOOKUP(G1488, 'Detail PL'!$B$14:$Q$799,2)</f>
        <v>#N/A</v>
      </c>
      <c r="H1485" s="597"/>
      <c r="I1485" s="597"/>
      <c r="J1485" s="597"/>
      <c r="K1485" s="597"/>
      <c r="L1485" s="597"/>
      <c r="M1485" s="597"/>
      <c r="N1485" s="128"/>
    </row>
    <row r="1486" spans="1:14" s="3" customFormat="1" ht="25.2">
      <c r="A1486" s="127" t="s">
        <v>1899</v>
      </c>
      <c r="B1486" s="170"/>
      <c r="C1486" s="170"/>
      <c r="D1486" s="170"/>
      <c r="E1486" s="170"/>
      <c r="F1486" s="171"/>
      <c r="G1486" s="170"/>
      <c r="H1486" s="170"/>
      <c r="I1486" s="170"/>
      <c r="J1486" s="170"/>
      <c r="K1486" s="170"/>
      <c r="L1486" s="170"/>
      <c r="M1486" s="170"/>
      <c r="N1486" s="128"/>
    </row>
    <row r="1487" spans="1:14" s="3" customFormat="1" ht="9.9" customHeight="1">
      <c r="A1487" s="125"/>
      <c r="B1487" s="123"/>
      <c r="C1487" s="123"/>
      <c r="D1487" s="123"/>
      <c r="E1487" s="123"/>
      <c r="F1487" s="167"/>
      <c r="G1487" s="123"/>
      <c r="H1487" s="123"/>
      <c r="I1487" s="123"/>
      <c r="J1487" s="123"/>
      <c r="K1487" s="123"/>
      <c r="L1487" s="123"/>
      <c r="M1487" s="123"/>
      <c r="N1487" s="126"/>
    </row>
    <row r="1488" spans="1:14" s="3" customFormat="1" ht="25.2">
      <c r="A1488" s="125" t="s">
        <v>1900</v>
      </c>
      <c r="B1488" s="123"/>
      <c r="C1488" s="123"/>
      <c r="D1488" s="123"/>
      <c r="E1488" s="123"/>
      <c r="F1488" s="171" t="s">
        <v>1901</v>
      </c>
      <c r="G1488" s="604">
        <f t="shared" ref="G1488" si="40">G1453+1</f>
        <v>43</v>
      </c>
      <c r="H1488" s="604"/>
      <c r="I1488" s="604"/>
      <c r="J1488" s="604"/>
      <c r="K1488" s="604"/>
      <c r="L1488" s="123"/>
      <c r="M1488" s="123"/>
      <c r="N1488" s="126"/>
    </row>
    <row r="1489" spans="1:14" s="4" customFormat="1" ht="25.2">
      <c r="A1489" s="125" t="s">
        <v>1903</v>
      </c>
      <c r="B1489" s="123"/>
      <c r="C1489" s="123"/>
      <c r="D1489" s="123"/>
      <c r="E1489" s="123"/>
      <c r="F1489" s="167"/>
      <c r="G1489" s="167"/>
      <c r="H1489" s="123"/>
      <c r="I1489" s="123"/>
      <c r="J1489" s="123"/>
      <c r="K1489" s="123"/>
      <c r="L1489" s="123"/>
      <c r="M1489" s="123"/>
      <c r="N1489" s="126"/>
    </row>
    <row r="1490" spans="1:14" s="3" customFormat="1" ht="9.9" customHeight="1">
      <c r="A1490" s="125"/>
      <c r="B1490" s="123"/>
      <c r="C1490" s="123"/>
      <c r="D1490" s="123"/>
      <c r="E1490" s="123"/>
      <c r="F1490" s="167"/>
      <c r="G1490" s="167"/>
      <c r="H1490" s="123"/>
      <c r="I1490" s="123"/>
      <c r="J1490" s="123"/>
      <c r="K1490" s="123"/>
      <c r="L1490" s="123"/>
      <c r="M1490" s="123"/>
      <c r="N1490" s="126"/>
    </row>
    <row r="1491" spans="1:14" s="3" customFormat="1" ht="25.2">
      <c r="A1491" s="125" t="s">
        <v>1904</v>
      </c>
      <c r="B1491" s="123"/>
      <c r="C1491" s="123"/>
      <c r="D1491" s="123"/>
      <c r="E1491" s="123"/>
      <c r="F1491" s="167" t="s">
        <v>1896</v>
      </c>
      <c r="G1491" s="204" t="e">
        <f>VLOOKUP(G1488, 'Detail PL'!$B$14:$Q$799, 10)</f>
        <v>#N/A</v>
      </c>
      <c r="H1491" s="204" t="s">
        <v>1905</v>
      </c>
      <c r="I1491" s="204"/>
      <c r="J1491" s="204"/>
      <c r="K1491" s="123"/>
      <c r="L1491" s="123"/>
      <c r="M1491" s="123"/>
      <c r="N1491" s="126"/>
    </row>
    <row r="1492" spans="1:14" s="4" customFormat="1" ht="25.2">
      <c r="A1492" s="125" t="s">
        <v>1906</v>
      </c>
      <c r="B1492" s="123"/>
      <c r="C1492" s="123"/>
      <c r="D1492" s="123"/>
      <c r="E1492" s="123"/>
      <c r="F1492" s="167"/>
      <c r="G1492" s="167"/>
      <c r="H1492" s="167"/>
      <c r="I1492" s="123"/>
      <c r="J1492" s="123"/>
      <c r="K1492" s="123"/>
      <c r="L1492" s="123"/>
      <c r="M1492" s="123"/>
      <c r="N1492" s="126"/>
    </row>
    <row r="1493" spans="1:14" s="3" customFormat="1" ht="9.9" customHeight="1">
      <c r="A1493" s="125"/>
      <c r="B1493" s="123"/>
      <c r="C1493" s="123"/>
      <c r="D1493" s="123"/>
      <c r="E1493" s="123"/>
      <c r="F1493" s="167"/>
      <c r="G1493" s="167"/>
      <c r="H1493" s="167"/>
      <c r="I1493" s="123"/>
      <c r="J1493" s="123"/>
      <c r="K1493" s="123"/>
      <c r="L1493" s="123"/>
      <c r="M1493" s="123"/>
      <c r="N1493" s="126"/>
    </row>
    <row r="1494" spans="1:14" s="3" customFormat="1" ht="25.2">
      <c r="A1494" s="125" t="s">
        <v>1907</v>
      </c>
      <c r="B1494" s="123"/>
      <c r="C1494" s="123"/>
      <c r="D1494" s="123"/>
      <c r="E1494" s="123"/>
      <c r="F1494" s="167" t="s">
        <v>1896</v>
      </c>
      <c r="G1494" s="204" t="e">
        <f>VLOOKUP(G1488, 'Detail PL'!$B$14:$Q$799, 11)</f>
        <v>#N/A</v>
      </c>
      <c r="H1494" s="204" t="s">
        <v>1905</v>
      </c>
      <c r="I1494" s="204"/>
      <c r="J1494" s="204"/>
      <c r="K1494" s="123"/>
      <c r="L1494" s="123"/>
      <c r="M1494" s="123"/>
      <c r="N1494" s="126"/>
    </row>
    <row r="1495" spans="1:14" s="4" customFormat="1" ht="25.2">
      <c r="A1495" s="125" t="s">
        <v>1908</v>
      </c>
      <c r="B1495" s="123"/>
      <c r="C1495" s="123"/>
      <c r="D1495" s="123"/>
      <c r="E1495" s="123"/>
      <c r="F1495" s="167"/>
      <c r="G1495" s="167"/>
      <c r="H1495" s="123"/>
      <c r="I1495" s="123"/>
      <c r="J1495" s="123"/>
      <c r="K1495" s="123"/>
      <c r="L1495" s="123"/>
      <c r="M1495" s="123"/>
      <c r="N1495" s="126"/>
    </row>
    <row r="1496" spans="1:14" s="3" customFormat="1" ht="9.9" customHeight="1">
      <c r="A1496" s="125"/>
      <c r="B1496" s="123"/>
      <c r="C1496" s="123"/>
      <c r="D1496" s="123"/>
      <c r="E1496" s="123"/>
      <c r="F1496" s="167"/>
      <c r="G1496" s="167"/>
      <c r="H1496" s="123"/>
      <c r="I1496" s="123"/>
      <c r="J1496" s="123"/>
      <c r="K1496" s="123"/>
      <c r="L1496" s="123"/>
      <c r="M1496" s="123"/>
      <c r="N1496" s="126"/>
    </row>
    <row r="1497" spans="1:14" s="3" customFormat="1" ht="25.2">
      <c r="A1497" s="129" t="s">
        <v>1909</v>
      </c>
      <c r="B1497" s="123"/>
      <c r="C1497" s="123"/>
      <c r="D1497" s="123"/>
      <c r="E1497" s="123"/>
      <c r="F1497" s="167" t="s">
        <v>1896</v>
      </c>
      <c r="G1497" s="204" t="e">
        <f>VLOOKUP(G1488, 'Detail PL'!$B$14:$Q$799, 9)</f>
        <v>#N/A</v>
      </c>
      <c r="H1497" s="205" t="s">
        <v>1910</v>
      </c>
      <c r="I1497" s="203"/>
      <c r="J1497" s="203"/>
      <c r="K1497" s="172"/>
      <c r="L1497" s="123"/>
      <c r="M1497" s="123"/>
      <c r="N1497" s="126"/>
    </row>
    <row r="1498" spans="1:14" s="4" customFormat="1" ht="25.2">
      <c r="A1498" s="125" t="s">
        <v>1911</v>
      </c>
      <c r="B1498" s="123"/>
      <c r="C1498" s="123"/>
      <c r="D1498" s="123"/>
      <c r="E1498" s="123"/>
      <c r="F1498" s="167"/>
      <c r="G1498" s="167"/>
      <c r="H1498" s="123"/>
      <c r="I1498" s="123"/>
      <c r="J1498" s="123"/>
      <c r="K1498" s="123"/>
      <c r="L1498" s="123"/>
      <c r="M1498" s="123"/>
      <c r="N1498" s="126"/>
    </row>
    <row r="1499" spans="1:14" s="3" customFormat="1" ht="9.9" customHeight="1">
      <c r="A1499" s="125"/>
      <c r="B1499" s="123"/>
      <c r="C1499" s="123"/>
      <c r="D1499" s="123"/>
      <c r="E1499" s="123"/>
      <c r="F1499" s="167"/>
      <c r="G1499" s="167"/>
      <c r="H1499" s="123"/>
      <c r="I1499" s="123"/>
      <c r="J1499" s="123"/>
      <c r="K1499" s="123"/>
      <c r="L1499" s="123"/>
      <c r="M1499" s="123"/>
      <c r="N1499" s="126"/>
    </row>
    <row r="1500" spans="1:14" s="3" customFormat="1" ht="42" customHeight="1">
      <c r="A1500" s="125" t="s">
        <v>1912</v>
      </c>
      <c r="B1500" s="123"/>
      <c r="C1500" s="123"/>
      <c r="D1500" s="123"/>
      <c r="E1500" s="123"/>
      <c r="F1500" s="166" t="s">
        <v>1913</v>
      </c>
      <c r="G1500" s="595" t="s">
        <v>1914</v>
      </c>
      <c r="H1500" s="595"/>
      <c r="I1500" s="595"/>
      <c r="J1500" s="595"/>
      <c r="K1500" s="595"/>
      <c r="L1500" s="595"/>
      <c r="M1500" s="595"/>
      <c r="N1500" s="596"/>
    </row>
    <row r="1501" spans="1:14" s="4" customFormat="1" ht="25.8" thickBot="1">
      <c r="A1501" s="125" t="s">
        <v>1915</v>
      </c>
      <c r="B1501" s="123"/>
      <c r="C1501" s="123"/>
      <c r="D1501" s="123"/>
      <c r="E1501" s="123"/>
      <c r="F1501" s="167"/>
      <c r="G1501" s="167"/>
      <c r="H1501" s="123"/>
      <c r="I1501" s="123"/>
      <c r="J1501" s="123"/>
      <c r="K1501" s="123"/>
      <c r="L1501" s="123"/>
      <c r="M1501" s="123"/>
      <c r="N1501" s="126"/>
    </row>
    <row r="1502" spans="1:14" ht="21" customHeight="1">
      <c r="A1502" s="598" t="s">
        <v>1916</v>
      </c>
      <c r="B1502" s="599"/>
      <c r="C1502" s="599"/>
      <c r="D1502" s="599"/>
      <c r="E1502" s="599"/>
      <c r="F1502" s="599"/>
      <c r="G1502" s="599"/>
      <c r="H1502" s="599"/>
      <c r="I1502" s="599"/>
      <c r="J1502" s="599"/>
      <c r="K1502" s="599"/>
      <c r="L1502" s="599"/>
      <c r="M1502" s="599"/>
      <c r="N1502" s="600"/>
    </row>
    <row r="1503" spans="1:14" ht="25.5" customHeight="1" thickBot="1">
      <c r="A1503" s="601"/>
      <c r="B1503" s="602"/>
      <c r="C1503" s="602"/>
      <c r="D1503" s="602"/>
      <c r="E1503" s="602"/>
      <c r="F1503" s="602"/>
      <c r="G1503" s="602"/>
      <c r="H1503" s="602"/>
      <c r="I1503" s="602"/>
      <c r="J1503" s="602"/>
      <c r="K1503" s="602"/>
      <c r="L1503" s="602"/>
      <c r="M1503" s="602"/>
      <c r="N1503" s="603"/>
    </row>
    <row r="1504" spans="1:14" ht="25.5" customHeight="1">
      <c r="E1504" s="206"/>
      <c r="F1504" s="206"/>
      <c r="G1504" s="206"/>
      <c r="H1504" s="206"/>
      <c r="I1504" s="206"/>
      <c r="J1504" s="206"/>
      <c r="K1504" s="206"/>
    </row>
    <row r="1505" spans="1:15" ht="21.6" thickBot="1"/>
    <row r="1506" spans="1:15" ht="95.25" customHeight="1" thickBot="1">
      <c r="A1506" s="592" t="s">
        <v>1883</v>
      </c>
      <c r="B1506" s="593"/>
      <c r="C1506" s="593"/>
      <c r="D1506" s="593"/>
      <c r="E1506" s="593"/>
      <c r="F1506" s="593"/>
      <c r="G1506" s="593"/>
      <c r="H1506" s="593"/>
      <c r="I1506" s="593"/>
      <c r="J1506" s="593"/>
      <c r="K1506" s="593"/>
      <c r="L1506" s="593"/>
      <c r="M1506" s="593"/>
      <c r="N1506" s="594"/>
    </row>
    <row r="1507" spans="1:15" s="3" customFormat="1" ht="37.5" customHeight="1">
      <c r="A1507" s="134" t="s">
        <v>1884</v>
      </c>
      <c r="B1507" s="166"/>
      <c r="C1507" s="166"/>
      <c r="D1507" s="123"/>
      <c r="E1507" s="123"/>
      <c r="F1507" s="167" t="s">
        <v>1885</v>
      </c>
      <c r="G1507" s="167" t="s">
        <v>1886</v>
      </c>
      <c r="H1507" s="167"/>
      <c r="I1507" s="167"/>
      <c r="J1507" s="167"/>
      <c r="K1507" s="167"/>
      <c r="L1507" s="167"/>
      <c r="M1507" s="167"/>
      <c r="N1507" s="152"/>
      <c r="O1507" s="201"/>
    </row>
    <row r="1508" spans="1:15" s="4" customFormat="1" ht="25.2">
      <c r="A1508" s="125" t="s">
        <v>1887</v>
      </c>
      <c r="B1508" s="123"/>
      <c r="C1508" s="123"/>
      <c r="D1508" s="123"/>
      <c r="E1508" s="123"/>
      <c r="F1508" s="167"/>
      <c r="G1508" s="167" t="s">
        <v>1888</v>
      </c>
      <c r="H1508" s="167"/>
      <c r="I1508" s="167"/>
      <c r="J1508" s="167"/>
      <c r="K1508" s="167"/>
      <c r="L1508" s="167"/>
      <c r="M1508" s="167"/>
      <c r="N1508" s="152"/>
    </row>
    <row r="1509" spans="1:15" s="3" customFormat="1" ht="9.9" customHeight="1">
      <c r="A1509" s="125"/>
      <c r="B1509" s="123"/>
      <c r="C1509" s="123"/>
      <c r="D1509" s="123"/>
      <c r="E1509" s="123"/>
      <c r="F1509" s="167"/>
      <c r="G1509" s="123"/>
      <c r="H1509" s="123"/>
      <c r="I1509" s="123"/>
      <c r="J1509" s="123"/>
      <c r="K1509" s="123"/>
      <c r="L1509" s="123"/>
      <c r="M1509" s="123"/>
      <c r="N1509" s="126"/>
    </row>
    <row r="1510" spans="1:15" s="3" customFormat="1" ht="42.75" customHeight="1">
      <c r="A1510" s="125" t="s">
        <v>1889</v>
      </c>
      <c r="B1510" s="123"/>
      <c r="C1510" s="123"/>
      <c r="D1510" s="123"/>
      <c r="E1510" s="123"/>
      <c r="F1510" s="167" t="s">
        <v>1885</v>
      </c>
      <c r="G1510" s="167" t="str">
        <f>PL!$B$13</f>
        <v>Branch of JSC "Doosan Enerbility" in the Turkestan region</v>
      </c>
      <c r="H1510" s="123"/>
      <c r="I1510" s="123"/>
      <c r="J1510" s="123"/>
      <c r="K1510" s="123"/>
      <c r="L1510" s="123"/>
      <c r="M1510" s="123"/>
      <c r="N1510" s="126"/>
    </row>
    <row r="1511" spans="1:15" s="3" customFormat="1" ht="24" customHeight="1">
      <c r="A1511" s="125" t="s">
        <v>1890</v>
      </c>
      <c r="B1511" s="123"/>
      <c r="C1511" s="123"/>
      <c r="D1511" s="123"/>
      <c r="E1511" s="123"/>
      <c r="F1511" s="168"/>
      <c r="G1511" s="167" t="str">
        <f>PL!$B$14</f>
        <v>321 Tauke Khan Avenue, Turkestan region, Turkestan, Kazakhstan, 161200</v>
      </c>
      <c r="H1511" s="123"/>
      <c r="I1511" s="123"/>
      <c r="J1511" s="123"/>
      <c r="K1511" s="123"/>
      <c r="L1511" s="123"/>
      <c r="M1511" s="123"/>
      <c r="N1511" s="126"/>
    </row>
    <row r="1512" spans="1:15" s="4" customFormat="1" ht="25.2">
      <c r="A1512" s="125"/>
      <c r="B1512" s="123"/>
      <c r="C1512" s="123"/>
      <c r="D1512" s="123"/>
      <c r="E1512" s="123"/>
      <c r="F1512" s="168"/>
      <c r="G1512" s="167" t="str">
        <f>PL!$B$15</f>
        <v>BIN: 230741006561</v>
      </c>
      <c r="H1512" s="123"/>
      <c r="I1512" s="123"/>
      <c r="J1512" s="123"/>
      <c r="K1512" s="123"/>
      <c r="L1512" s="123"/>
      <c r="M1512" s="123"/>
      <c r="N1512" s="126"/>
    </row>
    <row r="1513" spans="1:15" s="3" customFormat="1" ht="9.9" customHeight="1">
      <c r="A1513" s="125"/>
      <c r="B1513" s="123"/>
      <c r="C1513" s="123"/>
      <c r="D1513" s="123"/>
      <c r="E1513" s="123"/>
      <c r="F1513" s="169"/>
      <c r="G1513" s="169"/>
      <c r="H1513" s="123"/>
      <c r="I1513" s="123"/>
      <c r="J1513" s="123"/>
      <c r="K1513" s="123"/>
      <c r="L1513" s="123"/>
      <c r="M1513" s="123"/>
      <c r="N1513" s="126"/>
    </row>
    <row r="1514" spans="1:15" s="3" customFormat="1" ht="25.2">
      <c r="A1514" s="125" t="s">
        <v>1891</v>
      </c>
      <c r="B1514" s="123"/>
      <c r="C1514" s="123"/>
      <c r="D1514" s="123"/>
      <c r="E1514" s="123"/>
      <c r="F1514" s="167" t="s">
        <v>1892</v>
      </c>
      <c r="G1514" s="123"/>
      <c r="H1514" s="123"/>
      <c r="I1514" s="123"/>
      <c r="J1514" s="123"/>
      <c r="K1514" s="123"/>
      <c r="L1514" s="123"/>
      <c r="M1514" s="123"/>
      <c r="N1514" s="126"/>
    </row>
    <row r="1515" spans="1:15" s="4" customFormat="1" ht="25.2">
      <c r="A1515" s="125" t="s">
        <v>1893</v>
      </c>
      <c r="B1515" s="123"/>
      <c r="C1515" s="123"/>
      <c r="D1515" s="123"/>
      <c r="E1515" s="123"/>
      <c r="F1515" s="167" t="s">
        <v>1894</v>
      </c>
      <c r="G1515" s="123"/>
      <c r="H1515" s="123"/>
      <c r="I1515" s="123"/>
      <c r="J1515" s="123"/>
      <c r="K1515" s="123"/>
      <c r="L1515" s="123"/>
      <c r="M1515" s="123"/>
      <c r="N1515" s="126"/>
    </row>
    <row r="1516" spans="1:15" s="3" customFormat="1" ht="9.9" customHeight="1">
      <c r="A1516" s="125"/>
      <c r="B1516" s="123"/>
      <c r="C1516" s="123"/>
      <c r="D1516" s="123"/>
      <c r="E1516" s="123"/>
      <c r="F1516" s="167"/>
      <c r="G1516" s="123"/>
      <c r="H1516" s="123"/>
      <c r="I1516" s="123"/>
      <c r="J1516" s="123"/>
      <c r="K1516" s="123"/>
      <c r="L1516" s="123"/>
      <c r="M1516" s="123"/>
      <c r="N1516" s="126"/>
    </row>
    <row r="1517" spans="1:15" s="3" customFormat="1" ht="25.2">
      <c r="A1517" s="125" t="s">
        <v>1895</v>
      </c>
      <c r="B1517" s="123"/>
      <c r="C1517" s="123"/>
      <c r="D1517" s="123"/>
      <c r="E1517" s="123"/>
      <c r="F1517" s="167" t="s">
        <v>1896</v>
      </c>
      <c r="G1517" s="167" t="str">
        <f>PL!$V$8</f>
        <v>PGU-DE-0139-001</v>
      </c>
      <c r="H1517" s="123"/>
      <c r="I1517" s="123"/>
      <c r="J1517" s="123"/>
      <c r="K1517" s="123"/>
      <c r="L1517" s="123"/>
      <c r="M1517" s="123"/>
      <c r="N1517" s="126"/>
    </row>
    <row r="1518" spans="1:15" s="3" customFormat="1" ht="25.2">
      <c r="A1518" s="125" t="s">
        <v>1897</v>
      </c>
      <c r="B1518" s="123"/>
      <c r="C1518" s="123"/>
      <c r="D1518" s="123"/>
      <c r="E1518" s="123"/>
      <c r="F1518" s="167"/>
      <c r="G1518" s="123"/>
      <c r="H1518" s="123"/>
      <c r="I1518" s="123"/>
      <c r="J1518" s="123"/>
      <c r="K1518" s="123"/>
      <c r="L1518" s="123"/>
      <c r="M1518" s="123"/>
      <c r="N1518" s="126"/>
    </row>
    <row r="1519" spans="1:15" s="3" customFormat="1" ht="9.9" customHeight="1">
      <c r="A1519" s="125"/>
      <c r="B1519" s="123"/>
      <c r="C1519" s="123"/>
      <c r="D1519" s="123"/>
      <c r="E1519" s="123"/>
      <c r="F1519" s="167"/>
      <c r="G1519" s="123"/>
      <c r="H1519" s="123"/>
      <c r="I1519" s="123"/>
      <c r="J1519" s="123"/>
      <c r="K1519" s="123"/>
      <c r="L1519" s="123"/>
      <c r="M1519" s="123"/>
      <c r="N1519" s="126"/>
    </row>
    <row r="1520" spans="1:15" s="3" customFormat="1" ht="31.2" customHeight="1">
      <c r="A1520" s="127" t="s">
        <v>1898</v>
      </c>
      <c r="B1520" s="170"/>
      <c r="C1520" s="170"/>
      <c r="D1520" s="170"/>
      <c r="E1520" s="170"/>
      <c r="F1520" s="171" t="s">
        <v>1885</v>
      </c>
      <c r="G1520" s="597" t="e">
        <f>VLOOKUP(G1523, 'Detail PL'!$B$14:$Q$799,2)</f>
        <v>#N/A</v>
      </c>
      <c r="H1520" s="597"/>
      <c r="I1520" s="597"/>
      <c r="J1520" s="597"/>
      <c r="K1520" s="597"/>
      <c r="L1520" s="597"/>
      <c r="M1520" s="597"/>
      <c r="N1520" s="128"/>
    </row>
    <row r="1521" spans="1:14" s="3" customFormat="1" ht="25.2">
      <c r="A1521" s="127" t="s">
        <v>1899</v>
      </c>
      <c r="B1521" s="170"/>
      <c r="C1521" s="170"/>
      <c r="D1521" s="170"/>
      <c r="E1521" s="170"/>
      <c r="F1521" s="171"/>
      <c r="G1521" s="170"/>
      <c r="H1521" s="170"/>
      <c r="I1521" s="170"/>
      <c r="J1521" s="170"/>
      <c r="K1521" s="170"/>
      <c r="L1521" s="170"/>
      <c r="M1521" s="170"/>
      <c r="N1521" s="128"/>
    </row>
    <row r="1522" spans="1:14" s="3" customFormat="1" ht="9.9" customHeight="1">
      <c r="A1522" s="125"/>
      <c r="B1522" s="123"/>
      <c r="C1522" s="123"/>
      <c r="D1522" s="123"/>
      <c r="E1522" s="123"/>
      <c r="F1522" s="167"/>
      <c r="G1522" s="123"/>
      <c r="H1522" s="123"/>
      <c r="I1522" s="123"/>
      <c r="J1522" s="123"/>
      <c r="K1522" s="123"/>
      <c r="L1522" s="123"/>
      <c r="M1522" s="123"/>
      <c r="N1522" s="126"/>
    </row>
    <row r="1523" spans="1:14" s="3" customFormat="1" ht="25.2">
      <c r="A1523" s="125" t="s">
        <v>1900</v>
      </c>
      <c r="B1523" s="123"/>
      <c r="C1523" s="123"/>
      <c r="D1523" s="123"/>
      <c r="E1523" s="123"/>
      <c r="F1523" s="171" t="s">
        <v>1901</v>
      </c>
      <c r="G1523" s="604">
        <f t="shared" ref="G1523" si="41">G1488+1</f>
        <v>44</v>
      </c>
      <c r="H1523" s="604"/>
      <c r="I1523" s="604"/>
      <c r="J1523" s="604"/>
      <c r="K1523" s="604"/>
      <c r="L1523" s="123"/>
      <c r="M1523" s="123"/>
      <c r="N1523" s="126"/>
    </row>
    <row r="1524" spans="1:14" s="4" customFormat="1" ht="25.2">
      <c r="A1524" s="125" t="s">
        <v>1903</v>
      </c>
      <c r="B1524" s="123"/>
      <c r="C1524" s="123"/>
      <c r="D1524" s="123"/>
      <c r="E1524" s="123"/>
      <c r="F1524" s="167"/>
      <c r="G1524" s="167"/>
      <c r="H1524" s="123"/>
      <c r="I1524" s="123"/>
      <c r="J1524" s="123"/>
      <c r="K1524" s="123"/>
      <c r="L1524" s="123"/>
      <c r="M1524" s="123"/>
      <c r="N1524" s="126"/>
    </row>
    <row r="1525" spans="1:14" s="3" customFormat="1" ht="9.9" customHeight="1">
      <c r="A1525" s="125"/>
      <c r="B1525" s="123"/>
      <c r="C1525" s="123"/>
      <c r="D1525" s="123"/>
      <c r="E1525" s="123"/>
      <c r="F1525" s="167"/>
      <c r="G1525" s="167"/>
      <c r="H1525" s="123"/>
      <c r="I1525" s="123"/>
      <c r="J1525" s="123"/>
      <c r="K1525" s="123"/>
      <c r="L1525" s="123"/>
      <c r="M1525" s="123"/>
      <c r="N1525" s="126"/>
    </row>
    <row r="1526" spans="1:14" s="3" customFormat="1" ht="25.2">
      <c r="A1526" s="125" t="s">
        <v>1904</v>
      </c>
      <c r="B1526" s="123"/>
      <c r="C1526" s="123"/>
      <c r="D1526" s="123"/>
      <c r="E1526" s="123"/>
      <c r="F1526" s="167" t="s">
        <v>1896</v>
      </c>
      <c r="G1526" s="204" t="e">
        <f>VLOOKUP(G1523, 'Detail PL'!$B$14:$Q$799, 10)</f>
        <v>#N/A</v>
      </c>
      <c r="H1526" s="204" t="s">
        <v>1905</v>
      </c>
      <c r="I1526" s="204"/>
      <c r="J1526" s="204"/>
      <c r="K1526" s="123"/>
      <c r="L1526" s="123"/>
      <c r="M1526" s="123"/>
      <c r="N1526" s="126"/>
    </row>
    <row r="1527" spans="1:14" s="4" customFormat="1" ht="25.2">
      <c r="A1527" s="125" t="s">
        <v>1906</v>
      </c>
      <c r="B1527" s="123"/>
      <c r="C1527" s="123"/>
      <c r="D1527" s="123"/>
      <c r="E1527" s="123"/>
      <c r="F1527" s="167"/>
      <c r="G1527" s="167"/>
      <c r="H1527" s="167"/>
      <c r="I1527" s="123"/>
      <c r="J1527" s="123"/>
      <c r="K1527" s="123"/>
      <c r="L1527" s="123"/>
      <c r="M1527" s="123"/>
      <c r="N1527" s="126"/>
    </row>
    <row r="1528" spans="1:14" s="3" customFormat="1" ht="9.9" customHeight="1">
      <c r="A1528" s="125"/>
      <c r="B1528" s="123"/>
      <c r="C1528" s="123"/>
      <c r="D1528" s="123"/>
      <c r="E1528" s="123"/>
      <c r="F1528" s="167"/>
      <c r="G1528" s="167"/>
      <c r="H1528" s="167"/>
      <c r="I1528" s="123"/>
      <c r="J1528" s="123"/>
      <c r="K1528" s="123"/>
      <c r="L1528" s="123"/>
      <c r="M1528" s="123"/>
      <c r="N1528" s="126"/>
    </row>
    <row r="1529" spans="1:14" s="3" customFormat="1" ht="25.2">
      <c r="A1529" s="125" t="s">
        <v>1907</v>
      </c>
      <c r="B1529" s="123"/>
      <c r="C1529" s="123"/>
      <c r="D1529" s="123"/>
      <c r="E1529" s="123"/>
      <c r="F1529" s="167" t="s">
        <v>1896</v>
      </c>
      <c r="G1529" s="204" t="e">
        <f>VLOOKUP(G1523, 'Detail PL'!$B$14:$Q$799, 11)</f>
        <v>#N/A</v>
      </c>
      <c r="H1529" s="204" t="s">
        <v>1905</v>
      </c>
      <c r="I1529" s="204"/>
      <c r="J1529" s="204"/>
      <c r="K1529" s="123"/>
      <c r="L1529" s="123"/>
      <c r="M1529" s="123"/>
      <c r="N1529" s="126"/>
    </row>
    <row r="1530" spans="1:14" s="4" customFormat="1" ht="25.2">
      <c r="A1530" s="125" t="s">
        <v>1908</v>
      </c>
      <c r="B1530" s="123"/>
      <c r="C1530" s="123"/>
      <c r="D1530" s="123"/>
      <c r="E1530" s="123"/>
      <c r="F1530" s="167"/>
      <c r="G1530" s="167"/>
      <c r="H1530" s="123"/>
      <c r="I1530" s="123"/>
      <c r="J1530" s="123"/>
      <c r="K1530" s="123"/>
      <c r="L1530" s="123"/>
      <c r="M1530" s="123"/>
      <c r="N1530" s="126"/>
    </row>
    <row r="1531" spans="1:14" s="3" customFormat="1" ht="9.9" customHeight="1">
      <c r="A1531" s="125"/>
      <c r="B1531" s="123"/>
      <c r="C1531" s="123"/>
      <c r="D1531" s="123"/>
      <c r="E1531" s="123"/>
      <c r="F1531" s="167"/>
      <c r="G1531" s="167"/>
      <c r="H1531" s="123"/>
      <c r="I1531" s="123"/>
      <c r="J1531" s="123"/>
      <c r="K1531" s="123"/>
      <c r="L1531" s="123"/>
      <c r="M1531" s="123"/>
      <c r="N1531" s="126"/>
    </row>
    <row r="1532" spans="1:14" s="3" customFormat="1" ht="25.2">
      <c r="A1532" s="129" t="s">
        <v>1909</v>
      </c>
      <c r="B1532" s="123"/>
      <c r="C1532" s="123"/>
      <c r="D1532" s="123"/>
      <c r="E1532" s="123"/>
      <c r="F1532" s="167" t="s">
        <v>1896</v>
      </c>
      <c r="G1532" s="204" t="e">
        <f>VLOOKUP(G1523, 'Detail PL'!$B$14:$Q$799, 9)</f>
        <v>#N/A</v>
      </c>
      <c r="H1532" s="205" t="s">
        <v>1910</v>
      </c>
      <c r="I1532" s="203"/>
      <c r="J1532" s="203"/>
      <c r="K1532" s="172"/>
      <c r="L1532" s="123"/>
      <c r="M1532" s="123"/>
      <c r="N1532" s="126"/>
    </row>
    <row r="1533" spans="1:14" s="4" customFormat="1" ht="25.2">
      <c r="A1533" s="125" t="s">
        <v>1911</v>
      </c>
      <c r="B1533" s="123"/>
      <c r="C1533" s="123"/>
      <c r="D1533" s="123"/>
      <c r="E1533" s="123"/>
      <c r="F1533" s="167"/>
      <c r="G1533" s="167"/>
      <c r="H1533" s="123"/>
      <c r="I1533" s="123"/>
      <c r="J1533" s="123"/>
      <c r="K1533" s="123"/>
      <c r="L1533" s="123"/>
      <c r="M1533" s="123"/>
      <c r="N1533" s="126"/>
    </row>
    <row r="1534" spans="1:14" s="3" customFormat="1" ht="9.9" customHeight="1">
      <c r="A1534" s="125"/>
      <c r="B1534" s="123"/>
      <c r="C1534" s="123"/>
      <c r="D1534" s="123"/>
      <c r="E1534" s="123"/>
      <c r="F1534" s="167"/>
      <c r="G1534" s="167"/>
      <c r="H1534" s="123"/>
      <c r="I1534" s="123"/>
      <c r="J1534" s="123"/>
      <c r="K1534" s="123"/>
      <c r="L1534" s="123"/>
      <c r="M1534" s="123"/>
      <c r="N1534" s="126"/>
    </row>
    <row r="1535" spans="1:14" s="3" customFormat="1" ht="42" customHeight="1">
      <c r="A1535" s="125" t="s">
        <v>1912</v>
      </c>
      <c r="B1535" s="123"/>
      <c r="C1535" s="123"/>
      <c r="D1535" s="123"/>
      <c r="E1535" s="123"/>
      <c r="F1535" s="166" t="s">
        <v>1913</v>
      </c>
      <c r="G1535" s="595" t="s">
        <v>1914</v>
      </c>
      <c r="H1535" s="595"/>
      <c r="I1535" s="595"/>
      <c r="J1535" s="595"/>
      <c r="K1535" s="595"/>
      <c r="L1535" s="595"/>
      <c r="M1535" s="595"/>
      <c r="N1535" s="596"/>
    </row>
    <row r="1536" spans="1:14" s="4" customFormat="1" ht="25.8" thickBot="1">
      <c r="A1536" s="125" t="s">
        <v>1915</v>
      </c>
      <c r="B1536" s="123"/>
      <c r="C1536" s="123"/>
      <c r="D1536" s="123"/>
      <c r="E1536" s="123"/>
      <c r="F1536" s="167"/>
      <c r="G1536" s="167"/>
      <c r="H1536" s="123"/>
      <c r="I1536" s="123"/>
      <c r="J1536" s="123"/>
      <c r="K1536" s="123"/>
      <c r="L1536" s="123"/>
      <c r="M1536" s="123"/>
      <c r="N1536" s="126"/>
    </row>
    <row r="1537" spans="1:15" ht="21" customHeight="1">
      <c r="A1537" s="598" t="s">
        <v>1916</v>
      </c>
      <c r="B1537" s="599"/>
      <c r="C1537" s="599"/>
      <c r="D1537" s="599"/>
      <c r="E1537" s="599"/>
      <c r="F1537" s="599"/>
      <c r="G1537" s="599"/>
      <c r="H1537" s="599"/>
      <c r="I1537" s="599"/>
      <c r="J1537" s="599"/>
      <c r="K1537" s="599"/>
      <c r="L1537" s="599"/>
      <c r="M1537" s="599"/>
      <c r="N1537" s="600"/>
    </row>
    <row r="1538" spans="1:15" ht="25.5" customHeight="1" thickBot="1">
      <c r="A1538" s="601"/>
      <c r="B1538" s="602"/>
      <c r="C1538" s="602"/>
      <c r="D1538" s="602"/>
      <c r="E1538" s="602"/>
      <c r="F1538" s="602"/>
      <c r="G1538" s="602"/>
      <c r="H1538" s="602"/>
      <c r="I1538" s="602"/>
      <c r="J1538" s="602"/>
      <c r="K1538" s="602"/>
      <c r="L1538" s="602"/>
      <c r="M1538" s="602"/>
      <c r="N1538" s="603"/>
    </row>
    <row r="1539" spans="1:15" ht="25.5" customHeight="1">
      <c r="E1539" s="206"/>
      <c r="F1539" s="206"/>
      <c r="G1539" s="206"/>
      <c r="H1539" s="206"/>
      <c r="I1539" s="206"/>
      <c r="J1539" s="206"/>
      <c r="K1539" s="206"/>
    </row>
    <row r="1540" spans="1:15" ht="21.6" thickBot="1"/>
    <row r="1541" spans="1:15" ht="95.25" customHeight="1" thickBot="1">
      <c r="A1541" s="592" t="s">
        <v>1883</v>
      </c>
      <c r="B1541" s="593"/>
      <c r="C1541" s="593"/>
      <c r="D1541" s="593"/>
      <c r="E1541" s="593"/>
      <c r="F1541" s="593"/>
      <c r="G1541" s="593"/>
      <c r="H1541" s="593"/>
      <c r="I1541" s="593"/>
      <c r="J1541" s="593"/>
      <c r="K1541" s="593"/>
      <c r="L1541" s="593"/>
      <c r="M1541" s="593"/>
      <c r="N1541" s="594"/>
    </row>
    <row r="1542" spans="1:15" s="3" customFormat="1" ht="37.5" customHeight="1">
      <c r="A1542" s="134" t="s">
        <v>1884</v>
      </c>
      <c r="B1542" s="166"/>
      <c r="C1542" s="166"/>
      <c r="D1542" s="123"/>
      <c r="E1542" s="123"/>
      <c r="F1542" s="167" t="s">
        <v>1885</v>
      </c>
      <c r="G1542" s="167" t="s">
        <v>1886</v>
      </c>
      <c r="H1542" s="167"/>
      <c r="I1542" s="167"/>
      <c r="J1542" s="167"/>
      <c r="K1542" s="167"/>
      <c r="L1542" s="167"/>
      <c r="M1542" s="167"/>
      <c r="N1542" s="152"/>
      <c r="O1542" s="201"/>
    </row>
    <row r="1543" spans="1:15" s="4" customFormat="1" ht="25.2">
      <c r="A1543" s="125" t="s">
        <v>1887</v>
      </c>
      <c r="B1543" s="123"/>
      <c r="C1543" s="123"/>
      <c r="D1543" s="123"/>
      <c r="E1543" s="123"/>
      <c r="F1543" s="167"/>
      <c r="G1543" s="167" t="s">
        <v>1888</v>
      </c>
      <c r="H1543" s="167"/>
      <c r="I1543" s="167"/>
      <c r="J1543" s="167"/>
      <c r="K1543" s="167"/>
      <c r="L1543" s="167"/>
      <c r="M1543" s="167"/>
      <c r="N1543" s="152"/>
    </row>
    <row r="1544" spans="1:15" s="3" customFormat="1" ht="9.9" customHeight="1">
      <c r="A1544" s="125"/>
      <c r="B1544" s="123"/>
      <c r="C1544" s="123"/>
      <c r="D1544" s="123"/>
      <c r="E1544" s="123"/>
      <c r="F1544" s="167"/>
      <c r="G1544" s="123"/>
      <c r="H1544" s="123"/>
      <c r="I1544" s="123"/>
      <c r="J1544" s="123"/>
      <c r="K1544" s="123"/>
      <c r="L1544" s="123"/>
      <c r="M1544" s="123"/>
      <c r="N1544" s="126"/>
    </row>
    <row r="1545" spans="1:15" s="3" customFormat="1" ht="42.75" customHeight="1">
      <c r="A1545" s="125" t="s">
        <v>1889</v>
      </c>
      <c r="B1545" s="123"/>
      <c r="C1545" s="123"/>
      <c r="D1545" s="123"/>
      <c r="E1545" s="123"/>
      <c r="F1545" s="167" t="s">
        <v>1885</v>
      </c>
      <c r="G1545" s="167" t="str">
        <f>PL!$B$13</f>
        <v>Branch of JSC "Doosan Enerbility" in the Turkestan region</v>
      </c>
      <c r="H1545" s="123"/>
      <c r="I1545" s="123"/>
      <c r="J1545" s="123"/>
      <c r="K1545" s="123"/>
      <c r="L1545" s="123"/>
      <c r="M1545" s="123"/>
      <c r="N1545" s="126"/>
    </row>
    <row r="1546" spans="1:15" s="3" customFormat="1" ht="24" customHeight="1">
      <c r="A1546" s="125" t="s">
        <v>1890</v>
      </c>
      <c r="B1546" s="123"/>
      <c r="C1546" s="123"/>
      <c r="D1546" s="123"/>
      <c r="E1546" s="123"/>
      <c r="F1546" s="168"/>
      <c r="G1546" s="167" t="str">
        <f>PL!$B$14</f>
        <v>321 Tauke Khan Avenue, Turkestan region, Turkestan, Kazakhstan, 161200</v>
      </c>
      <c r="H1546" s="123"/>
      <c r="I1546" s="123"/>
      <c r="J1546" s="123"/>
      <c r="K1546" s="123"/>
      <c r="L1546" s="123"/>
      <c r="M1546" s="123"/>
      <c r="N1546" s="126"/>
    </row>
    <row r="1547" spans="1:15" s="4" customFormat="1" ht="25.2">
      <c r="A1547" s="125"/>
      <c r="B1547" s="123"/>
      <c r="C1547" s="123"/>
      <c r="D1547" s="123"/>
      <c r="E1547" s="123"/>
      <c r="F1547" s="168"/>
      <c r="G1547" s="167" t="str">
        <f>PL!$B$15</f>
        <v>BIN: 230741006561</v>
      </c>
      <c r="H1547" s="123"/>
      <c r="I1547" s="123"/>
      <c r="J1547" s="123"/>
      <c r="K1547" s="123"/>
      <c r="L1547" s="123"/>
      <c r="M1547" s="123"/>
      <c r="N1547" s="126"/>
    </row>
    <row r="1548" spans="1:15" s="3" customFormat="1" ht="9.9" customHeight="1">
      <c r="A1548" s="125"/>
      <c r="B1548" s="123"/>
      <c r="C1548" s="123"/>
      <c r="D1548" s="123"/>
      <c r="E1548" s="123"/>
      <c r="F1548" s="169"/>
      <c r="G1548" s="169"/>
      <c r="H1548" s="123"/>
      <c r="I1548" s="123"/>
      <c r="J1548" s="123"/>
      <c r="K1548" s="123"/>
      <c r="L1548" s="123"/>
      <c r="M1548" s="123"/>
      <c r="N1548" s="126"/>
    </row>
    <row r="1549" spans="1:15" s="3" customFormat="1" ht="25.2">
      <c r="A1549" s="125" t="s">
        <v>1891</v>
      </c>
      <c r="B1549" s="123"/>
      <c r="C1549" s="123"/>
      <c r="D1549" s="123"/>
      <c r="E1549" s="123"/>
      <c r="F1549" s="167" t="s">
        <v>1892</v>
      </c>
      <c r="G1549" s="123"/>
      <c r="H1549" s="123"/>
      <c r="I1549" s="123"/>
      <c r="J1549" s="123"/>
      <c r="K1549" s="123"/>
      <c r="L1549" s="123"/>
      <c r="M1549" s="123"/>
      <c r="N1549" s="126"/>
    </row>
    <row r="1550" spans="1:15" s="4" customFormat="1" ht="25.2">
      <c r="A1550" s="125" t="s">
        <v>1893</v>
      </c>
      <c r="B1550" s="123"/>
      <c r="C1550" s="123"/>
      <c r="D1550" s="123"/>
      <c r="E1550" s="123"/>
      <c r="F1550" s="167" t="s">
        <v>1894</v>
      </c>
      <c r="G1550" s="123"/>
      <c r="H1550" s="123"/>
      <c r="I1550" s="123"/>
      <c r="J1550" s="123"/>
      <c r="K1550" s="123"/>
      <c r="L1550" s="123"/>
      <c r="M1550" s="123"/>
      <c r="N1550" s="126"/>
    </row>
    <row r="1551" spans="1:15" s="3" customFormat="1" ht="9.9" customHeight="1">
      <c r="A1551" s="125"/>
      <c r="B1551" s="123"/>
      <c r="C1551" s="123"/>
      <c r="D1551" s="123"/>
      <c r="E1551" s="123"/>
      <c r="F1551" s="167"/>
      <c r="G1551" s="123"/>
      <c r="H1551" s="123"/>
      <c r="I1551" s="123"/>
      <c r="J1551" s="123"/>
      <c r="K1551" s="123"/>
      <c r="L1551" s="123"/>
      <c r="M1551" s="123"/>
      <c r="N1551" s="126"/>
    </row>
    <row r="1552" spans="1:15" s="3" customFormat="1" ht="25.2">
      <c r="A1552" s="125" t="s">
        <v>1895</v>
      </c>
      <c r="B1552" s="123"/>
      <c r="C1552" s="123"/>
      <c r="D1552" s="123"/>
      <c r="E1552" s="123"/>
      <c r="F1552" s="167" t="s">
        <v>1896</v>
      </c>
      <c r="G1552" s="167" t="str">
        <f>PL!$V$8</f>
        <v>PGU-DE-0139-001</v>
      </c>
      <c r="H1552" s="123"/>
      <c r="I1552" s="123"/>
      <c r="J1552" s="123"/>
      <c r="K1552" s="123"/>
      <c r="L1552" s="123"/>
      <c r="M1552" s="123"/>
      <c r="N1552" s="126"/>
    </row>
    <row r="1553" spans="1:14" s="3" customFormat="1" ht="25.2">
      <c r="A1553" s="125" t="s">
        <v>1897</v>
      </c>
      <c r="B1553" s="123"/>
      <c r="C1553" s="123"/>
      <c r="D1553" s="123"/>
      <c r="E1553" s="123"/>
      <c r="F1553" s="167"/>
      <c r="G1553" s="123"/>
      <c r="H1553" s="123"/>
      <c r="I1553" s="123"/>
      <c r="J1553" s="123"/>
      <c r="K1553" s="123"/>
      <c r="L1553" s="123"/>
      <c r="M1553" s="123"/>
      <c r="N1553" s="126"/>
    </row>
    <row r="1554" spans="1:14" s="3" customFormat="1" ht="9.9" customHeight="1">
      <c r="A1554" s="125"/>
      <c r="B1554" s="123"/>
      <c r="C1554" s="123"/>
      <c r="D1554" s="123"/>
      <c r="E1554" s="123"/>
      <c r="F1554" s="167"/>
      <c r="G1554" s="123"/>
      <c r="H1554" s="123"/>
      <c r="I1554" s="123"/>
      <c r="J1554" s="123"/>
      <c r="K1554" s="123"/>
      <c r="L1554" s="123"/>
      <c r="M1554" s="123"/>
      <c r="N1554" s="126"/>
    </row>
    <row r="1555" spans="1:14" s="3" customFormat="1" ht="31.2" customHeight="1">
      <c r="A1555" s="127" t="s">
        <v>1898</v>
      </c>
      <c r="B1555" s="170"/>
      <c r="C1555" s="170"/>
      <c r="D1555" s="170"/>
      <c r="E1555" s="170"/>
      <c r="F1555" s="171" t="s">
        <v>1885</v>
      </c>
      <c r="G1555" s="597" t="e">
        <f>VLOOKUP(G1558, 'Detail PL'!$B$14:$Q$799,2)</f>
        <v>#N/A</v>
      </c>
      <c r="H1555" s="597"/>
      <c r="I1555" s="597"/>
      <c r="J1555" s="597"/>
      <c r="K1555" s="597"/>
      <c r="L1555" s="597"/>
      <c r="M1555" s="597"/>
      <c r="N1555" s="128"/>
    </row>
    <row r="1556" spans="1:14" s="3" customFormat="1" ht="25.2">
      <c r="A1556" s="127" t="s">
        <v>1899</v>
      </c>
      <c r="B1556" s="170"/>
      <c r="C1556" s="170"/>
      <c r="D1556" s="170"/>
      <c r="E1556" s="170"/>
      <c r="F1556" s="171"/>
      <c r="G1556" s="170"/>
      <c r="H1556" s="170"/>
      <c r="I1556" s="170"/>
      <c r="J1556" s="170"/>
      <c r="K1556" s="170"/>
      <c r="L1556" s="170"/>
      <c r="M1556" s="170"/>
      <c r="N1556" s="128"/>
    </row>
    <row r="1557" spans="1:14" s="3" customFormat="1" ht="9.9" customHeight="1">
      <c r="A1557" s="125"/>
      <c r="B1557" s="123"/>
      <c r="C1557" s="123"/>
      <c r="D1557" s="123"/>
      <c r="E1557" s="123"/>
      <c r="F1557" s="167"/>
      <c r="G1557" s="123"/>
      <c r="H1557" s="123"/>
      <c r="I1557" s="123"/>
      <c r="J1557" s="123"/>
      <c r="K1557" s="123"/>
      <c r="L1557" s="123"/>
      <c r="M1557" s="123"/>
      <c r="N1557" s="126"/>
    </row>
    <row r="1558" spans="1:14" s="3" customFormat="1" ht="25.2">
      <c r="A1558" s="125" t="s">
        <v>1900</v>
      </c>
      <c r="B1558" s="123"/>
      <c r="C1558" s="123"/>
      <c r="D1558" s="123"/>
      <c r="E1558" s="123"/>
      <c r="F1558" s="171" t="s">
        <v>1901</v>
      </c>
      <c r="G1558" s="604">
        <f t="shared" ref="G1558" si="42">G1523+1</f>
        <v>45</v>
      </c>
      <c r="H1558" s="604"/>
      <c r="I1558" s="604"/>
      <c r="J1558" s="604"/>
      <c r="K1558" s="604"/>
      <c r="L1558" s="123"/>
      <c r="M1558" s="123"/>
      <c r="N1558" s="126"/>
    </row>
    <row r="1559" spans="1:14" s="4" customFormat="1" ht="25.2">
      <c r="A1559" s="125" t="s">
        <v>1903</v>
      </c>
      <c r="B1559" s="123"/>
      <c r="C1559" s="123"/>
      <c r="D1559" s="123"/>
      <c r="E1559" s="123"/>
      <c r="F1559" s="167"/>
      <c r="G1559" s="167"/>
      <c r="H1559" s="123"/>
      <c r="I1559" s="123"/>
      <c r="J1559" s="123"/>
      <c r="K1559" s="123"/>
      <c r="L1559" s="123"/>
      <c r="M1559" s="123"/>
      <c r="N1559" s="126"/>
    </row>
    <row r="1560" spans="1:14" s="3" customFormat="1" ht="9.9" customHeight="1">
      <c r="A1560" s="125"/>
      <c r="B1560" s="123"/>
      <c r="C1560" s="123"/>
      <c r="D1560" s="123"/>
      <c r="E1560" s="123"/>
      <c r="F1560" s="167"/>
      <c r="G1560" s="167"/>
      <c r="H1560" s="123"/>
      <c r="I1560" s="123"/>
      <c r="J1560" s="123"/>
      <c r="K1560" s="123"/>
      <c r="L1560" s="123"/>
      <c r="M1560" s="123"/>
      <c r="N1560" s="126"/>
    </row>
    <row r="1561" spans="1:14" s="3" customFormat="1" ht="25.2">
      <c r="A1561" s="125" t="s">
        <v>1904</v>
      </c>
      <c r="B1561" s="123"/>
      <c r="C1561" s="123"/>
      <c r="D1561" s="123"/>
      <c r="E1561" s="123"/>
      <c r="F1561" s="167" t="s">
        <v>1896</v>
      </c>
      <c r="G1561" s="204" t="e">
        <f>VLOOKUP(G1558, 'Detail PL'!$B$14:$Q$799, 10)</f>
        <v>#N/A</v>
      </c>
      <c r="H1561" s="204" t="s">
        <v>1905</v>
      </c>
      <c r="I1561" s="204"/>
      <c r="J1561" s="204"/>
      <c r="K1561" s="123"/>
      <c r="L1561" s="123"/>
      <c r="M1561" s="123"/>
      <c r="N1561" s="126"/>
    </row>
    <row r="1562" spans="1:14" s="4" customFormat="1" ht="25.2">
      <c r="A1562" s="125" t="s">
        <v>1906</v>
      </c>
      <c r="B1562" s="123"/>
      <c r="C1562" s="123"/>
      <c r="D1562" s="123"/>
      <c r="E1562" s="123"/>
      <c r="F1562" s="167"/>
      <c r="G1562" s="167"/>
      <c r="H1562" s="167"/>
      <c r="I1562" s="123"/>
      <c r="J1562" s="123"/>
      <c r="K1562" s="123"/>
      <c r="L1562" s="123"/>
      <c r="M1562" s="123"/>
      <c r="N1562" s="126"/>
    </row>
    <row r="1563" spans="1:14" s="3" customFormat="1" ht="9.9" customHeight="1">
      <c r="A1563" s="125"/>
      <c r="B1563" s="123"/>
      <c r="C1563" s="123"/>
      <c r="D1563" s="123"/>
      <c r="E1563" s="123"/>
      <c r="F1563" s="167"/>
      <c r="G1563" s="167"/>
      <c r="H1563" s="167"/>
      <c r="I1563" s="123"/>
      <c r="J1563" s="123"/>
      <c r="K1563" s="123"/>
      <c r="L1563" s="123"/>
      <c r="M1563" s="123"/>
      <c r="N1563" s="126"/>
    </row>
    <row r="1564" spans="1:14" s="3" customFormat="1" ht="25.2">
      <c r="A1564" s="125" t="s">
        <v>1907</v>
      </c>
      <c r="B1564" s="123"/>
      <c r="C1564" s="123"/>
      <c r="D1564" s="123"/>
      <c r="E1564" s="123"/>
      <c r="F1564" s="167" t="s">
        <v>1896</v>
      </c>
      <c r="G1564" s="204" t="e">
        <f>VLOOKUP(G1558, 'Detail PL'!$B$14:$Q$799, 11)</f>
        <v>#N/A</v>
      </c>
      <c r="H1564" s="204" t="s">
        <v>1905</v>
      </c>
      <c r="I1564" s="204"/>
      <c r="J1564" s="204"/>
      <c r="K1564" s="123"/>
      <c r="L1564" s="123"/>
      <c r="M1564" s="123"/>
      <c r="N1564" s="126"/>
    </row>
    <row r="1565" spans="1:14" s="4" customFormat="1" ht="25.2">
      <c r="A1565" s="125" t="s">
        <v>1908</v>
      </c>
      <c r="B1565" s="123"/>
      <c r="C1565" s="123"/>
      <c r="D1565" s="123"/>
      <c r="E1565" s="123"/>
      <c r="F1565" s="167"/>
      <c r="G1565" s="167"/>
      <c r="H1565" s="123"/>
      <c r="I1565" s="123"/>
      <c r="J1565" s="123"/>
      <c r="K1565" s="123"/>
      <c r="L1565" s="123"/>
      <c r="M1565" s="123"/>
      <c r="N1565" s="126"/>
    </row>
    <row r="1566" spans="1:14" s="3" customFormat="1" ht="9.9" customHeight="1">
      <c r="A1566" s="125"/>
      <c r="B1566" s="123"/>
      <c r="C1566" s="123"/>
      <c r="D1566" s="123"/>
      <c r="E1566" s="123"/>
      <c r="F1566" s="167"/>
      <c r="G1566" s="167"/>
      <c r="H1566" s="123"/>
      <c r="I1566" s="123"/>
      <c r="J1566" s="123"/>
      <c r="K1566" s="123"/>
      <c r="L1566" s="123"/>
      <c r="M1566" s="123"/>
      <c r="N1566" s="126"/>
    </row>
    <row r="1567" spans="1:14" s="3" customFormat="1" ht="25.2">
      <c r="A1567" s="129" t="s">
        <v>1909</v>
      </c>
      <c r="B1567" s="123"/>
      <c r="C1567" s="123"/>
      <c r="D1567" s="123"/>
      <c r="E1567" s="123"/>
      <c r="F1567" s="167" t="s">
        <v>1896</v>
      </c>
      <c r="G1567" s="204" t="e">
        <f>VLOOKUP(G1558, 'Detail PL'!$B$14:$Q$799, 9)</f>
        <v>#N/A</v>
      </c>
      <c r="H1567" s="205" t="s">
        <v>1910</v>
      </c>
      <c r="I1567" s="203"/>
      <c r="J1567" s="203"/>
      <c r="K1567" s="172"/>
      <c r="L1567" s="123"/>
      <c r="M1567" s="123"/>
      <c r="N1567" s="126"/>
    </row>
    <row r="1568" spans="1:14" s="4" customFormat="1" ht="25.2">
      <c r="A1568" s="125" t="s">
        <v>1911</v>
      </c>
      <c r="B1568" s="123"/>
      <c r="C1568" s="123"/>
      <c r="D1568" s="123"/>
      <c r="E1568" s="123"/>
      <c r="F1568" s="167"/>
      <c r="G1568" s="167"/>
      <c r="H1568" s="123"/>
      <c r="I1568" s="123"/>
      <c r="J1568" s="123"/>
      <c r="K1568" s="123"/>
      <c r="L1568" s="123"/>
      <c r="M1568" s="123"/>
      <c r="N1568" s="126"/>
    </row>
    <row r="1569" spans="1:15" s="3" customFormat="1" ht="9.9" customHeight="1">
      <c r="A1569" s="125"/>
      <c r="B1569" s="123"/>
      <c r="C1569" s="123"/>
      <c r="D1569" s="123"/>
      <c r="E1569" s="123"/>
      <c r="F1569" s="167"/>
      <c r="G1569" s="167"/>
      <c r="H1569" s="123"/>
      <c r="I1569" s="123"/>
      <c r="J1569" s="123"/>
      <c r="K1569" s="123"/>
      <c r="L1569" s="123"/>
      <c r="M1569" s="123"/>
      <c r="N1569" s="126"/>
    </row>
    <row r="1570" spans="1:15" s="3" customFormat="1" ht="42" customHeight="1">
      <c r="A1570" s="125" t="s">
        <v>1912</v>
      </c>
      <c r="B1570" s="123"/>
      <c r="C1570" s="123"/>
      <c r="D1570" s="123"/>
      <c r="E1570" s="123"/>
      <c r="F1570" s="166" t="s">
        <v>1913</v>
      </c>
      <c r="G1570" s="595" t="s">
        <v>1914</v>
      </c>
      <c r="H1570" s="595"/>
      <c r="I1570" s="595"/>
      <c r="J1570" s="595"/>
      <c r="K1570" s="595"/>
      <c r="L1570" s="595"/>
      <c r="M1570" s="595"/>
      <c r="N1570" s="596"/>
    </row>
    <row r="1571" spans="1:15" s="4" customFormat="1" ht="25.8" thickBot="1">
      <c r="A1571" s="125" t="s">
        <v>1915</v>
      </c>
      <c r="B1571" s="123"/>
      <c r="C1571" s="123"/>
      <c r="D1571" s="123"/>
      <c r="E1571" s="123"/>
      <c r="F1571" s="167"/>
      <c r="G1571" s="167"/>
      <c r="H1571" s="123"/>
      <c r="I1571" s="123"/>
      <c r="J1571" s="123"/>
      <c r="K1571" s="123"/>
      <c r="L1571" s="123"/>
      <c r="M1571" s="123"/>
      <c r="N1571" s="126"/>
    </row>
    <row r="1572" spans="1:15" ht="21" customHeight="1">
      <c r="A1572" s="598" t="s">
        <v>1916</v>
      </c>
      <c r="B1572" s="599"/>
      <c r="C1572" s="599"/>
      <c r="D1572" s="599"/>
      <c r="E1572" s="599"/>
      <c r="F1572" s="599"/>
      <c r="G1572" s="599"/>
      <c r="H1572" s="599"/>
      <c r="I1572" s="599"/>
      <c r="J1572" s="599"/>
      <c r="K1572" s="599"/>
      <c r="L1572" s="599"/>
      <c r="M1572" s="599"/>
      <c r="N1572" s="600"/>
    </row>
    <row r="1573" spans="1:15" ht="25.5" customHeight="1" thickBot="1">
      <c r="A1573" s="601"/>
      <c r="B1573" s="602"/>
      <c r="C1573" s="602"/>
      <c r="D1573" s="602"/>
      <c r="E1573" s="602"/>
      <c r="F1573" s="602"/>
      <c r="G1573" s="602"/>
      <c r="H1573" s="602"/>
      <c r="I1573" s="602"/>
      <c r="J1573" s="602"/>
      <c r="K1573" s="602"/>
      <c r="L1573" s="602"/>
      <c r="M1573" s="602"/>
      <c r="N1573" s="603"/>
    </row>
    <row r="1574" spans="1:15" ht="25.5" customHeight="1">
      <c r="E1574" s="206"/>
      <c r="F1574" s="206"/>
      <c r="G1574" s="206"/>
      <c r="H1574" s="206"/>
      <c r="I1574" s="206"/>
      <c r="J1574" s="206"/>
      <c r="K1574" s="206"/>
    </row>
    <row r="1575" spans="1:15" ht="21.6" thickBot="1"/>
    <row r="1576" spans="1:15" ht="95.25" customHeight="1" thickBot="1">
      <c r="A1576" s="592" t="s">
        <v>1883</v>
      </c>
      <c r="B1576" s="593"/>
      <c r="C1576" s="593"/>
      <c r="D1576" s="593"/>
      <c r="E1576" s="593"/>
      <c r="F1576" s="593"/>
      <c r="G1576" s="593"/>
      <c r="H1576" s="593"/>
      <c r="I1576" s="593"/>
      <c r="J1576" s="593"/>
      <c r="K1576" s="593"/>
      <c r="L1576" s="593"/>
      <c r="M1576" s="593"/>
      <c r="N1576" s="594"/>
    </row>
    <row r="1577" spans="1:15" s="3" customFormat="1" ht="37.5" customHeight="1">
      <c r="A1577" s="134" t="s">
        <v>1884</v>
      </c>
      <c r="B1577" s="166"/>
      <c r="C1577" s="166"/>
      <c r="D1577" s="123"/>
      <c r="E1577" s="123"/>
      <c r="F1577" s="167" t="s">
        <v>1885</v>
      </c>
      <c r="G1577" s="167" t="s">
        <v>1886</v>
      </c>
      <c r="H1577" s="167"/>
      <c r="I1577" s="167"/>
      <c r="J1577" s="167"/>
      <c r="K1577" s="167"/>
      <c r="L1577" s="167"/>
      <c r="M1577" s="167"/>
      <c r="N1577" s="152"/>
      <c r="O1577" s="201"/>
    </row>
    <row r="1578" spans="1:15" s="4" customFormat="1" ht="25.2">
      <c r="A1578" s="125" t="s">
        <v>1887</v>
      </c>
      <c r="B1578" s="123"/>
      <c r="C1578" s="123"/>
      <c r="D1578" s="123"/>
      <c r="E1578" s="123"/>
      <c r="F1578" s="167"/>
      <c r="G1578" s="167" t="s">
        <v>1888</v>
      </c>
      <c r="H1578" s="167"/>
      <c r="I1578" s="167"/>
      <c r="J1578" s="167"/>
      <c r="K1578" s="167"/>
      <c r="L1578" s="167"/>
      <c r="M1578" s="167"/>
      <c r="N1578" s="152"/>
    </row>
    <row r="1579" spans="1:15" s="3" customFormat="1" ht="9.9" customHeight="1">
      <c r="A1579" s="125"/>
      <c r="B1579" s="123"/>
      <c r="C1579" s="123"/>
      <c r="D1579" s="123"/>
      <c r="E1579" s="123"/>
      <c r="F1579" s="167"/>
      <c r="G1579" s="123"/>
      <c r="H1579" s="123"/>
      <c r="I1579" s="123"/>
      <c r="J1579" s="123"/>
      <c r="K1579" s="123"/>
      <c r="L1579" s="123"/>
      <c r="M1579" s="123"/>
      <c r="N1579" s="126"/>
    </row>
    <row r="1580" spans="1:15" s="3" customFormat="1" ht="42.75" customHeight="1">
      <c r="A1580" s="125" t="s">
        <v>1889</v>
      </c>
      <c r="B1580" s="123"/>
      <c r="C1580" s="123"/>
      <c r="D1580" s="123"/>
      <c r="E1580" s="123"/>
      <c r="F1580" s="167" t="s">
        <v>1885</v>
      </c>
      <c r="G1580" s="167" t="str">
        <f>PL!$B$13</f>
        <v>Branch of JSC "Doosan Enerbility" in the Turkestan region</v>
      </c>
      <c r="H1580" s="123"/>
      <c r="I1580" s="123"/>
      <c r="J1580" s="123"/>
      <c r="K1580" s="123"/>
      <c r="L1580" s="123"/>
      <c r="M1580" s="123"/>
      <c r="N1580" s="126"/>
    </row>
    <row r="1581" spans="1:15" s="3" customFormat="1" ht="24" customHeight="1">
      <c r="A1581" s="125" t="s">
        <v>1890</v>
      </c>
      <c r="B1581" s="123"/>
      <c r="C1581" s="123"/>
      <c r="D1581" s="123"/>
      <c r="E1581" s="123"/>
      <c r="F1581" s="168"/>
      <c r="G1581" s="167" t="str">
        <f>PL!$B$14</f>
        <v>321 Tauke Khan Avenue, Turkestan region, Turkestan, Kazakhstan, 161200</v>
      </c>
      <c r="H1581" s="123"/>
      <c r="I1581" s="123"/>
      <c r="J1581" s="123"/>
      <c r="K1581" s="123"/>
      <c r="L1581" s="123"/>
      <c r="M1581" s="123"/>
      <c r="N1581" s="126"/>
    </row>
    <row r="1582" spans="1:15" s="4" customFormat="1" ht="25.2">
      <c r="A1582" s="125"/>
      <c r="B1582" s="123"/>
      <c r="C1582" s="123"/>
      <c r="D1582" s="123"/>
      <c r="E1582" s="123"/>
      <c r="F1582" s="168"/>
      <c r="G1582" s="167" t="str">
        <f>PL!$B$15</f>
        <v>BIN: 230741006561</v>
      </c>
      <c r="H1582" s="123"/>
      <c r="I1582" s="123"/>
      <c r="J1582" s="123"/>
      <c r="K1582" s="123"/>
      <c r="L1582" s="123"/>
      <c r="M1582" s="123"/>
      <c r="N1582" s="126"/>
    </row>
    <row r="1583" spans="1:15" s="3" customFormat="1" ht="9.9" customHeight="1">
      <c r="A1583" s="125"/>
      <c r="B1583" s="123"/>
      <c r="C1583" s="123"/>
      <c r="D1583" s="123"/>
      <c r="E1583" s="123"/>
      <c r="F1583" s="169"/>
      <c r="G1583" s="169"/>
      <c r="H1583" s="123"/>
      <c r="I1583" s="123"/>
      <c r="J1583" s="123"/>
      <c r="K1583" s="123"/>
      <c r="L1583" s="123"/>
      <c r="M1583" s="123"/>
      <c r="N1583" s="126"/>
    </row>
    <row r="1584" spans="1:15" s="3" customFormat="1" ht="25.2">
      <c r="A1584" s="125" t="s">
        <v>1891</v>
      </c>
      <c r="B1584" s="123"/>
      <c r="C1584" s="123"/>
      <c r="D1584" s="123"/>
      <c r="E1584" s="123"/>
      <c r="F1584" s="167" t="s">
        <v>1892</v>
      </c>
      <c r="G1584" s="123"/>
      <c r="H1584" s="123"/>
      <c r="I1584" s="123"/>
      <c r="J1584" s="123"/>
      <c r="K1584" s="123"/>
      <c r="L1584" s="123"/>
      <c r="M1584" s="123"/>
      <c r="N1584" s="126"/>
    </row>
    <row r="1585" spans="1:14" s="4" customFormat="1" ht="25.2">
      <c r="A1585" s="125" t="s">
        <v>1893</v>
      </c>
      <c r="B1585" s="123"/>
      <c r="C1585" s="123"/>
      <c r="D1585" s="123"/>
      <c r="E1585" s="123"/>
      <c r="F1585" s="167" t="s">
        <v>1894</v>
      </c>
      <c r="G1585" s="123"/>
      <c r="H1585" s="123"/>
      <c r="I1585" s="123"/>
      <c r="J1585" s="123"/>
      <c r="K1585" s="123"/>
      <c r="L1585" s="123"/>
      <c r="M1585" s="123"/>
      <c r="N1585" s="126"/>
    </row>
    <row r="1586" spans="1:14" s="3" customFormat="1" ht="9.9" customHeight="1">
      <c r="A1586" s="125"/>
      <c r="B1586" s="123"/>
      <c r="C1586" s="123"/>
      <c r="D1586" s="123"/>
      <c r="E1586" s="123"/>
      <c r="F1586" s="167"/>
      <c r="G1586" s="123"/>
      <c r="H1586" s="123"/>
      <c r="I1586" s="123"/>
      <c r="J1586" s="123"/>
      <c r="K1586" s="123"/>
      <c r="L1586" s="123"/>
      <c r="M1586" s="123"/>
      <c r="N1586" s="126"/>
    </row>
    <row r="1587" spans="1:14" s="3" customFormat="1" ht="25.2">
      <c r="A1587" s="125" t="s">
        <v>1895</v>
      </c>
      <c r="B1587" s="123"/>
      <c r="C1587" s="123"/>
      <c r="D1587" s="123"/>
      <c r="E1587" s="123"/>
      <c r="F1587" s="167" t="s">
        <v>1896</v>
      </c>
      <c r="G1587" s="167" t="str">
        <f>PL!$V$8</f>
        <v>PGU-DE-0139-001</v>
      </c>
      <c r="H1587" s="123"/>
      <c r="I1587" s="123"/>
      <c r="J1587" s="123"/>
      <c r="K1587" s="123"/>
      <c r="L1587" s="123"/>
      <c r="M1587" s="123"/>
      <c r="N1587" s="126"/>
    </row>
    <row r="1588" spans="1:14" s="3" customFormat="1" ht="25.2">
      <c r="A1588" s="125" t="s">
        <v>1897</v>
      </c>
      <c r="B1588" s="123"/>
      <c r="C1588" s="123"/>
      <c r="D1588" s="123"/>
      <c r="E1588" s="123"/>
      <c r="F1588" s="167"/>
      <c r="G1588" s="123"/>
      <c r="H1588" s="123"/>
      <c r="I1588" s="123"/>
      <c r="J1588" s="123"/>
      <c r="K1588" s="123"/>
      <c r="L1588" s="123"/>
      <c r="M1588" s="123"/>
      <c r="N1588" s="126"/>
    </row>
    <row r="1589" spans="1:14" s="3" customFormat="1" ht="9.9" customHeight="1">
      <c r="A1589" s="125"/>
      <c r="B1589" s="123"/>
      <c r="C1589" s="123"/>
      <c r="D1589" s="123"/>
      <c r="E1589" s="123"/>
      <c r="F1589" s="167"/>
      <c r="G1589" s="123"/>
      <c r="H1589" s="123"/>
      <c r="I1589" s="123"/>
      <c r="J1589" s="123"/>
      <c r="K1589" s="123"/>
      <c r="L1589" s="123"/>
      <c r="M1589" s="123"/>
      <c r="N1589" s="126"/>
    </row>
    <row r="1590" spans="1:14" s="3" customFormat="1" ht="31.2" customHeight="1">
      <c r="A1590" s="127" t="s">
        <v>1898</v>
      </c>
      <c r="B1590" s="170"/>
      <c r="C1590" s="170"/>
      <c r="D1590" s="170"/>
      <c r="E1590" s="170"/>
      <c r="F1590" s="171" t="s">
        <v>1885</v>
      </c>
      <c r="G1590" s="597" t="e">
        <f>VLOOKUP(G1593, 'Detail PL'!$B$14:$Q$799,2)</f>
        <v>#N/A</v>
      </c>
      <c r="H1590" s="597"/>
      <c r="I1590" s="597"/>
      <c r="J1590" s="597"/>
      <c r="K1590" s="597"/>
      <c r="L1590" s="597"/>
      <c r="M1590" s="597"/>
      <c r="N1590" s="128"/>
    </row>
    <row r="1591" spans="1:14" s="3" customFormat="1" ht="25.2">
      <c r="A1591" s="127" t="s">
        <v>1899</v>
      </c>
      <c r="B1591" s="170"/>
      <c r="C1591" s="170"/>
      <c r="D1591" s="170"/>
      <c r="E1591" s="170"/>
      <c r="F1591" s="171"/>
      <c r="G1591" s="170"/>
      <c r="H1591" s="170"/>
      <c r="I1591" s="170"/>
      <c r="J1591" s="170"/>
      <c r="K1591" s="170"/>
      <c r="L1591" s="170"/>
      <c r="M1591" s="170"/>
      <c r="N1591" s="128"/>
    </row>
    <row r="1592" spans="1:14" s="3" customFormat="1" ht="9.9" customHeight="1">
      <c r="A1592" s="125"/>
      <c r="B1592" s="123"/>
      <c r="C1592" s="123"/>
      <c r="D1592" s="123"/>
      <c r="E1592" s="123"/>
      <c r="F1592" s="167"/>
      <c r="G1592" s="123"/>
      <c r="H1592" s="123"/>
      <c r="I1592" s="123"/>
      <c r="J1592" s="123"/>
      <c r="K1592" s="123"/>
      <c r="L1592" s="123"/>
      <c r="M1592" s="123"/>
      <c r="N1592" s="126"/>
    </row>
    <row r="1593" spans="1:14" s="3" customFormat="1" ht="25.2">
      <c r="A1593" s="125" t="s">
        <v>1900</v>
      </c>
      <c r="B1593" s="123"/>
      <c r="C1593" s="123"/>
      <c r="D1593" s="123"/>
      <c r="E1593" s="123"/>
      <c r="F1593" s="171" t="s">
        <v>1901</v>
      </c>
      <c r="G1593" s="604">
        <f t="shared" ref="G1593" si="43">G1558+1</f>
        <v>46</v>
      </c>
      <c r="H1593" s="604"/>
      <c r="I1593" s="604"/>
      <c r="J1593" s="604"/>
      <c r="K1593" s="604"/>
      <c r="L1593" s="123"/>
      <c r="M1593" s="123"/>
      <c r="N1593" s="126"/>
    </row>
    <row r="1594" spans="1:14" s="4" customFormat="1" ht="25.2">
      <c r="A1594" s="125" t="s">
        <v>1903</v>
      </c>
      <c r="B1594" s="123"/>
      <c r="C1594" s="123"/>
      <c r="D1594" s="123"/>
      <c r="E1594" s="123"/>
      <c r="F1594" s="167"/>
      <c r="G1594" s="167"/>
      <c r="H1594" s="123"/>
      <c r="I1594" s="123"/>
      <c r="J1594" s="123"/>
      <c r="K1594" s="123"/>
      <c r="L1594" s="123"/>
      <c r="M1594" s="123"/>
      <c r="N1594" s="126"/>
    </row>
    <row r="1595" spans="1:14" s="3" customFormat="1" ht="9.9" customHeight="1">
      <c r="A1595" s="125"/>
      <c r="B1595" s="123"/>
      <c r="C1595" s="123"/>
      <c r="D1595" s="123"/>
      <c r="E1595" s="123"/>
      <c r="F1595" s="167"/>
      <c r="G1595" s="167"/>
      <c r="H1595" s="123"/>
      <c r="I1595" s="123"/>
      <c r="J1595" s="123"/>
      <c r="K1595" s="123"/>
      <c r="L1595" s="123"/>
      <c r="M1595" s="123"/>
      <c r="N1595" s="126"/>
    </row>
    <row r="1596" spans="1:14" s="3" customFormat="1" ht="25.2">
      <c r="A1596" s="125" t="s">
        <v>1904</v>
      </c>
      <c r="B1596" s="123"/>
      <c r="C1596" s="123"/>
      <c r="D1596" s="123"/>
      <c r="E1596" s="123"/>
      <c r="F1596" s="167" t="s">
        <v>1896</v>
      </c>
      <c r="G1596" s="204" t="e">
        <f>VLOOKUP(G1593, 'Detail PL'!$B$14:$Q$799, 10)</f>
        <v>#N/A</v>
      </c>
      <c r="H1596" s="204" t="s">
        <v>1905</v>
      </c>
      <c r="I1596" s="204"/>
      <c r="J1596" s="204"/>
      <c r="K1596" s="123"/>
      <c r="L1596" s="123"/>
      <c r="M1596" s="123"/>
      <c r="N1596" s="126"/>
    </row>
    <row r="1597" spans="1:14" s="4" customFormat="1" ht="25.2">
      <c r="A1597" s="125" t="s">
        <v>1906</v>
      </c>
      <c r="B1597" s="123"/>
      <c r="C1597" s="123"/>
      <c r="D1597" s="123"/>
      <c r="E1597" s="123"/>
      <c r="F1597" s="167"/>
      <c r="G1597" s="167"/>
      <c r="H1597" s="167"/>
      <c r="I1597" s="123"/>
      <c r="J1597" s="123"/>
      <c r="K1597" s="123"/>
      <c r="L1597" s="123"/>
      <c r="M1597" s="123"/>
      <c r="N1597" s="126"/>
    </row>
    <row r="1598" spans="1:14" s="3" customFormat="1" ht="9.9" customHeight="1">
      <c r="A1598" s="125"/>
      <c r="B1598" s="123"/>
      <c r="C1598" s="123"/>
      <c r="D1598" s="123"/>
      <c r="E1598" s="123"/>
      <c r="F1598" s="167"/>
      <c r="G1598" s="167"/>
      <c r="H1598" s="167"/>
      <c r="I1598" s="123"/>
      <c r="J1598" s="123"/>
      <c r="K1598" s="123"/>
      <c r="L1598" s="123"/>
      <c r="M1598" s="123"/>
      <c r="N1598" s="126"/>
    </row>
    <row r="1599" spans="1:14" s="3" customFormat="1" ht="25.2">
      <c r="A1599" s="125" t="s">
        <v>1907</v>
      </c>
      <c r="B1599" s="123"/>
      <c r="C1599" s="123"/>
      <c r="D1599" s="123"/>
      <c r="E1599" s="123"/>
      <c r="F1599" s="167" t="s">
        <v>1896</v>
      </c>
      <c r="G1599" s="204" t="e">
        <f>VLOOKUP(G1593, 'Detail PL'!$B$14:$Q$799, 11)</f>
        <v>#N/A</v>
      </c>
      <c r="H1599" s="204" t="s">
        <v>1905</v>
      </c>
      <c r="I1599" s="204"/>
      <c r="J1599" s="204"/>
      <c r="K1599" s="123"/>
      <c r="L1599" s="123"/>
      <c r="M1599" s="123"/>
      <c r="N1599" s="126"/>
    </row>
    <row r="1600" spans="1:14" s="4" customFormat="1" ht="25.2">
      <c r="A1600" s="125" t="s">
        <v>1908</v>
      </c>
      <c r="B1600" s="123"/>
      <c r="C1600" s="123"/>
      <c r="D1600" s="123"/>
      <c r="E1600" s="123"/>
      <c r="F1600" s="167"/>
      <c r="G1600" s="167"/>
      <c r="H1600" s="123"/>
      <c r="I1600" s="123"/>
      <c r="J1600" s="123"/>
      <c r="K1600" s="123"/>
      <c r="L1600" s="123"/>
      <c r="M1600" s="123"/>
      <c r="N1600" s="126"/>
    </row>
    <row r="1601" spans="1:15" s="3" customFormat="1" ht="9.9" customHeight="1">
      <c r="A1601" s="125"/>
      <c r="B1601" s="123"/>
      <c r="C1601" s="123"/>
      <c r="D1601" s="123"/>
      <c r="E1601" s="123"/>
      <c r="F1601" s="167"/>
      <c r="G1601" s="167"/>
      <c r="H1601" s="123"/>
      <c r="I1601" s="123"/>
      <c r="J1601" s="123"/>
      <c r="K1601" s="123"/>
      <c r="L1601" s="123"/>
      <c r="M1601" s="123"/>
      <c r="N1601" s="126"/>
    </row>
    <row r="1602" spans="1:15" s="3" customFormat="1" ht="25.2">
      <c r="A1602" s="129" t="s">
        <v>1909</v>
      </c>
      <c r="B1602" s="123"/>
      <c r="C1602" s="123"/>
      <c r="D1602" s="123"/>
      <c r="E1602" s="123"/>
      <c r="F1602" s="167" t="s">
        <v>1896</v>
      </c>
      <c r="G1602" s="204" t="e">
        <f>VLOOKUP(G1593, 'Detail PL'!$B$14:$Q$799, 9)</f>
        <v>#N/A</v>
      </c>
      <c r="H1602" s="205" t="s">
        <v>1910</v>
      </c>
      <c r="I1602" s="203"/>
      <c r="J1602" s="203"/>
      <c r="K1602" s="172"/>
      <c r="L1602" s="123"/>
      <c r="M1602" s="123"/>
      <c r="N1602" s="126"/>
    </row>
    <row r="1603" spans="1:15" s="4" customFormat="1" ht="25.2">
      <c r="A1603" s="125" t="s">
        <v>1911</v>
      </c>
      <c r="B1603" s="123"/>
      <c r="C1603" s="123"/>
      <c r="D1603" s="123"/>
      <c r="E1603" s="123"/>
      <c r="F1603" s="167"/>
      <c r="G1603" s="167"/>
      <c r="H1603" s="123"/>
      <c r="I1603" s="123"/>
      <c r="J1603" s="123"/>
      <c r="K1603" s="123"/>
      <c r="L1603" s="123"/>
      <c r="M1603" s="123"/>
      <c r="N1603" s="126"/>
    </row>
    <row r="1604" spans="1:15" s="3" customFormat="1" ht="9.9" customHeight="1">
      <c r="A1604" s="125"/>
      <c r="B1604" s="123"/>
      <c r="C1604" s="123"/>
      <c r="D1604" s="123"/>
      <c r="E1604" s="123"/>
      <c r="F1604" s="167"/>
      <c r="G1604" s="167"/>
      <c r="H1604" s="123"/>
      <c r="I1604" s="123"/>
      <c r="J1604" s="123"/>
      <c r="K1604" s="123"/>
      <c r="L1604" s="123"/>
      <c r="M1604" s="123"/>
      <c r="N1604" s="126"/>
    </row>
    <row r="1605" spans="1:15" s="3" customFormat="1" ht="42" customHeight="1">
      <c r="A1605" s="125" t="s">
        <v>1912</v>
      </c>
      <c r="B1605" s="123"/>
      <c r="C1605" s="123"/>
      <c r="D1605" s="123"/>
      <c r="E1605" s="123"/>
      <c r="F1605" s="166" t="s">
        <v>1913</v>
      </c>
      <c r="G1605" s="595" t="s">
        <v>1914</v>
      </c>
      <c r="H1605" s="595"/>
      <c r="I1605" s="595"/>
      <c r="J1605" s="595"/>
      <c r="K1605" s="595"/>
      <c r="L1605" s="595"/>
      <c r="M1605" s="595"/>
      <c r="N1605" s="596"/>
    </row>
    <row r="1606" spans="1:15" s="4" customFormat="1" ht="25.8" thickBot="1">
      <c r="A1606" s="125" t="s">
        <v>1915</v>
      </c>
      <c r="B1606" s="123"/>
      <c r="C1606" s="123"/>
      <c r="D1606" s="123"/>
      <c r="E1606" s="123"/>
      <c r="F1606" s="167"/>
      <c r="G1606" s="167"/>
      <c r="H1606" s="123"/>
      <c r="I1606" s="123"/>
      <c r="J1606" s="123"/>
      <c r="K1606" s="123"/>
      <c r="L1606" s="123"/>
      <c r="M1606" s="123"/>
      <c r="N1606" s="126"/>
    </row>
    <row r="1607" spans="1:15" ht="21" customHeight="1">
      <c r="A1607" s="598" t="s">
        <v>1916</v>
      </c>
      <c r="B1607" s="599"/>
      <c r="C1607" s="599"/>
      <c r="D1607" s="599"/>
      <c r="E1607" s="599"/>
      <c r="F1607" s="599"/>
      <c r="G1607" s="599"/>
      <c r="H1607" s="599"/>
      <c r="I1607" s="599"/>
      <c r="J1607" s="599"/>
      <c r="K1607" s="599"/>
      <c r="L1607" s="599"/>
      <c r="M1607" s="599"/>
      <c r="N1607" s="600"/>
    </row>
    <row r="1608" spans="1:15" ht="25.5" customHeight="1" thickBot="1">
      <c r="A1608" s="601"/>
      <c r="B1608" s="602"/>
      <c r="C1608" s="602"/>
      <c r="D1608" s="602"/>
      <c r="E1608" s="602"/>
      <c r="F1608" s="602"/>
      <c r="G1608" s="602"/>
      <c r="H1608" s="602"/>
      <c r="I1608" s="602"/>
      <c r="J1608" s="602"/>
      <c r="K1608" s="602"/>
      <c r="L1608" s="602"/>
      <c r="M1608" s="602"/>
      <c r="N1608" s="603"/>
    </row>
    <row r="1609" spans="1:15" ht="25.5" customHeight="1">
      <c r="E1609" s="206"/>
      <c r="F1609" s="206"/>
      <c r="G1609" s="206"/>
      <c r="H1609" s="206"/>
      <c r="I1609" s="206"/>
      <c r="J1609" s="206"/>
      <c r="K1609" s="206"/>
    </row>
    <row r="1610" spans="1:15" ht="21.6" thickBot="1"/>
    <row r="1611" spans="1:15" ht="95.25" customHeight="1" thickBot="1">
      <c r="A1611" s="592" t="s">
        <v>1883</v>
      </c>
      <c r="B1611" s="593"/>
      <c r="C1611" s="593"/>
      <c r="D1611" s="593"/>
      <c r="E1611" s="593"/>
      <c r="F1611" s="593"/>
      <c r="G1611" s="593"/>
      <c r="H1611" s="593"/>
      <c r="I1611" s="593"/>
      <c r="J1611" s="593"/>
      <c r="K1611" s="593"/>
      <c r="L1611" s="593"/>
      <c r="M1611" s="593"/>
      <c r="N1611" s="594"/>
    </row>
    <row r="1612" spans="1:15" s="3" customFormat="1" ht="37.5" customHeight="1">
      <c r="A1612" s="134" t="s">
        <v>1884</v>
      </c>
      <c r="B1612" s="166"/>
      <c r="C1612" s="166"/>
      <c r="D1612" s="123"/>
      <c r="E1612" s="123"/>
      <c r="F1612" s="167" t="s">
        <v>1885</v>
      </c>
      <c r="G1612" s="167" t="s">
        <v>1886</v>
      </c>
      <c r="H1612" s="167"/>
      <c r="I1612" s="167"/>
      <c r="J1612" s="167"/>
      <c r="K1612" s="167"/>
      <c r="L1612" s="167"/>
      <c r="M1612" s="167"/>
      <c r="N1612" s="152"/>
      <c r="O1612" s="201"/>
    </row>
    <row r="1613" spans="1:15" s="4" customFormat="1" ht="25.2">
      <c r="A1613" s="125" t="s">
        <v>1887</v>
      </c>
      <c r="B1613" s="123"/>
      <c r="C1613" s="123"/>
      <c r="D1613" s="123"/>
      <c r="E1613" s="123"/>
      <c r="F1613" s="167"/>
      <c r="G1613" s="167" t="s">
        <v>1888</v>
      </c>
      <c r="H1613" s="167"/>
      <c r="I1613" s="167"/>
      <c r="J1613" s="167"/>
      <c r="K1613" s="167"/>
      <c r="L1613" s="167"/>
      <c r="M1613" s="167"/>
      <c r="N1613" s="152"/>
    </row>
    <row r="1614" spans="1:15" s="3" customFormat="1" ht="9.9" customHeight="1">
      <c r="A1614" s="125"/>
      <c r="B1614" s="123"/>
      <c r="C1614" s="123"/>
      <c r="D1614" s="123"/>
      <c r="E1614" s="123"/>
      <c r="F1614" s="167"/>
      <c r="G1614" s="123"/>
      <c r="H1614" s="123"/>
      <c r="I1614" s="123"/>
      <c r="J1614" s="123"/>
      <c r="K1614" s="123"/>
      <c r="L1614" s="123"/>
      <c r="M1614" s="123"/>
      <c r="N1614" s="126"/>
    </row>
    <row r="1615" spans="1:15" s="3" customFormat="1" ht="42.75" customHeight="1">
      <c r="A1615" s="125" t="s">
        <v>1889</v>
      </c>
      <c r="B1615" s="123"/>
      <c r="C1615" s="123"/>
      <c r="D1615" s="123"/>
      <c r="E1615" s="123"/>
      <c r="F1615" s="167" t="s">
        <v>1885</v>
      </c>
      <c r="G1615" s="167" t="str">
        <f>PL!$B$13</f>
        <v>Branch of JSC "Doosan Enerbility" in the Turkestan region</v>
      </c>
      <c r="H1615" s="123"/>
      <c r="I1615" s="123"/>
      <c r="J1615" s="123"/>
      <c r="K1615" s="123"/>
      <c r="L1615" s="123"/>
      <c r="M1615" s="123"/>
      <c r="N1615" s="126"/>
    </row>
    <row r="1616" spans="1:15" s="3" customFormat="1" ht="24" customHeight="1">
      <c r="A1616" s="125" t="s">
        <v>1890</v>
      </c>
      <c r="B1616" s="123"/>
      <c r="C1616" s="123"/>
      <c r="D1616" s="123"/>
      <c r="E1616" s="123"/>
      <c r="F1616" s="168"/>
      <c r="G1616" s="167" t="str">
        <f>PL!$B$14</f>
        <v>321 Tauke Khan Avenue, Turkestan region, Turkestan, Kazakhstan, 161200</v>
      </c>
      <c r="H1616" s="123"/>
      <c r="I1616" s="123"/>
      <c r="J1616" s="123"/>
      <c r="K1616" s="123"/>
      <c r="L1616" s="123"/>
      <c r="M1616" s="123"/>
      <c r="N1616" s="126"/>
    </row>
    <row r="1617" spans="1:14" s="4" customFormat="1" ht="25.2">
      <c r="A1617" s="125"/>
      <c r="B1617" s="123"/>
      <c r="C1617" s="123"/>
      <c r="D1617" s="123"/>
      <c r="E1617" s="123"/>
      <c r="F1617" s="168"/>
      <c r="G1617" s="167" t="str">
        <f>PL!$B$15</f>
        <v>BIN: 230741006561</v>
      </c>
      <c r="H1617" s="123"/>
      <c r="I1617" s="123"/>
      <c r="J1617" s="123"/>
      <c r="K1617" s="123"/>
      <c r="L1617" s="123"/>
      <c r="M1617" s="123"/>
      <c r="N1617" s="126"/>
    </row>
    <row r="1618" spans="1:14" s="3" customFormat="1" ht="9.9" customHeight="1">
      <c r="A1618" s="125"/>
      <c r="B1618" s="123"/>
      <c r="C1618" s="123"/>
      <c r="D1618" s="123"/>
      <c r="E1618" s="123"/>
      <c r="F1618" s="169"/>
      <c r="G1618" s="169"/>
      <c r="H1618" s="123"/>
      <c r="I1618" s="123"/>
      <c r="J1618" s="123"/>
      <c r="K1618" s="123"/>
      <c r="L1618" s="123"/>
      <c r="M1618" s="123"/>
      <c r="N1618" s="126"/>
    </row>
    <row r="1619" spans="1:14" s="3" customFormat="1" ht="25.2">
      <c r="A1619" s="125" t="s">
        <v>1891</v>
      </c>
      <c r="B1619" s="123"/>
      <c r="C1619" s="123"/>
      <c r="D1619" s="123"/>
      <c r="E1619" s="123"/>
      <c r="F1619" s="167" t="s">
        <v>1892</v>
      </c>
      <c r="G1619" s="123"/>
      <c r="H1619" s="123"/>
      <c r="I1619" s="123"/>
      <c r="J1619" s="123"/>
      <c r="K1619" s="123"/>
      <c r="L1619" s="123"/>
      <c r="M1619" s="123"/>
      <c r="N1619" s="126"/>
    </row>
    <row r="1620" spans="1:14" s="4" customFormat="1" ht="25.2">
      <c r="A1620" s="125" t="s">
        <v>1893</v>
      </c>
      <c r="B1620" s="123"/>
      <c r="C1620" s="123"/>
      <c r="D1620" s="123"/>
      <c r="E1620" s="123"/>
      <c r="F1620" s="167" t="s">
        <v>1894</v>
      </c>
      <c r="G1620" s="123"/>
      <c r="H1620" s="123"/>
      <c r="I1620" s="123"/>
      <c r="J1620" s="123"/>
      <c r="K1620" s="123"/>
      <c r="L1620" s="123"/>
      <c r="M1620" s="123"/>
      <c r="N1620" s="126"/>
    </row>
    <row r="1621" spans="1:14" s="3" customFormat="1" ht="9.9" customHeight="1">
      <c r="A1621" s="125"/>
      <c r="B1621" s="123"/>
      <c r="C1621" s="123"/>
      <c r="D1621" s="123"/>
      <c r="E1621" s="123"/>
      <c r="F1621" s="167"/>
      <c r="G1621" s="123"/>
      <c r="H1621" s="123"/>
      <c r="I1621" s="123"/>
      <c r="J1621" s="123"/>
      <c r="K1621" s="123"/>
      <c r="L1621" s="123"/>
      <c r="M1621" s="123"/>
      <c r="N1621" s="126"/>
    </row>
    <row r="1622" spans="1:14" s="3" customFormat="1" ht="25.2">
      <c r="A1622" s="125" t="s">
        <v>1895</v>
      </c>
      <c r="B1622" s="123"/>
      <c r="C1622" s="123"/>
      <c r="D1622" s="123"/>
      <c r="E1622" s="123"/>
      <c r="F1622" s="167" t="s">
        <v>1896</v>
      </c>
      <c r="G1622" s="167" t="str">
        <f>PL!$V$8</f>
        <v>PGU-DE-0139-001</v>
      </c>
      <c r="H1622" s="123"/>
      <c r="I1622" s="123"/>
      <c r="J1622" s="123"/>
      <c r="K1622" s="123"/>
      <c r="L1622" s="123"/>
      <c r="M1622" s="123"/>
      <c r="N1622" s="126"/>
    </row>
    <row r="1623" spans="1:14" s="3" customFormat="1" ht="25.2">
      <c r="A1623" s="125" t="s">
        <v>1897</v>
      </c>
      <c r="B1623" s="123"/>
      <c r="C1623" s="123"/>
      <c r="D1623" s="123"/>
      <c r="E1623" s="123"/>
      <c r="F1623" s="167"/>
      <c r="G1623" s="123"/>
      <c r="H1623" s="123"/>
      <c r="I1623" s="123"/>
      <c r="J1623" s="123"/>
      <c r="K1623" s="123"/>
      <c r="L1623" s="123"/>
      <c r="M1623" s="123"/>
      <c r="N1623" s="126"/>
    </row>
    <row r="1624" spans="1:14" s="3" customFormat="1" ht="9.9" customHeight="1">
      <c r="A1624" s="125"/>
      <c r="B1624" s="123"/>
      <c r="C1624" s="123"/>
      <c r="D1624" s="123"/>
      <c r="E1624" s="123"/>
      <c r="F1624" s="167"/>
      <c r="G1624" s="123"/>
      <c r="H1624" s="123"/>
      <c r="I1624" s="123"/>
      <c r="J1624" s="123"/>
      <c r="K1624" s="123"/>
      <c r="L1624" s="123"/>
      <c r="M1624" s="123"/>
      <c r="N1624" s="126"/>
    </row>
    <row r="1625" spans="1:14" s="3" customFormat="1" ht="31.2" customHeight="1">
      <c r="A1625" s="127" t="s">
        <v>1898</v>
      </c>
      <c r="B1625" s="170"/>
      <c r="C1625" s="170"/>
      <c r="D1625" s="170"/>
      <c r="E1625" s="170"/>
      <c r="F1625" s="171" t="s">
        <v>1885</v>
      </c>
      <c r="G1625" s="597" t="e">
        <f>VLOOKUP(G1628, 'Detail PL'!$B$14:$Q$799,2)</f>
        <v>#N/A</v>
      </c>
      <c r="H1625" s="597"/>
      <c r="I1625" s="597"/>
      <c r="J1625" s="597"/>
      <c r="K1625" s="597"/>
      <c r="L1625" s="597"/>
      <c r="M1625" s="597"/>
      <c r="N1625" s="128"/>
    </row>
    <row r="1626" spans="1:14" s="3" customFormat="1" ht="25.2">
      <c r="A1626" s="127" t="s">
        <v>1899</v>
      </c>
      <c r="B1626" s="170"/>
      <c r="C1626" s="170"/>
      <c r="D1626" s="170"/>
      <c r="E1626" s="170"/>
      <c r="F1626" s="171"/>
      <c r="G1626" s="170"/>
      <c r="H1626" s="170"/>
      <c r="I1626" s="170"/>
      <c r="J1626" s="170"/>
      <c r="K1626" s="170"/>
      <c r="L1626" s="170"/>
      <c r="M1626" s="170"/>
      <c r="N1626" s="128"/>
    </row>
    <row r="1627" spans="1:14" s="3" customFormat="1" ht="9.9" customHeight="1">
      <c r="A1627" s="125"/>
      <c r="B1627" s="123"/>
      <c r="C1627" s="123"/>
      <c r="D1627" s="123"/>
      <c r="E1627" s="123"/>
      <c r="F1627" s="167"/>
      <c r="G1627" s="123"/>
      <c r="H1627" s="123"/>
      <c r="I1627" s="123"/>
      <c r="J1627" s="123"/>
      <c r="K1627" s="123"/>
      <c r="L1627" s="123"/>
      <c r="M1627" s="123"/>
      <c r="N1627" s="126"/>
    </row>
    <row r="1628" spans="1:14" s="3" customFormat="1" ht="25.2">
      <c r="A1628" s="125" t="s">
        <v>1900</v>
      </c>
      <c r="B1628" s="123"/>
      <c r="C1628" s="123"/>
      <c r="D1628" s="123"/>
      <c r="E1628" s="123"/>
      <c r="F1628" s="171" t="s">
        <v>1901</v>
      </c>
      <c r="G1628" s="604">
        <f t="shared" ref="G1628" si="44">G1593+1</f>
        <v>47</v>
      </c>
      <c r="H1628" s="604"/>
      <c r="I1628" s="604"/>
      <c r="J1628" s="604"/>
      <c r="K1628" s="604"/>
      <c r="L1628" s="123"/>
      <c r="M1628" s="123"/>
      <c r="N1628" s="126"/>
    </row>
    <row r="1629" spans="1:14" s="4" customFormat="1" ht="25.2">
      <c r="A1629" s="125" t="s">
        <v>1903</v>
      </c>
      <c r="B1629" s="123"/>
      <c r="C1629" s="123"/>
      <c r="D1629" s="123"/>
      <c r="E1629" s="123"/>
      <c r="F1629" s="167"/>
      <c r="G1629" s="167"/>
      <c r="H1629" s="123"/>
      <c r="I1629" s="123"/>
      <c r="J1629" s="123"/>
      <c r="K1629" s="123"/>
      <c r="L1629" s="123"/>
      <c r="M1629" s="123"/>
      <c r="N1629" s="126"/>
    </row>
    <row r="1630" spans="1:14" s="3" customFormat="1" ht="9.9" customHeight="1">
      <c r="A1630" s="125"/>
      <c r="B1630" s="123"/>
      <c r="C1630" s="123"/>
      <c r="D1630" s="123"/>
      <c r="E1630" s="123"/>
      <c r="F1630" s="167"/>
      <c r="G1630" s="167"/>
      <c r="H1630" s="123"/>
      <c r="I1630" s="123"/>
      <c r="J1630" s="123"/>
      <c r="K1630" s="123"/>
      <c r="L1630" s="123"/>
      <c r="M1630" s="123"/>
      <c r="N1630" s="126"/>
    </row>
    <row r="1631" spans="1:14" s="3" customFormat="1" ht="25.2">
      <c r="A1631" s="125" t="s">
        <v>1904</v>
      </c>
      <c r="B1631" s="123"/>
      <c r="C1631" s="123"/>
      <c r="D1631" s="123"/>
      <c r="E1631" s="123"/>
      <c r="F1631" s="167" t="s">
        <v>1896</v>
      </c>
      <c r="G1631" s="204" t="e">
        <f>VLOOKUP(G1628, 'Detail PL'!$B$14:$Q$799, 10)</f>
        <v>#N/A</v>
      </c>
      <c r="H1631" s="204" t="s">
        <v>1905</v>
      </c>
      <c r="I1631" s="204"/>
      <c r="J1631" s="204"/>
      <c r="K1631" s="123"/>
      <c r="L1631" s="123"/>
      <c r="M1631" s="123"/>
      <c r="N1631" s="126"/>
    </row>
    <row r="1632" spans="1:14" s="4" customFormat="1" ht="25.2">
      <c r="A1632" s="125" t="s">
        <v>1906</v>
      </c>
      <c r="B1632" s="123"/>
      <c r="C1632" s="123"/>
      <c r="D1632" s="123"/>
      <c r="E1632" s="123"/>
      <c r="F1632" s="167"/>
      <c r="G1632" s="167"/>
      <c r="H1632" s="167"/>
      <c r="I1632" s="123"/>
      <c r="J1632" s="123"/>
      <c r="K1632" s="123"/>
      <c r="L1632" s="123"/>
      <c r="M1632" s="123"/>
      <c r="N1632" s="126"/>
    </row>
    <row r="1633" spans="1:15" s="3" customFormat="1" ht="9.9" customHeight="1">
      <c r="A1633" s="125"/>
      <c r="B1633" s="123"/>
      <c r="C1633" s="123"/>
      <c r="D1633" s="123"/>
      <c r="E1633" s="123"/>
      <c r="F1633" s="167"/>
      <c r="G1633" s="167"/>
      <c r="H1633" s="167"/>
      <c r="I1633" s="123"/>
      <c r="J1633" s="123"/>
      <c r="K1633" s="123"/>
      <c r="L1633" s="123"/>
      <c r="M1633" s="123"/>
      <c r="N1633" s="126"/>
    </row>
    <row r="1634" spans="1:15" s="3" customFormat="1" ht="25.2">
      <c r="A1634" s="125" t="s">
        <v>1907</v>
      </c>
      <c r="B1634" s="123"/>
      <c r="C1634" s="123"/>
      <c r="D1634" s="123"/>
      <c r="E1634" s="123"/>
      <c r="F1634" s="167" t="s">
        <v>1896</v>
      </c>
      <c r="G1634" s="204" t="e">
        <f>VLOOKUP(G1628, 'Detail PL'!$B$14:$Q$799, 11)</f>
        <v>#N/A</v>
      </c>
      <c r="H1634" s="204" t="s">
        <v>1905</v>
      </c>
      <c r="I1634" s="204"/>
      <c r="J1634" s="204"/>
      <c r="K1634" s="123"/>
      <c r="L1634" s="123"/>
      <c r="M1634" s="123"/>
      <c r="N1634" s="126"/>
    </row>
    <row r="1635" spans="1:15" s="4" customFormat="1" ht="25.2">
      <c r="A1635" s="125" t="s">
        <v>1908</v>
      </c>
      <c r="B1635" s="123"/>
      <c r="C1635" s="123"/>
      <c r="D1635" s="123"/>
      <c r="E1635" s="123"/>
      <c r="F1635" s="167"/>
      <c r="G1635" s="167"/>
      <c r="H1635" s="123"/>
      <c r="I1635" s="123"/>
      <c r="J1635" s="123"/>
      <c r="K1635" s="123"/>
      <c r="L1635" s="123"/>
      <c r="M1635" s="123"/>
      <c r="N1635" s="126"/>
    </row>
    <row r="1636" spans="1:15" s="3" customFormat="1" ht="9.9" customHeight="1">
      <c r="A1636" s="125"/>
      <c r="B1636" s="123"/>
      <c r="C1636" s="123"/>
      <c r="D1636" s="123"/>
      <c r="E1636" s="123"/>
      <c r="F1636" s="167"/>
      <c r="G1636" s="167"/>
      <c r="H1636" s="123"/>
      <c r="I1636" s="123"/>
      <c r="J1636" s="123"/>
      <c r="K1636" s="123"/>
      <c r="L1636" s="123"/>
      <c r="M1636" s="123"/>
      <c r="N1636" s="126"/>
    </row>
    <row r="1637" spans="1:15" s="3" customFormat="1" ht="25.2">
      <c r="A1637" s="129" t="s">
        <v>1909</v>
      </c>
      <c r="B1637" s="123"/>
      <c r="C1637" s="123"/>
      <c r="D1637" s="123"/>
      <c r="E1637" s="123"/>
      <c r="F1637" s="167" t="s">
        <v>1896</v>
      </c>
      <c r="G1637" s="204" t="e">
        <f>VLOOKUP(G1628, 'Detail PL'!$B$14:$Q$799, 9)</f>
        <v>#N/A</v>
      </c>
      <c r="H1637" s="205" t="s">
        <v>1910</v>
      </c>
      <c r="I1637" s="203"/>
      <c r="J1637" s="203"/>
      <c r="K1637" s="172"/>
      <c r="L1637" s="123"/>
      <c r="M1637" s="123"/>
      <c r="N1637" s="126"/>
    </row>
    <row r="1638" spans="1:15" s="4" customFormat="1" ht="25.2">
      <c r="A1638" s="125" t="s">
        <v>1911</v>
      </c>
      <c r="B1638" s="123"/>
      <c r="C1638" s="123"/>
      <c r="D1638" s="123"/>
      <c r="E1638" s="123"/>
      <c r="F1638" s="167"/>
      <c r="G1638" s="167"/>
      <c r="H1638" s="123"/>
      <c r="I1638" s="123"/>
      <c r="J1638" s="123"/>
      <c r="K1638" s="123"/>
      <c r="L1638" s="123"/>
      <c r="M1638" s="123"/>
      <c r="N1638" s="126"/>
    </row>
    <row r="1639" spans="1:15" s="3" customFormat="1" ht="9.9" customHeight="1">
      <c r="A1639" s="125"/>
      <c r="B1639" s="123"/>
      <c r="C1639" s="123"/>
      <c r="D1639" s="123"/>
      <c r="E1639" s="123"/>
      <c r="F1639" s="167"/>
      <c r="G1639" s="167"/>
      <c r="H1639" s="123"/>
      <c r="I1639" s="123"/>
      <c r="J1639" s="123"/>
      <c r="K1639" s="123"/>
      <c r="L1639" s="123"/>
      <c r="M1639" s="123"/>
      <c r="N1639" s="126"/>
    </row>
    <row r="1640" spans="1:15" s="3" customFormat="1" ht="42" customHeight="1">
      <c r="A1640" s="125" t="s">
        <v>1912</v>
      </c>
      <c r="B1640" s="123"/>
      <c r="C1640" s="123"/>
      <c r="D1640" s="123"/>
      <c r="E1640" s="123"/>
      <c r="F1640" s="166" t="s">
        <v>1913</v>
      </c>
      <c r="G1640" s="595" t="s">
        <v>1914</v>
      </c>
      <c r="H1640" s="595"/>
      <c r="I1640" s="595"/>
      <c r="J1640" s="595"/>
      <c r="K1640" s="595"/>
      <c r="L1640" s="595"/>
      <c r="M1640" s="595"/>
      <c r="N1640" s="596"/>
    </row>
    <row r="1641" spans="1:15" s="4" customFormat="1" ht="25.8" thickBot="1">
      <c r="A1641" s="125" t="s">
        <v>1915</v>
      </c>
      <c r="B1641" s="123"/>
      <c r="C1641" s="123"/>
      <c r="D1641" s="123"/>
      <c r="E1641" s="123"/>
      <c r="F1641" s="167"/>
      <c r="G1641" s="167"/>
      <c r="H1641" s="123"/>
      <c r="I1641" s="123"/>
      <c r="J1641" s="123"/>
      <c r="K1641" s="123"/>
      <c r="L1641" s="123"/>
      <c r="M1641" s="123"/>
      <c r="N1641" s="126"/>
    </row>
    <row r="1642" spans="1:15" ht="21" customHeight="1">
      <c r="A1642" s="598" t="s">
        <v>1916</v>
      </c>
      <c r="B1642" s="599"/>
      <c r="C1642" s="599"/>
      <c r="D1642" s="599"/>
      <c r="E1642" s="599"/>
      <c r="F1642" s="599"/>
      <c r="G1642" s="599"/>
      <c r="H1642" s="599"/>
      <c r="I1642" s="599"/>
      <c r="J1642" s="599"/>
      <c r="K1642" s="599"/>
      <c r="L1642" s="599"/>
      <c r="M1642" s="599"/>
      <c r="N1642" s="600"/>
    </row>
    <row r="1643" spans="1:15" ht="25.5" customHeight="1" thickBot="1">
      <c r="A1643" s="601"/>
      <c r="B1643" s="602"/>
      <c r="C1643" s="602"/>
      <c r="D1643" s="602"/>
      <c r="E1643" s="602"/>
      <c r="F1643" s="602"/>
      <c r="G1643" s="602"/>
      <c r="H1643" s="602"/>
      <c r="I1643" s="602"/>
      <c r="J1643" s="602"/>
      <c r="K1643" s="602"/>
      <c r="L1643" s="602"/>
      <c r="M1643" s="602"/>
      <c r="N1643" s="603"/>
    </row>
    <row r="1644" spans="1:15" ht="25.5" customHeight="1">
      <c r="E1644" s="206"/>
      <c r="F1644" s="206"/>
      <c r="G1644" s="206"/>
      <c r="H1644" s="206"/>
      <c r="I1644" s="206"/>
      <c r="J1644" s="206"/>
      <c r="K1644" s="206"/>
    </row>
    <row r="1645" spans="1:15" ht="21.6" thickBot="1"/>
    <row r="1646" spans="1:15" ht="95.25" customHeight="1" thickBot="1">
      <c r="A1646" s="592" t="s">
        <v>1883</v>
      </c>
      <c r="B1646" s="593"/>
      <c r="C1646" s="593"/>
      <c r="D1646" s="593"/>
      <c r="E1646" s="593"/>
      <c r="F1646" s="593"/>
      <c r="G1646" s="593"/>
      <c r="H1646" s="593"/>
      <c r="I1646" s="593"/>
      <c r="J1646" s="593"/>
      <c r="K1646" s="593"/>
      <c r="L1646" s="593"/>
      <c r="M1646" s="593"/>
      <c r="N1646" s="594"/>
    </row>
    <row r="1647" spans="1:15" s="3" customFormat="1" ht="37.5" customHeight="1">
      <c r="A1647" s="134" t="s">
        <v>1884</v>
      </c>
      <c r="B1647" s="166"/>
      <c r="C1647" s="166"/>
      <c r="D1647" s="123"/>
      <c r="E1647" s="123"/>
      <c r="F1647" s="167" t="s">
        <v>1885</v>
      </c>
      <c r="G1647" s="167" t="s">
        <v>1886</v>
      </c>
      <c r="H1647" s="167"/>
      <c r="I1647" s="167"/>
      <c r="J1647" s="167"/>
      <c r="K1647" s="167"/>
      <c r="L1647" s="167"/>
      <c r="M1647" s="167"/>
      <c r="N1647" s="152"/>
      <c r="O1647" s="201"/>
    </row>
    <row r="1648" spans="1:15" s="4" customFormat="1" ht="25.2">
      <c r="A1648" s="125" t="s">
        <v>1887</v>
      </c>
      <c r="B1648" s="123"/>
      <c r="C1648" s="123"/>
      <c r="D1648" s="123"/>
      <c r="E1648" s="123"/>
      <c r="F1648" s="167"/>
      <c r="G1648" s="167" t="s">
        <v>1888</v>
      </c>
      <c r="H1648" s="167"/>
      <c r="I1648" s="167"/>
      <c r="J1648" s="167"/>
      <c r="K1648" s="167"/>
      <c r="L1648" s="167"/>
      <c r="M1648" s="167"/>
      <c r="N1648" s="152"/>
    </row>
    <row r="1649" spans="1:14" s="3" customFormat="1" ht="9.9" customHeight="1">
      <c r="A1649" s="125"/>
      <c r="B1649" s="123"/>
      <c r="C1649" s="123"/>
      <c r="D1649" s="123"/>
      <c r="E1649" s="123"/>
      <c r="F1649" s="167"/>
      <c r="G1649" s="123"/>
      <c r="H1649" s="123"/>
      <c r="I1649" s="123"/>
      <c r="J1649" s="123"/>
      <c r="K1649" s="123"/>
      <c r="L1649" s="123"/>
      <c r="M1649" s="123"/>
      <c r="N1649" s="126"/>
    </row>
    <row r="1650" spans="1:14" s="3" customFormat="1" ht="42.75" customHeight="1">
      <c r="A1650" s="125" t="s">
        <v>1889</v>
      </c>
      <c r="B1650" s="123"/>
      <c r="C1650" s="123"/>
      <c r="D1650" s="123"/>
      <c r="E1650" s="123"/>
      <c r="F1650" s="167" t="s">
        <v>1885</v>
      </c>
      <c r="G1650" s="167" t="str">
        <f>PL!$B$13</f>
        <v>Branch of JSC "Doosan Enerbility" in the Turkestan region</v>
      </c>
      <c r="H1650" s="123"/>
      <c r="I1650" s="123"/>
      <c r="J1650" s="123"/>
      <c r="K1650" s="123"/>
      <c r="L1650" s="123"/>
      <c r="M1650" s="123"/>
      <c r="N1650" s="126"/>
    </row>
    <row r="1651" spans="1:14" s="3" customFormat="1" ht="24" customHeight="1">
      <c r="A1651" s="125" t="s">
        <v>1890</v>
      </c>
      <c r="B1651" s="123"/>
      <c r="C1651" s="123"/>
      <c r="D1651" s="123"/>
      <c r="E1651" s="123"/>
      <c r="F1651" s="168"/>
      <c r="G1651" s="167" t="str">
        <f>PL!$B$14</f>
        <v>321 Tauke Khan Avenue, Turkestan region, Turkestan, Kazakhstan, 161200</v>
      </c>
      <c r="H1651" s="123"/>
      <c r="I1651" s="123"/>
      <c r="J1651" s="123"/>
      <c r="K1651" s="123"/>
      <c r="L1651" s="123"/>
      <c r="M1651" s="123"/>
      <c r="N1651" s="126"/>
    </row>
    <row r="1652" spans="1:14" s="4" customFormat="1" ht="25.2">
      <c r="A1652" s="125"/>
      <c r="B1652" s="123"/>
      <c r="C1652" s="123"/>
      <c r="D1652" s="123"/>
      <c r="E1652" s="123"/>
      <c r="F1652" s="168"/>
      <c r="G1652" s="167" t="str">
        <f>PL!$B$15</f>
        <v>BIN: 230741006561</v>
      </c>
      <c r="H1652" s="123"/>
      <c r="I1652" s="123"/>
      <c r="J1652" s="123"/>
      <c r="K1652" s="123"/>
      <c r="L1652" s="123"/>
      <c r="M1652" s="123"/>
      <c r="N1652" s="126"/>
    </row>
    <row r="1653" spans="1:14" s="3" customFormat="1" ht="9.9" customHeight="1">
      <c r="A1653" s="125"/>
      <c r="B1653" s="123"/>
      <c r="C1653" s="123"/>
      <c r="D1653" s="123"/>
      <c r="E1653" s="123"/>
      <c r="F1653" s="169"/>
      <c r="G1653" s="169"/>
      <c r="H1653" s="123"/>
      <c r="I1653" s="123"/>
      <c r="J1653" s="123"/>
      <c r="K1653" s="123"/>
      <c r="L1653" s="123"/>
      <c r="M1653" s="123"/>
      <c r="N1653" s="126"/>
    </row>
    <row r="1654" spans="1:14" s="3" customFormat="1" ht="25.2">
      <c r="A1654" s="125" t="s">
        <v>1891</v>
      </c>
      <c r="B1654" s="123"/>
      <c r="C1654" s="123"/>
      <c r="D1654" s="123"/>
      <c r="E1654" s="123"/>
      <c r="F1654" s="167" t="s">
        <v>1892</v>
      </c>
      <c r="G1654" s="123"/>
      <c r="H1654" s="123"/>
      <c r="I1654" s="123"/>
      <c r="J1654" s="123"/>
      <c r="K1654" s="123"/>
      <c r="L1654" s="123"/>
      <c r="M1654" s="123"/>
      <c r="N1654" s="126"/>
    </row>
    <row r="1655" spans="1:14" s="4" customFormat="1" ht="25.2">
      <c r="A1655" s="125" t="s">
        <v>1893</v>
      </c>
      <c r="B1655" s="123"/>
      <c r="C1655" s="123"/>
      <c r="D1655" s="123"/>
      <c r="E1655" s="123"/>
      <c r="F1655" s="167" t="s">
        <v>1894</v>
      </c>
      <c r="G1655" s="123"/>
      <c r="H1655" s="123"/>
      <c r="I1655" s="123"/>
      <c r="J1655" s="123"/>
      <c r="K1655" s="123"/>
      <c r="L1655" s="123"/>
      <c r="M1655" s="123"/>
      <c r="N1655" s="126"/>
    </row>
    <row r="1656" spans="1:14" s="3" customFormat="1" ht="9.9" customHeight="1">
      <c r="A1656" s="125"/>
      <c r="B1656" s="123"/>
      <c r="C1656" s="123"/>
      <c r="D1656" s="123"/>
      <c r="E1656" s="123"/>
      <c r="F1656" s="167"/>
      <c r="G1656" s="123"/>
      <c r="H1656" s="123"/>
      <c r="I1656" s="123"/>
      <c r="J1656" s="123"/>
      <c r="K1656" s="123"/>
      <c r="L1656" s="123"/>
      <c r="M1656" s="123"/>
      <c r="N1656" s="126"/>
    </row>
    <row r="1657" spans="1:14" s="3" customFormat="1" ht="25.2">
      <c r="A1657" s="125" t="s">
        <v>1895</v>
      </c>
      <c r="B1657" s="123"/>
      <c r="C1657" s="123"/>
      <c r="D1657" s="123"/>
      <c r="E1657" s="123"/>
      <c r="F1657" s="167" t="s">
        <v>1896</v>
      </c>
      <c r="G1657" s="167" t="str">
        <f>PL!$V$8</f>
        <v>PGU-DE-0139-001</v>
      </c>
      <c r="H1657" s="123"/>
      <c r="I1657" s="123"/>
      <c r="J1657" s="123"/>
      <c r="K1657" s="123"/>
      <c r="L1657" s="123"/>
      <c r="M1657" s="123"/>
      <c r="N1657" s="126"/>
    </row>
    <row r="1658" spans="1:14" s="3" customFormat="1" ht="25.2">
      <c r="A1658" s="125" t="s">
        <v>1897</v>
      </c>
      <c r="B1658" s="123"/>
      <c r="C1658" s="123"/>
      <c r="D1658" s="123"/>
      <c r="E1658" s="123"/>
      <c r="F1658" s="167"/>
      <c r="G1658" s="123"/>
      <c r="H1658" s="123"/>
      <c r="I1658" s="123"/>
      <c r="J1658" s="123"/>
      <c r="K1658" s="123"/>
      <c r="L1658" s="123"/>
      <c r="M1658" s="123"/>
      <c r="N1658" s="126"/>
    </row>
    <row r="1659" spans="1:14" s="3" customFormat="1" ht="9.9" customHeight="1">
      <c r="A1659" s="125"/>
      <c r="B1659" s="123"/>
      <c r="C1659" s="123"/>
      <c r="D1659" s="123"/>
      <c r="E1659" s="123"/>
      <c r="F1659" s="167"/>
      <c r="G1659" s="123"/>
      <c r="H1659" s="123"/>
      <c r="I1659" s="123"/>
      <c r="J1659" s="123"/>
      <c r="K1659" s="123"/>
      <c r="L1659" s="123"/>
      <c r="M1659" s="123"/>
      <c r="N1659" s="126"/>
    </row>
    <row r="1660" spans="1:14" s="3" customFormat="1" ht="31.2" customHeight="1">
      <c r="A1660" s="127" t="s">
        <v>1898</v>
      </c>
      <c r="B1660" s="170"/>
      <c r="C1660" s="170"/>
      <c r="D1660" s="170"/>
      <c r="E1660" s="170"/>
      <c r="F1660" s="171" t="s">
        <v>1885</v>
      </c>
      <c r="G1660" s="597" t="e">
        <f>VLOOKUP(G1663, 'Detail PL'!$B$14:$Q$799,2)</f>
        <v>#N/A</v>
      </c>
      <c r="H1660" s="597"/>
      <c r="I1660" s="597"/>
      <c r="J1660" s="597"/>
      <c r="K1660" s="597"/>
      <c r="L1660" s="597"/>
      <c r="M1660" s="597"/>
      <c r="N1660" s="128"/>
    </row>
    <row r="1661" spans="1:14" s="3" customFormat="1" ht="25.2">
      <c r="A1661" s="127" t="s">
        <v>1899</v>
      </c>
      <c r="B1661" s="170"/>
      <c r="C1661" s="170"/>
      <c r="D1661" s="170"/>
      <c r="E1661" s="170"/>
      <c r="F1661" s="171"/>
      <c r="G1661" s="170"/>
      <c r="H1661" s="170"/>
      <c r="I1661" s="170"/>
      <c r="J1661" s="170"/>
      <c r="K1661" s="170"/>
      <c r="L1661" s="170"/>
      <c r="M1661" s="170"/>
      <c r="N1661" s="128"/>
    </row>
    <row r="1662" spans="1:14" s="3" customFormat="1" ht="9.9" customHeight="1">
      <c r="A1662" s="125"/>
      <c r="B1662" s="123"/>
      <c r="C1662" s="123"/>
      <c r="D1662" s="123"/>
      <c r="E1662" s="123"/>
      <c r="F1662" s="167"/>
      <c r="G1662" s="123"/>
      <c r="H1662" s="123"/>
      <c r="I1662" s="123"/>
      <c r="J1662" s="123"/>
      <c r="K1662" s="123"/>
      <c r="L1662" s="123"/>
      <c r="M1662" s="123"/>
      <c r="N1662" s="126"/>
    </row>
    <row r="1663" spans="1:14" s="3" customFormat="1" ht="25.2">
      <c r="A1663" s="125" t="s">
        <v>1900</v>
      </c>
      <c r="B1663" s="123"/>
      <c r="C1663" s="123"/>
      <c r="D1663" s="123"/>
      <c r="E1663" s="123"/>
      <c r="F1663" s="171" t="s">
        <v>1901</v>
      </c>
      <c r="G1663" s="604">
        <f t="shared" ref="G1663" si="45">G1628+1</f>
        <v>48</v>
      </c>
      <c r="H1663" s="604"/>
      <c r="I1663" s="604"/>
      <c r="J1663" s="604"/>
      <c r="K1663" s="604"/>
      <c r="L1663" s="123"/>
      <c r="M1663" s="123"/>
      <c r="N1663" s="126"/>
    </row>
    <row r="1664" spans="1:14" s="4" customFormat="1" ht="25.2">
      <c r="A1664" s="125" t="s">
        <v>1903</v>
      </c>
      <c r="B1664" s="123"/>
      <c r="C1664" s="123"/>
      <c r="D1664" s="123"/>
      <c r="E1664" s="123"/>
      <c r="F1664" s="167"/>
      <c r="G1664" s="167"/>
      <c r="H1664" s="123"/>
      <c r="I1664" s="123"/>
      <c r="J1664" s="123"/>
      <c r="K1664" s="123"/>
      <c r="L1664" s="123"/>
      <c r="M1664" s="123"/>
      <c r="N1664" s="126"/>
    </row>
    <row r="1665" spans="1:14" s="3" customFormat="1" ht="9.9" customHeight="1">
      <c r="A1665" s="125"/>
      <c r="B1665" s="123"/>
      <c r="C1665" s="123"/>
      <c r="D1665" s="123"/>
      <c r="E1665" s="123"/>
      <c r="F1665" s="167"/>
      <c r="G1665" s="167"/>
      <c r="H1665" s="123"/>
      <c r="I1665" s="123"/>
      <c r="J1665" s="123"/>
      <c r="K1665" s="123"/>
      <c r="L1665" s="123"/>
      <c r="M1665" s="123"/>
      <c r="N1665" s="126"/>
    </row>
    <row r="1666" spans="1:14" s="3" customFormat="1" ht="25.2">
      <c r="A1666" s="125" t="s">
        <v>1904</v>
      </c>
      <c r="B1666" s="123"/>
      <c r="C1666" s="123"/>
      <c r="D1666" s="123"/>
      <c r="E1666" s="123"/>
      <c r="F1666" s="167" t="s">
        <v>1896</v>
      </c>
      <c r="G1666" s="204" t="e">
        <f>VLOOKUP(G1663, 'Detail PL'!$B$14:$Q$799, 10)</f>
        <v>#N/A</v>
      </c>
      <c r="H1666" s="204" t="s">
        <v>1905</v>
      </c>
      <c r="I1666" s="204"/>
      <c r="J1666" s="204"/>
      <c r="K1666" s="123"/>
      <c r="L1666" s="123"/>
      <c r="M1666" s="123"/>
      <c r="N1666" s="126"/>
    </row>
    <row r="1667" spans="1:14" s="4" customFormat="1" ht="25.2">
      <c r="A1667" s="125" t="s">
        <v>1906</v>
      </c>
      <c r="B1667" s="123"/>
      <c r="C1667" s="123"/>
      <c r="D1667" s="123"/>
      <c r="E1667" s="123"/>
      <c r="F1667" s="167"/>
      <c r="G1667" s="167"/>
      <c r="H1667" s="167"/>
      <c r="I1667" s="123"/>
      <c r="J1667" s="123"/>
      <c r="K1667" s="123"/>
      <c r="L1667" s="123"/>
      <c r="M1667" s="123"/>
      <c r="N1667" s="126"/>
    </row>
    <row r="1668" spans="1:14" s="3" customFormat="1" ht="9.9" customHeight="1">
      <c r="A1668" s="125"/>
      <c r="B1668" s="123"/>
      <c r="C1668" s="123"/>
      <c r="D1668" s="123"/>
      <c r="E1668" s="123"/>
      <c r="F1668" s="167"/>
      <c r="G1668" s="167"/>
      <c r="H1668" s="167"/>
      <c r="I1668" s="123"/>
      <c r="J1668" s="123"/>
      <c r="K1668" s="123"/>
      <c r="L1668" s="123"/>
      <c r="M1668" s="123"/>
      <c r="N1668" s="126"/>
    </row>
    <row r="1669" spans="1:14" s="3" customFormat="1" ht="25.2">
      <c r="A1669" s="125" t="s">
        <v>1907</v>
      </c>
      <c r="B1669" s="123"/>
      <c r="C1669" s="123"/>
      <c r="D1669" s="123"/>
      <c r="E1669" s="123"/>
      <c r="F1669" s="167" t="s">
        <v>1896</v>
      </c>
      <c r="G1669" s="204" t="e">
        <f>VLOOKUP(G1663, 'Detail PL'!$B$14:$Q$799, 11)</f>
        <v>#N/A</v>
      </c>
      <c r="H1669" s="204" t="s">
        <v>1905</v>
      </c>
      <c r="I1669" s="204"/>
      <c r="J1669" s="204"/>
      <c r="K1669" s="123"/>
      <c r="L1669" s="123"/>
      <c r="M1669" s="123"/>
      <c r="N1669" s="126"/>
    </row>
    <row r="1670" spans="1:14" s="4" customFormat="1" ht="25.2">
      <c r="A1670" s="125" t="s">
        <v>1908</v>
      </c>
      <c r="B1670" s="123"/>
      <c r="C1670" s="123"/>
      <c r="D1670" s="123"/>
      <c r="E1670" s="123"/>
      <c r="F1670" s="167"/>
      <c r="G1670" s="167"/>
      <c r="H1670" s="123"/>
      <c r="I1670" s="123"/>
      <c r="J1670" s="123"/>
      <c r="K1670" s="123"/>
      <c r="L1670" s="123"/>
      <c r="M1670" s="123"/>
      <c r="N1670" s="126"/>
    </row>
    <row r="1671" spans="1:14" s="3" customFormat="1" ht="9.9" customHeight="1">
      <c r="A1671" s="125"/>
      <c r="B1671" s="123"/>
      <c r="C1671" s="123"/>
      <c r="D1671" s="123"/>
      <c r="E1671" s="123"/>
      <c r="F1671" s="167"/>
      <c r="G1671" s="167"/>
      <c r="H1671" s="123"/>
      <c r="I1671" s="123"/>
      <c r="J1671" s="123"/>
      <c r="K1671" s="123"/>
      <c r="L1671" s="123"/>
      <c r="M1671" s="123"/>
      <c r="N1671" s="126"/>
    </row>
    <row r="1672" spans="1:14" s="3" customFormat="1" ht="25.2">
      <c r="A1672" s="129" t="s">
        <v>1909</v>
      </c>
      <c r="B1672" s="123"/>
      <c r="C1672" s="123"/>
      <c r="D1672" s="123"/>
      <c r="E1672" s="123"/>
      <c r="F1672" s="167" t="s">
        <v>1896</v>
      </c>
      <c r="G1672" s="204" t="e">
        <f>VLOOKUP(G1663, 'Detail PL'!$B$14:$Q$799, 9)</f>
        <v>#N/A</v>
      </c>
      <c r="H1672" s="205" t="s">
        <v>1910</v>
      </c>
      <c r="I1672" s="203"/>
      <c r="J1672" s="203"/>
      <c r="K1672" s="172"/>
      <c r="L1672" s="123"/>
      <c r="M1672" s="123"/>
      <c r="N1672" s="126"/>
    </row>
    <row r="1673" spans="1:14" s="4" customFormat="1" ht="25.2">
      <c r="A1673" s="125" t="s">
        <v>1911</v>
      </c>
      <c r="B1673" s="123"/>
      <c r="C1673" s="123"/>
      <c r="D1673" s="123"/>
      <c r="E1673" s="123"/>
      <c r="F1673" s="167"/>
      <c r="G1673" s="167"/>
      <c r="H1673" s="123"/>
      <c r="I1673" s="123"/>
      <c r="J1673" s="123"/>
      <c r="K1673" s="123"/>
      <c r="L1673" s="123"/>
      <c r="M1673" s="123"/>
      <c r="N1673" s="126"/>
    </row>
    <row r="1674" spans="1:14" s="3" customFormat="1" ht="9.9" customHeight="1">
      <c r="A1674" s="125"/>
      <c r="B1674" s="123"/>
      <c r="C1674" s="123"/>
      <c r="D1674" s="123"/>
      <c r="E1674" s="123"/>
      <c r="F1674" s="167"/>
      <c r="G1674" s="167"/>
      <c r="H1674" s="123"/>
      <c r="I1674" s="123"/>
      <c r="J1674" s="123"/>
      <c r="K1674" s="123"/>
      <c r="L1674" s="123"/>
      <c r="M1674" s="123"/>
      <c r="N1674" s="126"/>
    </row>
    <row r="1675" spans="1:14" s="3" customFormat="1" ht="42" customHeight="1">
      <c r="A1675" s="125" t="s">
        <v>1912</v>
      </c>
      <c r="B1675" s="123"/>
      <c r="C1675" s="123"/>
      <c r="D1675" s="123"/>
      <c r="E1675" s="123"/>
      <c r="F1675" s="166" t="s">
        <v>1913</v>
      </c>
      <c r="G1675" s="595" t="s">
        <v>1914</v>
      </c>
      <c r="H1675" s="595"/>
      <c r="I1675" s="595"/>
      <c r="J1675" s="595"/>
      <c r="K1675" s="595"/>
      <c r="L1675" s="595"/>
      <c r="M1675" s="595"/>
      <c r="N1675" s="596"/>
    </row>
    <row r="1676" spans="1:14" s="4" customFormat="1" ht="25.8" thickBot="1">
      <c r="A1676" s="125" t="s">
        <v>1915</v>
      </c>
      <c r="B1676" s="123"/>
      <c r="C1676" s="123"/>
      <c r="D1676" s="123"/>
      <c r="E1676" s="123"/>
      <c r="F1676" s="167"/>
      <c r="G1676" s="167"/>
      <c r="H1676" s="123"/>
      <c r="I1676" s="123"/>
      <c r="J1676" s="123"/>
      <c r="K1676" s="123"/>
      <c r="L1676" s="123"/>
      <c r="M1676" s="123"/>
      <c r="N1676" s="126"/>
    </row>
    <row r="1677" spans="1:14" ht="21" customHeight="1">
      <c r="A1677" s="598" t="s">
        <v>1916</v>
      </c>
      <c r="B1677" s="599"/>
      <c r="C1677" s="599"/>
      <c r="D1677" s="599"/>
      <c r="E1677" s="599"/>
      <c r="F1677" s="599"/>
      <c r="G1677" s="599"/>
      <c r="H1677" s="599"/>
      <c r="I1677" s="599"/>
      <c r="J1677" s="599"/>
      <c r="K1677" s="599"/>
      <c r="L1677" s="599"/>
      <c r="M1677" s="599"/>
      <c r="N1677" s="600"/>
    </row>
    <row r="1678" spans="1:14" ht="25.5" customHeight="1" thickBot="1">
      <c r="A1678" s="601"/>
      <c r="B1678" s="602"/>
      <c r="C1678" s="602"/>
      <c r="D1678" s="602"/>
      <c r="E1678" s="602"/>
      <c r="F1678" s="602"/>
      <c r="G1678" s="602"/>
      <c r="H1678" s="602"/>
      <c r="I1678" s="602"/>
      <c r="J1678" s="602"/>
      <c r="K1678" s="602"/>
      <c r="L1678" s="602"/>
      <c r="M1678" s="602"/>
      <c r="N1678" s="603"/>
    </row>
    <row r="1679" spans="1:14" ht="25.5" customHeight="1">
      <c r="E1679" s="206"/>
      <c r="F1679" s="206"/>
      <c r="G1679" s="206"/>
      <c r="H1679" s="206"/>
      <c r="I1679" s="206"/>
      <c r="J1679" s="206"/>
      <c r="K1679" s="206"/>
    </row>
    <row r="1680" spans="1:14" ht="21.6" thickBot="1"/>
    <row r="1681" spans="1:15" ht="95.25" customHeight="1" thickBot="1">
      <c r="A1681" s="592" t="s">
        <v>1883</v>
      </c>
      <c r="B1681" s="593"/>
      <c r="C1681" s="593"/>
      <c r="D1681" s="593"/>
      <c r="E1681" s="593"/>
      <c r="F1681" s="593"/>
      <c r="G1681" s="593"/>
      <c r="H1681" s="593"/>
      <c r="I1681" s="593"/>
      <c r="J1681" s="593"/>
      <c r="K1681" s="593"/>
      <c r="L1681" s="593"/>
      <c r="M1681" s="593"/>
      <c r="N1681" s="594"/>
    </row>
    <row r="1682" spans="1:15" s="3" customFormat="1" ht="37.5" customHeight="1">
      <c r="A1682" s="134" t="s">
        <v>1884</v>
      </c>
      <c r="B1682" s="166"/>
      <c r="C1682" s="166"/>
      <c r="D1682" s="123"/>
      <c r="E1682" s="123"/>
      <c r="F1682" s="167" t="s">
        <v>1885</v>
      </c>
      <c r="G1682" s="167" t="s">
        <v>1886</v>
      </c>
      <c r="H1682" s="167"/>
      <c r="I1682" s="167"/>
      <c r="J1682" s="167"/>
      <c r="K1682" s="167"/>
      <c r="L1682" s="167"/>
      <c r="M1682" s="167"/>
      <c r="N1682" s="152"/>
      <c r="O1682" s="201"/>
    </row>
    <row r="1683" spans="1:15" s="4" customFormat="1" ht="25.2">
      <c r="A1683" s="125" t="s">
        <v>1887</v>
      </c>
      <c r="B1683" s="123"/>
      <c r="C1683" s="123"/>
      <c r="D1683" s="123"/>
      <c r="E1683" s="123"/>
      <c r="F1683" s="167"/>
      <c r="G1683" s="167" t="s">
        <v>1888</v>
      </c>
      <c r="H1683" s="167"/>
      <c r="I1683" s="167"/>
      <c r="J1683" s="167"/>
      <c r="K1683" s="167"/>
      <c r="L1683" s="167"/>
      <c r="M1683" s="167"/>
      <c r="N1683" s="152"/>
    </row>
    <row r="1684" spans="1:15" s="3" customFormat="1" ht="9.9" customHeight="1">
      <c r="A1684" s="125"/>
      <c r="B1684" s="123"/>
      <c r="C1684" s="123"/>
      <c r="D1684" s="123"/>
      <c r="E1684" s="123"/>
      <c r="F1684" s="167"/>
      <c r="G1684" s="123"/>
      <c r="H1684" s="123"/>
      <c r="I1684" s="123"/>
      <c r="J1684" s="123"/>
      <c r="K1684" s="123"/>
      <c r="L1684" s="123"/>
      <c r="M1684" s="123"/>
      <c r="N1684" s="126"/>
    </row>
    <row r="1685" spans="1:15" s="3" customFormat="1" ht="42.75" customHeight="1">
      <c r="A1685" s="125" t="s">
        <v>1889</v>
      </c>
      <c r="B1685" s="123"/>
      <c r="C1685" s="123"/>
      <c r="D1685" s="123"/>
      <c r="E1685" s="123"/>
      <c r="F1685" s="167" t="s">
        <v>1885</v>
      </c>
      <c r="G1685" s="167" t="str">
        <f>PL!$B$13</f>
        <v>Branch of JSC "Doosan Enerbility" in the Turkestan region</v>
      </c>
      <c r="H1685" s="123"/>
      <c r="I1685" s="123"/>
      <c r="J1685" s="123"/>
      <c r="K1685" s="123"/>
      <c r="L1685" s="123"/>
      <c r="M1685" s="123"/>
      <c r="N1685" s="126"/>
    </row>
    <row r="1686" spans="1:15" s="3" customFormat="1" ht="24" customHeight="1">
      <c r="A1686" s="125" t="s">
        <v>1890</v>
      </c>
      <c r="B1686" s="123"/>
      <c r="C1686" s="123"/>
      <c r="D1686" s="123"/>
      <c r="E1686" s="123"/>
      <c r="F1686" s="168"/>
      <c r="G1686" s="167" t="str">
        <f>PL!$B$14</f>
        <v>321 Tauke Khan Avenue, Turkestan region, Turkestan, Kazakhstan, 161200</v>
      </c>
      <c r="H1686" s="123"/>
      <c r="I1686" s="123"/>
      <c r="J1686" s="123"/>
      <c r="K1686" s="123"/>
      <c r="L1686" s="123"/>
      <c r="M1686" s="123"/>
      <c r="N1686" s="126"/>
    </row>
    <row r="1687" spans="1:15" s="4" customFormat="1" ht="25.2">
      <c r="A1687" s="125"/>
      <c r="B1687" s="123"/>
      <c r="C1687" s="123"/>
      <c r="D1687" s="123"/>
      <c r="E1687" s="123"/>
      <c r="F1687" s="168"/>
      <c r="G1687" s="167" t="str">
        <f>PL!$B$15</f>
        <v>BIN: 230741006561</v>
      </c>
      <c r="H1687" s="123"/>
      <c r="I1687" s="123"/>
      <c r="J1687" s="123"/>
      <c r="K1687" s="123"/>
      <c r="L1687" s="123"/>
      <c r="M1687" s="123"/>
      <c r="N1687" s="126"/>
    </row>
    <row r="1688" spans="1:15" s="3" customFormat="1" ht="9.9" customHeight="1">
      <c r="A1688" s="125"/>
      <c r="B1688" s="123"/>
      <c r="C1688" s="123"/>
      <c r="D1688" s="123"/>
      <c r="E1688" s="123"/>
      <c r="F1688" s="169"/>
      <c r="G1688" s="169"/>
      <c r="H1688" s="123"/>
      <c r="I1688" s="123"/>
      <c r="J1688" s="123"/>
      <c r="K1688" s="123"/>
      <c r="L1688" s="123"/>
      <c r="M1688" s="123"/>
      <c r="N1688" s="126"/>
    </row>
    <row r="1689" spans="1:15" s="3" customFormat="1" ht="25.2">
      <c r="A1689" s="125" t="s">
        <v>1891</v>
      </c>
      <c r="B1689" s="123"/>
      <c r="C1689" s="123"/>
      <c r="D1689" s="123"/>
      <c r="E1689" s="123"/>
      <c r="F1689" s="167" t="s">
        <v>1892</v>
      </c>
      <c r="G1689" s="123"/>
      <c r="H1689" s="123"/>
      <c r="I1689" s="123"/>
      <c r="J1689" s="123"/>
      <c r="K1689" s="123"/>
      <c r="L1689" s="123"/>
      <c r="M1689" s="123"/>
      <c r="N1689" s="126"/>
    </row>
    <row r="1690" spans="1:15" s="4" customFormat="1" ht="25.2">
      <c r="A1690" s="125" t="s">
        <v>1893</v>
      </c>
      <c r="B1690" s="123"/>
      <c r="C1690" s="123"/>
      <c r="D1690" s="123"/>
      <c r="E1690" s="123"/>
      <c r="F1690" s="167" t="s">
        <v>1894</v>
      </c>
      <c r="G1690" s="123"/>
      <c r="H1690" s="123"/>
      <c r="I1690" s="123"/>
      <c r="J1690" s="123"/>
      <c r="K1690" s="123"/>
      <c r="L1690" s="123"/>
      <c r="M1690" s="123"/>
      <c r="N1690" s="126"/>
    </row>
    <row r="1691" spans="1:15" s="3" customFormat="1" ht="9.9" customHeight="1">
      <c r="A1691" s="125"/>
      <c r="B1691" s="123"/>
      <c r="C1691" s="123"/>
      <c r="D1691" s="123"/>
      <c r="E1691" s="123"/>
      <c r="F1691" s="167"/>
      <c r="G1691" s="123"/>
      <c r="H1691" s="123"/>
      <c r="I1691" s="123"/>
      <c r="J1691" s="123"/>
      <c r="K1691" s="123"/>
      <c r="L1691" s="123"/>
      <c r="M1691" s="123"/>
      <c r="N1691" s="126"/>
    </row>
    <row r="1692" spans="1:15" s="3" customFormat="1" ht="25.2">
      <c r="A1692" s="125" t="s">
        <v>1895</v>
      </c>
      <c r="B1692" s="123"/>
      <c r="C1692" s="123"/>
      <c r="D1692" s="123"/>
      <c r="E1692" s="123"/>
      <c r="F1692" s="167" t="s">
        <v>1896</v>
      </c>
      <c r="G1692" s="167" t="str">
        <f>PL!$V$8</f>
        <v>PGU-DE-0139-001</v>
      </c>
      <c r="H1692" s="123"/>
      <c r="I1692" s="123"/>
      <c r="J1692" s="123"/>
      <c r="K1692" s="123"/>
      <c r="L1692" s="123"/>
      <c r="M1692" s="123"/>
      <c r="N1692" s="126"/>
    </row>
    <row r="1693" spans="1:15" s="3" customFormat="1" ht="25.2">
      <c r="A1693" s="125" t="s">
        <v>1897</v>
      </c>
      <c r="B1693" s="123"/>
      <c r="C1693" s="123"/>
      <c r="D1693" s="123"/>
      <c r="E1693" s="123"/>
      <c r="F1693" s="167"/>
      <c r="G1693" s="123"/>
      <c r="H1693" s="123"/>
      <c r="I1693" s="123"/>
      <c r="J1693" s="123"/>
      <c r="K1693" s="123"/>
      <c r="L1693" s="123"/>
      <c r="M1693" s="123"/>
      <c r="N1693" s="126"/>
    </row>
    <row r="1694" spans="1:15" s="3" customFormat="1" ht="9.9" customHeight="1">
      <c r="A1694" s="125"/>
      <c r="B1694" s="123"/>
      <c r="C1694" s="123"/>
      <c r="D1694" s="123"/>
      <c r="E1694" s="123"/>
      <c r="F1694" s="167"/>
      <c r="G1694" s="123"/>
      <c r="H1694" s="123"/>
      <c r="I1694" s="123"/>
      <c r="J1694" s="123"/>
      <c r="K1694" s="123"/>
      <c r="L1694" s="123"/>
      <c r="M1694" s="123"/>
      <c r="N1694" s="126"/>
    </row>
    <row r="1695" spans="1:15" s="3" customFormat="1" ht="31.2" customHeight="1">
      <c r="A1695" s="127" t="s">
        <v>1898</v>
      </c>
      <c r="B1695" s="170"/>
      <c r="C1695" s="170"/>
      <c r="D1695" s="170"/>
      <c r="E1695" s="170"/>
      <c r="F1695" s="171" t="s">
        <v>1885</v>
      </c>
      <c r="G1695" s="597" t="e">
        <f>VLOOKUP(G1698, 'Detail PL'!$B$14:$Q$799,2)</f>
        <v>#N/A</v>
      </c>
      <c r="H1695" s="597"/>
      <c r="I1695" s="597"/>
      <c r="J1695" s="597"/>
      <c r="K1695" s="597"/>
      <c r="L1695" s="597"/>
      <c r="M1695" s="597"/>
      <c r="N1695" s="128"/>
    </row>
    <row r="1696" spans="1:15" s="3" customFormat="1" ht="25.2">
      <c r="A1696" s="127" t="s">
        <v>1899</v>
      </c>
      <c r="B1696" s="170"/>
      <c r="C1696" s="170"/>
      <c r="D1696" s="170"/>
      <c r="E1696" s="170"/>
      <c r="F1696" s="171"/>
      <c r="G1696" s="170"/>
      <c r="H1696" s="170"/>
      <c r="I1696" s="170"/>
      <c r="J1696" s="170"/>
      <c r="K1696" s="170"/>
      <c r="L1696" s="170"/>
      <c r="M1696" s="170"/>
      <c r="N1696" s="128"/>
    </row>
    <row r="1697" spans="1:14" s="3" customFormat="1" ht="9.9" customHeight="1">
      <c r="A1697" s="125"/>
      <c r="B1697" s="123"/>
      <c r="C1697" s="123"/>
      <c r="D1697" s="123"/>
      <c r="E1697" s="123"/>
      <c r="F1697" s="167"/>
      <c r="G1697" s="123"/>
      <c r="H1697" s="123"/>
      <c r="I1697" s="123"/>
      <c r="J1697" s="123"/>
      <c r="K1697" s="123"/>
      <c r="L1697" s="123"/>
      <c r="M1697" s="123"/>
      <c r="N1697" s="126"/>
    </row>
    <row r="1698" spans="1:14" s="3" customFormat="1" ht="25.2">
      <c r="A1698" s="125" t="s">
        <v>1900</v>
      </c>
      <c r="B1698" s="123"/>
      <c r="C1698" s="123"/>
      <c r="D1698" s="123"/>
      <c r="E1698" s="123"/>
      <c r="F1698" s="171" t="s">
        <v>1901</v>
      </c>
      <c r="G1698" s="604">
        <f t="shared" ref="G1698" si="46">G1663+1</f>
        <v>49</v>
      </c>
      <c r="H1698" s="604"/>
      <c r="I1698" s="604"/>
      <c r="J1698" s="604"/>
      <c r="K1698" s="604"/>
      <c r="L1698" s="123"/>
      <c r="M1698" s="123"/>
      <c r="N1698" s="126"/>
    </row>
    <row r="1699" spans="1:14" s="4" customFormat="1" ht="25.2">
      <c r="A1699" s="125" t="s">
        <v>1903</v>
      </c>
      <c r="B1699" s="123"/>
      <c r="C1699" s="123"/>
      <c r="D1699" s="123"/>
      <c r="E1699" s="123"/>
      <c r="F1699" s="167"/>
      <c r="G1699" s="167"/>
      <c r="H1699" s="123"/>
      <c r="I1699" s="123"/>
      <c r="J1699" s="123"/>
      <c r="K1699" s="123"/>
      <c r="L1699" s="123"/>
      <c r="M1699" s="123"/>
      <c r="N1699" s="126"/>
    </row>
    <row r="1700" spans="1:14" s="3" customFormat="1" ht="9.9" customHeight="1">
      <c r="A1700" s="125"/>
      <c r="B1700" s="123"/>
      <c r="C1700" s="123"/>
      <c r="D1700" s="123"/>
      <c r="E1700" s="123"/>
      <c r="F1700" s="167"/>
      <c r="G1700" s="167"/>
      <c r="H1700" s="123"/>
      <c r="I1700" s="123"/>
      <c r="J1700" s="123"/>
      <c r="K1700" s="123"/>
      <c r="L1700" s="123"/>
      <c r="M1700" s="123"/>
      <c r="N1700" s="126"/>
    </row>
    <row r="1701" spans="1:14" s="3" customFormat="1" ht="25.2">
      <c r="A1701" s="125" t="s">
        <v>1904</v>
      </c>
      <c r="B1701" s="123"/>
      <c r="C1701" s="123"/>
      <c r="D1701" s="123"/>
      <c r="E1701" s="123"/>
      <c r="F1701" s="167" t="s">
        <v>1896</v>
      </c>
      <c r="G1701" s="204" t="e">
        <f>VLOOKUP(G1698, 'Detail PL'!$B$14:$Q$799, 10)</f>
        <v>#N/A</v>
      </c>
      <c r="H1701" s="204" t="s">
        <v>1905</v>
      </c>
      <c r="I1701" s="204"/>
      <c r="J1701" s="204"/>
      <c r="K1701" s="123"/>
      <c r="L1701" s="123"/>
      <c r="M1701" s="123"/>
      <c r="N1701" s="126"/>
    </row>
    <row r="1702" spans="1:14" s="4" customFormat="1" ht="25.2">
      <c r="A1702" s="125" t="s">
        <v>1906</v>
      </c>
      <c r="B1702" s="123"/>
      <c r="C1702" s="123"/>
      <c r="D1702" s="123"/>
      <c r="E1702" s="123"/>
      <c r="F1702" s="167"/>
      <c r="G1702" s="167"/>
      <c r="H1702" s="167"/>
      <c r="I1702" s="123"/>
      <c r="J1702" s="123"/>
      <c r="K1702" s="123"/>
      <c r="L1702" s="123"/>
      <c r="M1702" s="123"/>
      <c r="N1702" s="126"/>
    </row>
    <row r="1703" spans="1:14" s="3" customFormat="1" ht="9.9" customHeight="1">
      <c r="A1703" s="125"/>
      <c r="B1703" s="123"/>
      <c r="C1703" s="123"/>
      <c r="D1703" s="123"/>
      <c r="E1703" s="123"/>
      <c r="F1703" s="167"/>
      <c r="G1703" s="167"/>
      <c r="H1703" s="167"/>
      <c r="I1703" s="123"/>
      <c r="J1703" s="123"/>
      <c r="K1703" s="123"/>
      <c r="L1703" s="123"/>
      <c r="M1703" s="123"/>
      <c r="N1703" s="126"/>
    </row>
    <row r="1704" spans="1:14" s="3" customFormat="1" ht="25.2">
      <c r="A1704" s="125" t="s">
        <v>1907</v>
      </c>
      <c r="B1704" s="123"/>
      <c r="C1704" s="123"/>
      <c r="D1704" s="123"/>
      <c r="E1704" s="123"/>
      <c r="F1704" s="167" t="s">
        <v>1896</v>
      </c>
      <c r="G1704" s="204" t="e">
        <f>VLOOKUP(G1698, 'Detail PL'!$B$14:$Q$799, 11)</f>
        <v>#N/A</v>
      </c>
      <c r="H1704" s="204" t="s">
        <v>1905</v>
      </c>
      <c r="I1704" s="204"/>
      <c r="J1704" s="204"/>
      <c r="K1704" s="123"/>
      <c r="L1704" s="123"/>
      <c r="M1704" s="123"/>
      <c r="N1704" s="126"/>
    </row>
    <row r="1705" spans="1:14" s="4" customFormat="1" ht="25.2">
      <c r="A1705" s="125" t="s">
        <v>1908</v>
      </c>
      <c r="B1705" s="123"/>
      <c r="C1705" s="123"/>
      <c r="D1705" s="123"/>
      <c r="E1705" s="123"/>
      <c r="F1705" s="167"/>
      <c r="G1705" s="167"/>
      <c r="H1705" s="123"/>
      <c r="I1705" s="123"/>
      <c r="J1705" s="123"/>
      <c r="K1705" s="123"/>
      <c r="L1705" s="123"/>
      <c r="M1705" s="123"/>
      <c r="N1705" s="126"/>
    </row>
    <row r="1706" spans="1:14" s="3" customFormat="1" ht="9.9" customHeight="1">
      <c r="A1706" s="125"/>
      <c r="B1706" s="123"/>
      <c r="C1706" s="123"/>
      <c r="D1706" s="123"/>
      <c r="E1706" s="123"/>
      <c r="F1706" s="167"/>
      <c r="G1706" s="167"/>
      <c r="H1706" s="123"/>
      <c r="I1706" s="123"/>
      <c r="J1706" s="123"/>
      <c r="K1706" s="123"/>
      <c r="L1706" s="123"/>
      <c r="M1706" s="123"/>
      <c r="N1706" s="126"/>
    </row>
    <row r="1707" spans="1:14" s="3" customFormat="1" ht="25.2">
      <c r="A1707" s="129" t="s">
        <v>1909</v>
      </c>
      <c r="B1707" s="123"/>
      <c r="C1707" s="123"/>
      <c r="D1707" s="123"/>
      <c r="E1707" s="123"/>
      <c r="F1707" s="167" t="s">
        <v>1896</v>
      </c>
      <c r="G1707" s="204" t="e">
        <f>VLOOKUP(G1698, 'Detail PL'!$B$14:$Q$799, 9)</f>
        <v>#N/A</v>
      </c>
      <c r="H1707" s="205" t="s">
        <v>1910</v>
      </c>
      <c r="I1707" s="203"/>
      <c r="J1707" s="203"/>
      <c r="K1707" s="172"/>
      <c r="L1707" s="123"/>
      <c r="M1707" s="123"/>
      <c r="N1707" s="126"/>
    </row>
    <row r="1708" spans="1:14" s="4" customFormat="1" ht="25.2">
      <c r="A1708" s="125" t="s">
        <v>1911</v>
      </c>
      <c r="B1708" s="123"/>
      <c r="C1708" s="123"/>
      <c r="D1708" s="123"/>
      <c r="E1708" s="123"/>
      <c r="F1708" s="167"/>
      <c r="G1708" s="167"/>
      <c r="H1708" s="123"/>
      <c r="I1708" s="123"/>
      <c r="J1708" s="123"/>
      <c r="K1708" s="123"/>
      <c r="L1708" s="123"/>
      <c r="M1708" s="123"/>
      <c r="N1708" s="126"/>
    </row>
    <row r="1709" spans="1:14" s="3" customFormat="1" ht="9.9" customHeight="1">
      <c r="A1709" s="125"/>
      <c r="B1709" s="123"/>
      <c r="C1709" s="123"/>
      <c r="D1709" s="123"/>
      <c r="E1709" s="123"/>
      <c r="F1709" s="167"/>
      <c r="G1709" s="167"/>
      <c r="H1709" s="123"/>
      <c r="I1709" s="123"/>
      <c r="J1709" s="123"/>
      <c r="K1709" s="123"/>
      <c r="L1709" s="123"/>
      <c r="M1709" s="123"/>
      <c r="N1709" s="126"/>
    </row>
    <row r="1710" spans="1:14" s="3" customFormat="1" ht="42" customHeight="1">
      <c r="A1710" s="125" t="s">
        <v>1912</v>
      </c>
      <c r="B1710" s="123"/>
      <c r="C1710" s="123"/>
      <c r="D1710" s="123"/>
      <c r="E1710" s="123"/>
      <c r="F1710" s="166" t="s">
        <v>1913</v>
      </c>
      <c r="G1710" s="595" t="s">
        <v>1914</v>
      </c>
      <c r="H1710" s="595"/>
      <c r="I1710" s="595"/>
      <c r="J1710" s="595"/>
      <c r="K1710" s="595"/>
      <c r="L1710" s="595"/>
      <c r="M1710" s="595"/>
      <c r="N1710" s="596"/>
    </row>
    <row r="1711" spans="1:14" s="4" customFormat="1" ht="25.8" thickBot="1">
      <c r="A1711" s="125" t="s">
        <v>1915</v>
      </c>
      <c r="B1711" s="123"/>
      <c r="C1711" s="123"/>
      <c r="D1711" s="123"/>
      <c r="E1711" s="123"/>
      <c r="F1711" s="167"/>
      <c r="G1711" s="167"/>
      <c r="H1711" s="123"/>
      <c r="I1711" s="123"/>
      <c r="J1711" s="123"/>
      <c r="K1711" s="123"/>
      <c r="L1711" s="123"/>
      <c r="M1711" s="123"/>
      <c r="N1711" s="126"/>
    </row>
    <row r="1712" spans="1:14" ht="21" customHeight="1">
      <c r="A1712" s="598" t="s">
        <v>1916</v>
      </c>
      <c r="B1712" s="599"/>
      <c r="C1712" s="599"/>
      <c r="D1712" s="599"/>
      <c r="E1712" s="599"/>
      <c r="F1712" s="599"/>
      <c r="G1712" s="599"/>
      <c r="H1712" s="599"/>
      <c r="I1712" s="599"/>
      <c r="J1712" s="599"/>
      <c r="K1712" s="599"/>
      <c r="L1712" s="599"/>
      <c r="M1712" s="599"/>
      <c r="N1712" s="600"/>
    </row>
    <row r="1713" spans="1:15" ht="25.5" customHeight="1" thickBot="1">
      <c r="A1713" s="601"/>
      <c r="B1713" s="602"/>
      <c r="C1713" s="602"/>
      <c r="D1713" s="602"/>
      <c r="E1713" s="602"/>
      <c r="F1713" s="602"/>
      <c r="G1713" s="602"/>
      <c r="H1713" s="602"/>
      <c r="I1713" s="602"/>
      <c r="J1713" s="602"/>
      <c r="K1713" s="602"/>
      <c r="L1713" s="602"/>
      <c r="M1713" s="602"/>
      <c r="N1713" s="603"/>
    </row>
    <row r="1714" spans="1:15" ht="25.5" customHeight="1">
      <c r="E1714" s="206"/>
      <c r="F1714" s="206"/>
      <c r="G1714" s="206"/>
      <c r="H1714" s="206"/>
      <c r="I1714" s="206"/>
      <c r="J1714" s="206"/>
      <c r="K1714" s="206"/>
    </row>
    <row r="1715" spans="1:15" ht="21.6" thickBot="1"/>
    <row r="1716" spans="1:15" ht="95.25" customHeight="1" thickBot="1">
      <c r="A1716" s="592" t="s">
        <v>1883</v>
      </c>
      <c r="B1716" s="593"/>
      <c r="C1716" s="593"/>
      <c r="D1716" s="593"/>
      <c r="E1716" s="593"/>
      <c r="F1716" s="593"/>
      <c r="G1716" s="593"/>
      <c r="H1716" s="593"/>
      <c r="I1716" s="593"/>
      <c r="J1716" s="593"/>
      <c r="K1716" s="593"/>
      <c r="L1716" s="593"/>
      <c r="M1716" s="593"/>
      <c r="N1716" s="594"/>
    </row>
    <row r="1717" spans="1:15" s="3" customFormat="1" ht="37.5" customHeight="1">
      <c r="A1717" s="134" t="s">
        <v>1884</v>
      </c>
      <c r="B1717" s="166"/>
      <c r="C1717" s="166"/>
      <c r="D1717" s="123"/>
      <c r="E1717" s="123"/>
      <c r="F1717" s="167" t="s">
        <v>1885</v>
      </c>
      <c r="G1717" s="167" t="s">
        <v>1886</v>
      </c>
      <c r="H1717" s="167"/>
      <c r="I1717" s="167"/>
      <c r="J1717" s="167"/>
      <c r="K1717" s="167"/>
      <c r="L1717" s="167"/>
      <c r="M1717" s="167"/>
      <c r="N1717" s="152"/>
      <c r="O1717" s="201"/>
    </row>
    <row r="1718" spans="1:15" s="4" customFormat="1" ht="25.2">
      <c r="A1718" s="125" t="s">
        <v>1887</v>
      </c>
      <c r="B1718" s="123"/>
      <c r="C1718" s="123"/>
      <c r="D1718" s="123"/>
      <c r="E1718" s="123"/>
      <c r="F1718" s="167"/>
      <c r="G1718" s="167" t="s">
        <v>1888</v>
      </c>
      <c r="H1718" s="167"/>
      <c r="I1718" s="167"/>
      <c r="J1718" s="167"/>
      <c r="K1718" s="167"/>
      <c r="L1718" s="167"/>
      <c r="M1718" s="167"/>
      <c r="N1718" s="152"/>
    </row>
    <row r="1719" spans="1:15" s="3" customFormat="1" ht="9.9" customHeight="1">
      <c r="A1719" s="125"/>
      <c r="B1719" s="123"/>
      <c r="C1719" s="123"/>
      <c r="D1719" s="123"/>
      <c r="E1719" s="123"/>
      <c r="F1719" s="167"/>
      <c r="G1719" s="123"/>
      <c r="H1719" s="123"/>
      <c r="I1719" s="123"/>
      <c r="J1719" s="123"/>
      <c r="K1719" s="123"/>
      <c r="L1719" s="123"/>
      <c r="M1719" s="123"/>
      <c r="N1719" s="126"/>
    </row>
    <row r="1720" spans="1:15" s="3" customFormat="1" ht="42.75" customHeight="1">
      <c r="A1720" s="125" t="s">
        <v>1889</v>
      </c>
      <c r="B1720" s="123"/>
      <c r="C1720" s="123"/>
      <c r="D1720" s="123"/>
      <c r="E1720" s="123"/>
      <c r="F1720" s="167" t="s">
        <v>1885</v>
      </c>
      <c r="G1720" s="167" t="str">
        <f>PL!$B$13</f>
        <v>Branch of JSC "Doosan Enerbility" in the Turkestan region</v>
      </c>
      <c r="H1720" s="123"/>
      <c r="I1720" s="123"/>
      <c r="J1720" s="123"/>
      <c r="K1720" s="123"/>
      <c r="L1720" s="123"/>
      <c r="M1720" s="123"/>
      <c r="N1720" s="126"/>
    </row>
    <row r="1721" spans="1:15" s="3" customFormat="1" ht="24" customHeight="1">
      <c r="A1721" s="125" t="s">
        <v>1890</v>
      </c>
      <c r="B1721" s="123"/>
      <c r="C1721" s="123"/>
      <c r="D1721" s="123"/>
      <c r="E1721" s="123"/>
      <c r="F1721" s="168"/>
      <c r="G1721" s="167" t="str">
        <f>PL!$B$14</f>
        <v>321 Tauke Khan Avenue, Turkestan region, Turkestan, Kazakhstan, 161200</v>
      </c>
      <c r="H1721" s="123"/>
      <c r="I1721" s="123"/>
      <c r="J1721" s="123"/>
      <c r="K1721" s="123"/>
      <c r="L1721" s="123"/>
      <c r="M1721" s="123"/>
      <c r="N1721" s="126"/>
    </row>
    <row r="1722" spans="1:15" s="4" customFormat="1" ht="25.2">
      <c r="A1722" s="125"/>
      <c r="B1722" s="123"/>
      <c r="C1722" s="123"/>
      <c r="D1722" s="123"/>
      <c r="E1722" s="123"/>
      <c r="F1722" s="168"/>
      <c r="G1722" s="167" t="str">
        <f>PL!$B$15</f>
        <v>BIN: 230741006561</v>
      </c>
      <c r="H1722" s="123"/>
      <c r="I1722" s="123"/>
      <c r="J1722" s="123"/>
      <c r="K1722" s="123"/>
      <c r="L1722" s="123"/>
      <c r="M1722" s="123"/>
      <c r="N1722" s="126"/>
    </row>
    <row r="1723" spans="1:15" s="3" customFormat="1" ht="9.9" customHeight="1">
      <c r="A1723" s="125"/>
      <c r="B1723" s="123"/>
      <c r="C1723" s="123"/>
      <c r="D1723" s="123"/>
      <c r="E1723" s="123"/>
      <c r="F1723" s="169"/>
      <c r="G1723" s="169"/>
      <c r="H1723" s="123"/>
      <c r="I1723" s="123"/>
      <c r="J1723" s="123"/>
      <c r="K1723" s="123"/>
      <c r="L1723" s="123"/>
      <c r="M1723" s="123"/>
      <c r="N1723" s="126"/>
    </row>
    <row r="1724" spans="1:15" s="3" customFormat="1" ht="25.2">
      <c r="A1724" s="125" t="s">
        <v>1891</v>
      </c>
      <c r="B1724" s="123"/>
      <c r="C1724" s="123"/>
      <c r="D1724" s="123"/>
      <c r="E1724" s="123"/>
      <c r="F1724" s="167" t="s">
        <v>1892</v>
      </c>
      <c r="G1724" s="123"/>
      <c r="H1724" s="123"/>
      <c r="I1724" s="123"/>
      <c r="J1724" s="123"/>
      <c r="K1724" s="123"/>
      <c r="L1724" s="123"/>
      <c r="M1724" s="123"/>
      <c r="N1724" s="126"/>
    </row>
    <row r="1725" spans="1:15" s="4" customFormat="1" ht="25.2">
      <c r="A1725" s="125" t="s">
        <v>1893</v>
      </c>
      <c r="B1725" s="123"/>
      <c r="C1725" s="123"/>
      <c r="D1725" s="123"/>
      <c r="E1725" s="123"/>
      <c r="F1725" s="167" t="s">
        <v>1894</v>
      </c>
      <c r="G1725" s="123"/>
      <c r="H1725" s="123"/>
      <c r="I1725" s="123"/>
      <c r="J1725" s="123"/>
      <c r="K1725" s="123"/>
      <c r="L1725" s="123"/>
      <c r="M1725" s="123"/>
      <c r="N1725" s="126"/>
    </row>
    <row r="1726" spans="1:15" s="3" customFormat="1" ht="9.9" customHeight="1">
      <c r="A1726" s="125"/>
      <c r="B1726" s="123"/>
      <c r="C1726" s="123"/>
      <c r="D1726" s="123"/>
      <c r="E1726" s="123"/>
      <c r="F1726" s="167"/>
      <c r="G1726" s="123"/>
      <c r="H1726" s="123"/>
      <c r="I1726" s="123"/>
      <c r="J1726" s="123"/>
      <c r="K1726" s="123"/>
      <c r="L1726" s="123"/>
      <c r="M1726" s="123"/>
      <c r="N1726" s="126"/>
    </row>
    <row r="1727" spans="1:15" s="3" customFormat="1" ht="25.2">
      <c r="A1727" s="125" t="s">
        <v>1895</v>
      </c>
      <c r="B1727" s="123"/>
      <c r="C1727" s="123"/>
      <c r="D1727" s="123"/>
      <c r="E1727" s="123"/>
      <c r="F1727" s="167" t="s">
        <v>1896</v>
      </c>
      <c r="G1727" s="167" t="str">
        <f>PL!$V$8</f>
        <v>PGU-DE-0139-001</v>
      </c>
      <c r="H1727" s="123"/>
      <c r="I1727" s="123"/>
      <c r="J1727" s="123"/>
      <c r="K1727" s="123"/>
      <c r="L1727" s="123"/>
      <c r="M1727" s="123"/>
      <c r="N1727" s="126"/>
    </row>
    <row r="1728" spans="1:15" s="3" customFormat="1" ht="25.2">
      <c r="A1728" s="125" t="s">
        <v>1897</v>
      </c>
      <c r="B1728" s="123"/>
      <c r="C1728" s="123"/>
      <c r="D1728" s="123"/>
      <c r="E1728" s="123"/>
      <c r="F1728" s="167"/>
      <c r="G1728" s="123"/>
      <c r="H1728" s="123"/>
      <c r="I1728" s="123"/>
      <c r="J1728" s="123"/>
      <c r="K1728" s="123"/>
      <c r="L1728" s="123"/>
      <c r="M1728" s="123"/>
      <c r="N1728" s="126"/>
    </row>
    <row r="1729" spans="1:14" s="3" customFormat="1" ht="9.9" customHeight="1">
      <c r="A1729" s="125"/>
      <c r="B1729" s="123"/>
      <c r="C1729" s="123"/>
      <c r="D1729" s="123"/>
      <c r="E1729" s="123"/>
      <c r="F1729" s="167"/>
      <c r="G1729" s="123"/>
      <c r="H1729" s="123"/>
      <c r="I1729" s="123"/>
      <c r="J1729" s="123"/>
      <c r="K1729" s="123"/>
      <c r="L1729" s="123"/>
      <c r="M1729" s="123"/>
      <c r="N1729" s="126"/>
    </row>
    <row r="1730" spans="1:14" s="3" customFormat="1" ht="31.2" customHeight="1">
      <c r="A1730" s="127" t="s">
        <v>1898</v>
      </c>
      <c r="B1730" s="170"/>
      <c r="C1730" s="170"/>
      <c r="D1730" s="170"/>
      <c r="E1730" s="170"/>
      <c r="F1730" s="171" t="s">
        <v>1885</v>
      </c>
      <c r="G1730" s="597" t="e">
        <f>VLOOKUP(G1733, 'Detail PL'!$B$14:$Q$799,2)</f>
        <v>#N/A</v>
      </c>
      <c r="H1730" s="597"/>
      <c r="I1730" s="597"/>
      <c r="J1730" s="597"/>
      <c r="K1730" s="597"/>
      <c r="L1730" s="597"/>
      <c r="M1730" s="597"/>
      <c r="N1730" s="128"/>
    </row>
    <row r="1731" spans="1:14" s="3" customFormat="1" ht="25.2">
      <c r="A1731" s="127" t="s">
        <v>1899</v>
      </c>
      <c r="B1731" s="170"/>
      <c r="C1731" s="170"/>
      <c r="D1731" s="170"/>
      <c r="E1731" s="170"/>
      <c r="F1731" s="171"/>
      <c r="G1731" s="170"/>
      <c r="H1731" s="170"/>
      <c r="I1731" s="170"/>
      <c r="J1731" s="170"/>
      <c r="K1731" s="170"/>
      <c r="L1731" s="170"/>
      <c r="M1731" s="170"/>
      <c r="N1731" s="128"/>
    </row>
    <row r="1732" spans="1:14" s="3" customFormat="1" ht="9.9" customHeight="1">
      <c r="A1732" s="125"/>
      <c r="B1732" s="123"/>
      <c r="C1732" s="123"/>
      <c r="D1732" s="123"/>
      <c r="E1732" s="123"/>
      <c r="F1732" s="167"/>
      <c r="G1732" s="123"/>
      <c r="H1732" s="123"/>
      <c r="I1732" s="123"/>
      <c r="J1732" s="123"/>
      <c r="K1732" s="123"/>
      <c r="L1732" s="123"/>
      <c r="M1732" s="123"/>
      <c r="N1732" s="126"/>
    </row>
    <row r="1733" spans="1:14" s="3" customFormat="1" ht="25.2">
      <c r="A1733" s="125" t="s">
        <v>1900</v>
      </c>
      <c r="B1733" s="123"/>
      <c r="C1733" s="123"/>
      <c r="D1733" s="123"/>
      <c r="E1733" s="123"/>
      <c r="F1733" s="171" t="s">
        <v>1901</v>
      </c>
      <c r="G1733" s="604">
        <f t="shared" ref="G1733" si="47">G1698+1</f>
        <v>50</v>
      </c>
      <c r="H1733" s="604"/>
      <c r="I1733" s="604"/>
      <c r="J1733" s="604"/>
      <c r="K1733" s="604"/>
      <c r="L1733" s="123"/>
      <c r="M1733" s="123"/>
      <c r="N1733" s="126"/>
    </row>
    <row r="1734" spans="1:14" s="4" customFormat="1" ht="25.2">
      <c r="A1734" s="125" t="s">
        <v>1903</v>
      </c>
      <c r="B1734" s="123"/>
      <c r="C1734" s="123"/>
      <c r="D1734" s="123"/>
      <c r="E1734" s="123"/>
      <c r="F1734" s="167"/>
      <c r="G1734" s="167"/>
      <c r="H1734" s="123"/>
      <c r="I1734" s="123"/>
      <c r="J1734" s="123"/>
      <c r="K1734" s="123"/>
      <c r="L1734" s="123"/>
      <c r="M1734" s="123"/>
      <c r="N1734" s="126"/>
    </row>
    <row r="1735" spans="1:14" s="3" customFormat="1" ht="9.9" customHeight="1">
      <c r="A1735" s="125"/>
      <c r="B1735" s="123"/>
      <c r="C1735" s="123"/>
      <c r="D1735" s="123"/>
      <c r="E1735" s="123"/>
      <c r="F1735" s="167"/>
      <c r="G1735" s="167"/>
      <c r="H1735" s="123"/>
      <c r="I1735" s="123"/>
      <c r="J1735" s="123"/>
      <c r="K1735" s="123"/>
      <c r="L1735" s="123"/>
      <c r="M1735" s="123"/>
      <c r="N1735" s="126"/>
    </row>
    <row r="1736" spans="1:14" s="3" customFormat="1" ht="25.2">
      <c r="A1736" s="125" t="s">
        <v>1904</v>
      </c>
      <c r="B1736" s="123"/>
      <c r="C1736" s="123"/>
      <c r="D1736" s="123"/>
      <c r="E1736" s="123"/>
      <c r="F1736" s="167" t="s">
        <v>1896</v>
      </c>
      <c r="G1736" s="204" t="e">
        <f>VLOOKUP(G1733, 'Detail PL'!$B$14:$Q$799, 10)</f>
        <v>#N/A</v>
      </c>
      <c r="H1736" s="204" t="s">
        <v>1905</v>
      </c>
      <c r="I1736" s="204"/>
      <c r="J1736" s="204"/>
      <c r="K1736" s="123"/>
      <c r="L1736" s="123"/>
      <c r="M1736" s="123"/>
      <c r="N1736" s="126"/>
    </row>
    <row r="1737" spans="1:14" s="4" customFormat="1" ht="25.2">
      <c r="A1737" s="125" t="s">
        <v>1906</v>
      </c>
      <c r="B1737" s="123"/>
      <c r="C1737" s="123"/>
      <c r="D1737" s="123"/>
      <c r="E1737" s="123"/>
      <c r="F1737" s="167"/>
      <c r="G1737" s="167"/>
      <c r="H1737" s="167"/>
      <c r="I1737" s="123"/>
      <c r="J1737" s="123"/>
      <c r="K1737" s="123"/>
      <c r="L1737" s="123"/>
      <c r="M1737" s="123"/>
      <c r="N1737" s="126"/>
    </row>
    <row r="1738" spans="1:14" s="3" customFormat="1" ht="9.9" customHeight="1">
      <c r="A1738" s="125"/>
      <c r="B1738" s="123"/>
      <c r="C1738" s="123"/>
      <c r="D1738" s="123"/>
      <c r="E1738" s="123"/>
      <c r="F1738" s="167"/>
      <c r="G1738" s="167"/>
      <c r="H1738" s="167"/>
      <c r="I1738" s="123"/>
      <c r="J1738" s="123"/>
      <c r="K1738" s="123"/>
      <c r="L1738" s="123"/>
      <c r="M1738" s="123"/>
      <c r="N1738" s="126"/>
    </row>
    <row r="1739" spans="1:14" s="3" customFormat="1" ht="25.2">
      <c r="A1739" s="125" t="s">
        <v>1907</v>
      </c>
      <c r="B1739" s="123"/>
      <c r="C1739" s="123"/>
      <c r="D1739" s="123"/>
      <c r="E1739" s="123"/>
      <c r="F1739" s="167" t="s">
        <v>1896</v>
      </c>
      <c r="G1739" s="204" t="e">
        <f>VLOOKUP(G1733, 'Detail PL'!$B$14:$Q$799, 11)</f>
        <v>#N/A</v>
      </c>
      <c r="H1739" s="204" t="s">
        <v>1905</v>
      </c>
      <c r="I1739" s="204"/>
      <c r="J1739" s="204"/>
      <c r="K1739" s="123"/>
      <c r="L1739" s="123"/>
      <c r="M1739" s="123"/>
      <c r="N1739" s="126"/>
    </row>
    <row r="1740" spans="1:14" s="4" customFormat="1" ht="25.2">
      <c r="A1740" s="125" t="s">
        <v>1908</v>
      </c>
      <c r="B1740" s="123"/>
      <c r="C1740" s="123"/>
      <c r="D1740" s="123"/>
      <c r="E1740" s="123"/>
      <c r="F1740" s="167"/>
      <c r="G1740" s="167"/>
      <c r="H1740" s="123"/>
      <c r="I1740" s="123"/>
      <c r="J1740" s="123"/>
      <c r="K1740" s="123"/>
      <c r="L1740" s="123"/>
      <c r="M1740" s="123"/>
      <c r="N1740" s="126"/>
    </row>
    <row r="1741" spans="1:14" s="3" customFormat="1" ht="9.9" customHeight="1">
      <c r="A1741" s="125"/>
      <c r="B1741" s="123"/>
      <c r="C1741" s="123"/>
      <c r="D1741" s="123"/>
      <c r="E1741" s="123"/>
      <c r="F1741" s="167"/>
      <c r="G1741" s="167"/>
      <c r="H1741" s="123"/>
      <c r="I1741" s="123"/>
      <c r="J1741" s="123"/>
      <c r="K1741" s="123"/>
      <c r="L1741" s="123"/>
      <c r="M1741" s="123"/>
      <c r="N1741" s="126"/>
    </row>
    <row r="1742" spans="1:14" s="3" customFormat="1" ht="25.2">
      <c r="A1742" s="129" t="s">
        <v>1909</v>
      </c>
      <c r="B1742" s="123"/>
      <c r="C1742" s="123"/>
      <c r="D1742" s="123"/>
      <c r="E1742" s="123"/>
      <c r="F1742" s="167" t="s">
        <v>1896</v>
      </c>
      <c r="G1742" s="204" t="e">
        <f>VLOOKUP(G1733, 'Detail PL'!$B$14:$Q$799, 9)</f>
        <v>#N/A</v>
      </c>
      <c r="H1742" s="205" t="s">
        <v>1910</v>
      </c>
      <c r="I1742" s="203"/>
      <c r="J1742" s="203"/>
      <c r="K1742" s="172"/>
      <c r="L1742" s="123"/>
      <c r="M1742" s="123"/>
      <c r="N1742" s="126"/>
    </row>
    <row r="1743" spans="1:14" s="4" customFormat="1" ht="25.2">
      <c r="A1743" s="125" t="s">
        <v>1911</v>
      </c>
      <c r="B1743" s="123"/>
      <c r="C1743" s="123"/>
      <c r="D1743" s="123"/>
      <c r="E1743" s="123"/>
      <c r="F1743" s="167"/>
      <c r="G1743" s="167"/>
      <c r="H1743" s="123"/>
      <c r="I1743" s="123"/>
      <c r="J1743" s="123"/>
      <c r="K1743" s="123"/>
      <c r="L1743" s="123"/>
      <c r="M1743" s="123"/>
      <c r="N1743" s="126"/>
    </row>
    <row r="1744" spans="1:14" s="3" customFormat="1" ht="9.9" customHeight="1">
      <c r="A1744" s="125"/>
      <c r="B1744" s="123"/>
      <c r="C1744" s="123"/>
      <c r="D1744" s="123"/>
      <c r="E1744" s="123"/>
      <c r="F1744" s="167"/>
      <c r="G1744" s="167"/>
      <c r="H1744" s="123"/>
      <c r="I1744" s="123"/>
      <c r="J1744" s="123"/>
      <c r="K1744" s="123"/>
      <c r="L1744" s="123"/>
      <c r="M1744" s="123"/>
      <c r="N1744" s="126"/>
    </row>
    <row r="1745" spans="1:15" s="3" customFormat="1" ht="42" customHeight="1">
      <c r="A1745" s="125" t="s">
        <v>1912</v>
      </c>
      <c r="B1745" s="123"/>
      <c r="C1745" s="123"/>
      <c r="D1745" s="123"/>
      <c r="E1745" s="123"/>
      <c r="F1745" s="166" t="s">
        <v>1913</v>
      </c>
      <c r="G1745" s="595" t="s">
        <v>1914</v>
      </c>
      <c r="H1745" s="595"/>
      <c r="I1745" s="595"/>
      <c r="J1745" s="595"/>
      <c r="K1745" s="595"/>
      <c r="L1745" s="595"/>
      <c r="M1745" s="595"/>
      <c r="N1745" s="596"/>
    </row>
    <row r="1746" spans="1:15" s="4" customFormat="1" ht="25.8" thickBot="1">
      <c r="A1746" s="125" t="s">
        <v>1915</v>
      </c>
      <c r="B1746" s="123"/>
      <c r="C1746" s="123"/>
      <c r="D1746" s="123"/>
      <c r="E1746" s="123"/>
      <c r="F1746" s="167"/>
      <c r="G1746" s="167"/>
      <c r="H1746" s="123"/>
      <c r="I1746" s="123"/>
      <c r="J1746" s="123"/>
      <c r="K1746" s="123"/>
      <c r="L1746" s="123"/>
      <c r="M1746" s="123"/>
      <c r="N1746" s="126"/>
    </row>
    <row r="1747" spans="1:15" ht="21" customHeight="1">
      <c r="A1747" s="598" t="s">
        <v>1916</v>
      </c>
      <c r="B1747" s="599"/>
      <c r="C1747" s="599"/>
      <c r="D1747" s="599"/>
      <c r="E1747" s="599"/>
      <c r="F1747" s="599"/>
      <c r="G1747" s="599"/>
      <c r="H1747" s="599"/>
      <c r="I1747" s="599"/>
      <c r="J1747" s="599"/>
      <c r="K1747" s="599"/>
      <c r="L1747" s="599"/>
      <c r="M1747" s="599"/>
      <c r="N1747" s="600"/>
    </row>
    <row r="1748" spans="1:15" ht="25.5" customHeight="1" thickBot="1">
      <c r="A1748" s="601"/>
      <c r="B1748" s="602"/>
      <c r="C1748" s="602"/>
      <c r="D1748" s="602"/>
      <c r="E1748" s="602"/>
      <c r="F1748" s="602"/>
      <c r="G1748" s="602"/>
      <c r="H1748" s="602"/>
      <c r="I1748" s="602"/>
      <c r="J1748" s="602"/>
      <c r="K1748" s="602"/>
      <c r="L1748" s="602"/>
      <c r="M1748" s="602"/>
      <c r="N1748" s="603"/>
    </row>
    <row r="1749" spans="1:15" ht="25.5" customHeight="1">
      <c r="E1749" s="206"/>
      <c r="F1749" s="206"/>
      <c r="G1749" s="206"/>
      <c r="H1749" s="206"/>
      <c r="I1749" s="206"/>
      <c r="J1749" s="206"/>
      <c r="K1749" s="206"/>
    </row>
    <row r="1750" spans="1:15" ht="21.6" thickBot="1"/>
    <row r="1751" spans="1:15" ht="95.25" customHeight="1" thickBot="1">
      <c r="A1751" s="592" t="s">
        <v>1883</v>
      </c>
      <c r="B1751" s="593"/>
      <c r="C1751" s="593"/>
      <c r="D1751" s="593"/>
      <c r="E1751" s="593"/>
      <c r="F1751" s="593"/>
      <c r="G1751" s="593"/>
      <c r="H1751" s="593"/>
      <c r="I1751" s="593"/>
      <c r="J1751" s="593"/>
      <c r="K1751" s="593"/>
      <c r="L1751" s="593"/>
      <c r="M1751" s="593"/>
      <c r="N1751" s="594"/>
    </row>
    <row r="1752" spans="1:15" s="3" customFormat="1" ht="37.5" customHeight="1">
      <c r="A1752" s="134" t="s">
        <v>1884</v>
      </c>
      <c r="B1752" s="166"/>
      <c r="C1752" s="166"/>
      <c r="D1752" s="123"/>
      <c r="E1752" s="123"/>
      <c r="F1752" s="167" t="s">
        <v>1885</v>
      </c>
      <c r="G1752" s="167" t="s">
        <v>1886</v>
      </c>
      <c r="H1752" s="167"/>
      <c r="I1752" s="167"/>
      <c r="J1752" s="167"/>
      <c r="K1752" s="167"/>
      <c r="L1752" s="167"/>
      <c r="M1752" s="167"/>
      <c r="N1752" s="152"/>
      <c r="O1752" s="201"/>
    </row>
    <row r="1753" spans="1:15" s="4" customFormat="1" ht="25.2">
      <c r="A1753" s="125" t="s">
        <v>1887</v>
      </c>
      <c r="B1753" s="123"/>
      <c r="C1753" s="123"/>
      <c r="D1753" s="123"/>
      <c r="E1753" s="123"/>
      <c r="F1753" s="167"/>
      <c r="G1753" s="167" t="s">
        <v>1888</v>
      </c>
      <c r="H1753" s="167"/>
      <c r="I1753" s="167"/>
      <c r="J1753" s="167"/>
      <c r="K1753" s="167"/>
      <c r="L1753" s="167"/>
      <c r="M1753" s="167"/>
      <c r="N1753" s="152"/>
    </row>
    <row r="1754" spans="1:15" s="3" customFormat="1" ht="9.9" customHeight="1">
      <c r="A1754" s="125"/>
      <c r="B1754" s="123"/>
      <c r="C1754" s="123"/>
      <c r="D1754" s="123"/>
      <c r="E1754" s="123"/>
      <c r="F1754" s="167"/>
      <c r="G1754" s="123"/>
      <c r="H1754" s="123"/>
      <c r="I1754" s="123"/>
      <c r="J1754" s="123"/>
      <c r="K1754" s="123"/>
      <c r="L1754" s="123"/>
      <c r="M1754" s="123"/>
      <c r="N1754" s="126"/>
    </row>
    <row r="1755" spans="1:15" s="3" customFormat="1" ht="42.75" customHeight="1">
      <c r="A1755" s="125" t="s">
        <v>1889</v>
      </c>
      <c r="B1755" s="123"/>
      <c r="C1755" s="123"/>
      <c r="D1755" s="123"/>
      <c r="E1755" s="123"/>
      <c r="F1755" s="167" t="s">
        <v>1885</v>
      </c>
      <c r="G1755" s="167" t="str">
        <f>PL!$B$13</f>
        <v>Branch of JSC "Doosan Enerbility" in the Turkestan region</v>
      </c>
      <c r="H1755" s="123"/>
      <c r="I1755" s="123"/>
      <c r="J1755" s="123"/>
      <c r="K1755" s="123"/>
      <c r="L1755" s="123"/>
      <c r="M1755" s="123"/>
      <c r="N1755" s="126"/>
    </row>
    <row r="1756" spans="1:15" s="3" customFormat="1" ht="24" customHeight="1">
      <c r="A1756" s="125" t="s">
        <v>1890</v>
      </c>
      <c r="B1756" s="123"/>
      <c r="C1756" s="123"/>
      <c r="D1756" s="123"/>
      <c r="E1756" s="123"/>
      <c r="F1756" s="168"/>
      <c r="G1756" s="167" t="str">
        <f>PL!$B$14</f>
        <v>321 Tauke Khan Avenue, Turkestan region, Turkestan, Kazakhstan, 161200</v>
      </c>
      <c r="H1756" s="123"/>
      <c r="I1756" s="123"/>
      <c r="J1756" s="123"/>
      <c r="K1756" s="123"/>
      <c r="L1756" s="123"/>
      <c r="M1756" s="123"/>
      <c r="N1756" s="126"/>
    </row>
    <row r="1757" spans="1:15" s="4" customFormat="1" ht="25.2">
      <c r="A1757" s="125"/>
      <c r="B1757" s="123"/>
      <c r="C1757" s="123"/>
      <c r="D1757" s="123"/>
      <c r="E1757" s="123"/>
      <c r="F1757" s="168"/>
      <c r="G1757" s="167" t="str">
        <f>PL!$B$15</f>
        <v>BIN: 230741006561</v>
      </c>
      <c r="H1757" s="123"/>
      <c r="I1757" s="123"/>
      <c r="J1757" s="123"/>
      <c r="K1757" s="123"/>
      <c r="L1757" s="123"/>
      <c r="M1757" s="123"/>
      <c r="N1757" s="126"/>
    </row>
    <row r="1758" spans="1:15" s="3" customFormat="1" ht="9.9" customHeight="1">
      <c r="A1758" s="125"/>
      <c r="B1758" s="123"/>
      <c r="C1758" s="123"/>
      <c r="D1758" s="123"/>
      <c r="E1758" s="123"/>
      <c r="F1758" s="169"/>
      <c r="G1758" s="169"/>
      <c r="H1758" s="123"/>
      <c r="I1758" s="123"/>
      <c r="J1758" s="123"/>
      <c r="K1758" s="123"/>
      <c r="L1758" s="123"/>
      <c r="M1758" s="123"/>
      <c r="N1758" s="126"/>
    </row>
    <row r="1759" spans="1:15" s="3" customFormat="1" ht="25.2">
      <c r="A1759" s="125" t="s">
        <v>1891</v>
      </c>
      <c r="B1759" s="123"/>
      <c r="C1759" s="123"/>
      <c r="D1759" s="123"/>
      <c r="E1759" s="123"/>
      <c r="F1759" s="167" t="s">
        <v>1892</v>
      </c>
      <c r="G1759" s="123"/>
      <c r="H1759" s="123"/>
      <c r="I1759" s="123"/>
      <c r="J1759" s="123"/>
      <c r="K1759" s="123"/>
      <c r="L1759" s="123"/>
      <c r="M1759" s="123"/>
      <c r="N1759" s="126"/>
    </row>
    <row r="1760" spans="1:15" s="4" customFormat="1" ht="25.2">
      <c r="A1760" s="125" t="s">
        <v>1893</v>
      </c>
      <c r="B1760" s="123"/>
      <c r="C1760" s="123"/>
      <c r="D1760" s="123"/>
      <c r="E1760" s="123"/>
      <c r="F1760" s="167" t="s">
        <v>1894</v>
      </c>
      <c r="G1760" s="123"/>
      <c r="H1760" s="123"/>
      <c r="I1760" s="123"/>
      <c r="J1760" s="123"/>
      <c r="K1760" s="123"/>
      <c r="L1760" s="123"/>
      <c r="M1760" s="123"/>
      <c r="N1760" s="126"/>
    </row>
    <row r="1761" spans="1:14" s="3" customFormat="1" ht="9.9" customHeight="1">
      <c r="A1761" s="125"/>
      <c r="B1761" s="123"/>
      <c r="C1761" s="123"/>
      <c r="D1761" s="123"/>
      <c r="E1761" s="123"/>
      <c r="F1761" s="167"/>
      <c r="G1761" s="123"/>
      <c r="H1761" s="123"/>
      <c r="I1761" s="123"/>
      <c r="J1761" s="123"/>
      <c r="K1761" s="123"/>
      <c r="L1761" s="123"/>
      <c r="M1761" s="123"/>
      <c r="N1761" s="126"/>
    </row>
    <row r="1762" spans="1:14" s="3" customFormat="1" ht="25.2">
      <c r="A1762" s="125" t="s">
        <v>1895</v>
      </c>
      <c r="B1762" s="123"/>
      <c r="C1762" s="123"/>
      <c r="D1762" s="123"/>
      <c r="E1762" s="123"/>
      <c r="F1762" s="167" t="s">
        <v>1896</v>
      </c>
      <c r="G1762" s="167" t="str">
        <f>PL!$V$8</f>
        <v>PGU-DE-0139-001</v>
      </c>
      <c r="H1762" s="123"/>
      <c r="I1762" s="123"/>
      <c r="J1762" s="123"/>
      <c r="K1762" s="123"/>
      <c r="L1762" s="123"/>
      <c r="M1762" s="123"/>
      <c r="N1762" s="126"/>
    </row>
    <row r="1763" spans="1:14" s="3" customFormat="1" ht="25.2">
      <c r="A1763" s="125" t="s">
        <v>1897</v>
      </c>
      <c r="B1763" s="123"/>
      <c r="C1763" s="123"/>
      <c r="D1763" s="123"/>
      <c r="E1763" s="123"/>
      <c r="F1763" s="167"/>
      <c r="G1763" s="123"/>
      <c r="H1763" s="123"/>
      <c r="I1763" s="123"/>
      <c r="J1763" s="123"/>
      <c r="K1763" s="123"/>
      <c r="L1763" s="123"/>
      <c r="M1763" s="123"/>
      <c r="N1763" s="126"/>
    </row>
    <row r="1764" spans="1:14" s="3" customFormat="1" ht="9.9" customHeight="1">
      <c r="A1764" s="125"/>
      <c r="B1764" s="123"/>
      <c r="C1764" s="123"/>
      <c r="D1764" s="123"/>
      <c r="E1764" s="123"/>
      <c r="F1764" s="167"/>
      <c r="G1764" s="123"/>
      <c r="H1764" s="123"/>
      <c r="I1764" s="123"/>
      <c r="J1764" s="123"/>
      <c r="K1764" s="123"/>
      <c r="L1764" s="123"/>
      <c r="M1764" s="123"/>
      <c r="N1764" s="126"/>
    </row>
    <row r="1765" spans="1:14" s="3" customFormat="1" ht="31.2" customHeight="1">
      <c r="A1765" s="127" t="s">
        <v>1898</v>
      </c>
      <c r="B1765" s="170"/>
      <c r="C1765" s="170"/>
      <c r="D1765" s="170"/>
      <c r="E1765" s="170"/>
      <c r="F1765" s="171" t="s">
        <v>1885</v>
      </c>
      <c r="G1765" s="597" t="e">
        <f>VLOOKUP(G1768, 'Detail PL'!$B$14:$Q$799,2)</f>
        <v>#N/A</v>
      </c>
      <c r="H1765" s="597"/>
      <c r="I1765" s="597"/>
      <c r="J1765" s="597"/>
      <c r="K1765" s="597"/>
      <c r="L1765" s="597"/>
      <c r="M1765" s="597"/>
      <c r="N1765" s="128"/>
    </row>
    <row r="1766" spans="1:14" s="3" customFormat="1" ht="25.2">
      <c r="A1766" s="127" t="s">
        <v>1899</v>
      </c>
      <c r="B1766" s="170"/>
      <c r="C1766" s="170"/>
      <c r="D1766" s="170"/>
      <c r="E1766" s="170"/>
      <c r="F1766" s="171"/>
      <c r="G1766" s="170"/>
      <c r="H1766" s="170"/>
      <c r="I1766" s="170"/>
      <c r="J1766" s="170"/>
      <c r="K1766" s="170"/>
      <c r="L1766" s="170"/>
      <c r="M1766" s="170"/>
      <c r="N1766" s="128"/>
    </row>
    <row r="1767" spans="1:14" s="3" customFormat="1" ht="9.9" customHeight="1">
      <c r="A1767" s="125"/>
      <c r="B1767" s="123"/>
      <c r="C1767" s="123"/>
      <c r="D1767" s="123"/>
      <c r="E1767" s="123"/>
      <c r="F1767" s="167"/>
      <c r="G1767" s="123"/>
      <c r="H1767" s="123"/>
      <c r="I1767" s="123"/>
      <c r="J1767" s="123"/>
      <c r="K1767" s="123"/>
      <c r="L1767" s="123"/>
      <c r="M1767" s="123"/>
      <c r="N1767" s="126"/>
    </row>
    <row r="1768" spans="1:14" s="3" customFormat="1" ht="25.2">
      <c r="A1768" s="125" t="s">
        <v>1900</v>
      </c>
      <c r="B1768" s="123"/>
      <c r="C1768" s="123"/>
      <c r="D1768" s="123"/>
      <c r="E1768" s="123"/>
      <c r="F1768" s="171" t="s">
        <v>1901</v>
      </c>
      <c r="G1768" s="604">
        <f t="shared" ref="G1768" si="48">G1733+1</f>
        <v>51</v>
      </c>
      <c r="H1768" s="604"/>
      <c r="I1768" s="604"/>
      <c r="J1768" s="604"/>
      <c r="K1768" s="604"/>
      <c r="L1768" s="123"/>
      <c r="M1768" s="123"/>
      <c r="N1768" s="126"/>
    </row>
    <row r="1769" spans="1:14" s="4" customFormat="1" ht="25.2">
      <c r="A1769" s="125" t="s">
        <v>1903</v>
      </c>
      <c r="B1769" s="123"/>
      <c r="C1769" s="123"/>
      <c r="D1769" s="123"/>
      <c r="E1769" s="123"/>
      <c r="F1769" s="167"/>
      <c r="G1769" s="167"/>
      <c r="H1769" s="123"/>
      <c r="I1769" s="123"/>
      <c r="J1769" s="123"/>
      <c r="K1769" s="123"/>
      <c r="L1769" s="123"/>
      <c r="M1769" s="123"/>
      <c r="N1769" s="126"/>
    </row>
    <row r="1770" spans="1:14" s="3" customFormat="1" ht="9.9" customHeight="1">
      <c r="A1770" s="125"/>
      <c r="B1770" s="123"/>
      <c r="C1770" s="123"/>
      <c r="D1770" s="123"/>
      <c r="E1770" s="123"/>
      <c r="F1770" s="167"/>
      <c r="G1770" s="167"/>
      <c r="H1770" s="123"/>
      <c r="I1770" s="123"/>
      <c r="J1770" s="123"/>
      <c r="K1770" s="123"/>
      <c r="L1770" s="123"/>
      <c r="M1770" s="123"/>
      <c r="N1770" s="126"/>
    </row>
    <row r="1771" spans="1:14" s="3" customFormat="1" ht="25.2">
      <c r="A1771" s="125" t="s">
        <v>1904</v>
      </c>
      <c r="B1771" s="123"/>
      <c r="C1771" s="123"/>
      <c r="D1771" s="123"/>
      <c r="E1771" s="123"/>
      <c r="F1771" s="167" t="s">
        <v>1896</v>
      </c>
      <c r="G1771" s="204" t="e">
        <f>VLOOKUP(G1768, 'Detail PL'!$B$14:$Q$799, 10)</f>
        <v>#N/A</v>
      </c>
      <c r="H1771" s="204" t="s">
        <v>1905</v>
      </c>
      <c r="I1771" s="204"/>
      <c r="J1771" s="204"/>
      <c r="K1771" s="123"/>
      <c r="L1771" s="123"/>
      <c r="M1771" s="123"/>
      <c r="N1771" s="126"/>
    </row>
    <row r="1772" spans="1:14" s="4" customFormat="1" ht="25.2">
      <c r="A1772" s="125" t="s">
        <v>1906</v>
      </c>
      <c r="B1772" s="123"/>
      <c r="C1772" s="123"/>
      <c r="D1772" s="123"/>
      <c r="E1772" s="123"/>
      <c r="F1772" s="167"/>
      <c r="G1772" s="167"/>
      <c r="H1772" s="167"/>
      <c r="I1772" s="123"/>
      <c r="J1772" s="123"/>
      <c r="K1772" s="123"/>
      <c r="L1772" s="123"/>
      <c r="M1772" s="123"/>
      <c r="N1772" s="126"/>
    </row>
    <row r="1773" spans="1:14" s="3" customFormat="1" ht="9.9" customHeight="1">
      <c r="A1773" s="125"/>
      <c r="B1773" s="123"/>
      <c r="C1773" s="123"/>
      <c r="D1773" s="123"/>
      <c r="E1773" s="123"/>
      <c r="F1773" s="167"/>
      <c r="G1773" s="167"/>
      <c r="H1773" s="167"/>
      <c r="I1773" s="123"/>
      <c r="J1773" s="123"/>
      <c r="K1773" s="123"/>
      <c r="L1773" s="123"/>
      <c r="M1773" s="123"/>
      <c r="N1773" s="126"/>
    </row>
    <row r="1774" spans="1:14" s="3" customFormat="1" ht="25.2">
      <c r="A1774" s="125" t="s">
        <v>1907</v>
      </c>
      <c r="B1774" s="123"/>
      <c r="C1774" s="123"/>
      <c r="D1774" s="123"/>
      <c r="E1774" s="123"/>
      <c r="F1774" s="167" t="s">
        <v>1896</v>
      </c>
      <c r="G1774" s="204" t="e">
        <f>VLOOKUP(G1768, 'Detail PL'!$B$14:$Q$799, 11)</f>
        <v>#N/A</v>
      </c>
      <c r="H1774" s="204" t="s">
        <v>1905</v>
      </c>
      <c r="I1774" s="204"/>
      <c r="J1774" s="204"/>
      <c r="K1774" s="123"/>
      <c r="L1774" s="123"/>
      <c r="M1774" s="123"/>
      <c r="N1774" s="126"/>
    </row>
    <row r="1775" spans="1:14" s="4" customFormat="1" ht="25.2">
      <c r="A1775" s="125" t="s">
        <v>1908</v>
      </c>
      <c r="B1775" s="123"/>
      <c r="C1775" s="123"/>
      <c r="D1775" s="123"/>
      <c r="E1775" s="123"/>
      <c r="F1775" s="167"/>
      <c r="G1775" s="167"/>
      <c r="H1775" s="123"/>
      <c r="I1775" s="123"/>
      <c r="J1775" s="123"/>
      <c r="K1775" s="123"/>
      <c r="L1775" s="123"/>
      <c r="M1775" s="123"/>
      <c r="N1775" s="126"/>
    </row>
    <row r="1776" spans="1:14" s="3" customFormat="1" ht="9.9" customHeight="1">
      <c r="A1776" s="125"/>
      <c r="B1776" s="123"/>
      <c r="C1776" s="123"/>
      <c r="D1776" s="123"/>
      <c r="E1776" s="123"/>
      <c r="F1776" s="167"/>
      <c r="G1776" s="167"/>
      <c r="H1776" s="123"/>
      <c r="I1776" s="123"/>
      <c r="J1776" s="123"/>
      <c r="K1776" s="123"/>
      <c r="L1776" s="123"/>
      <c r="M1776" s="123"/>
      <c r="N1776" s="126"/>
    </row>
    <row r="1777" spans="1:15" s="3" customFormat="1" ht="25.2">
      <c r="A1777" s="129" t="s">
        <v>1909</v>
      </c>
      <c r="B1777" s="123"/>
      <c r="C1777" s="123"/>
      <c r="D1777" s="123"/>
      <c r="E1777" s="123"/>
      <c r="F1777" s="167" t="s">
        <v>1896</v>
      </c>
      <c r="G1777" s="204" t="e">
        <f>VLOOKUP(G1768, 'Detail PL'!$B$14:$Q$799, 9)</f>
        <v>#N/A</v>
      </c>
      <c r="H1777" s="205" t="s">
        <v>1910</v>
      </c>
      <c r="I1777" s="203"/>
      <c r="J1777" s="203"/>
      <c r="K1777" s="172"/>
      <c r="L1777" s="123"/>
      <c r="M1777" s="123"/>
      <c r="N1777" s="126"/>
    </row>
    <row r="1778" spans="1:15" s="4" customFormat="1" ht="25.2">
      <c r="A1778" s="125" t="s">
        <v>1911</v>
      </c>
      <c r="B1778" s="123"/>
      <c r="C1778" s="123"/>
      <c r="D1778" s="123"/>
      <c r="E1778" s="123"/>
      <c r="F1778" s="167"/>
      <c r="G1778" s="167"/>
      <c r="H1778" s="123"/>
      <c r="I1778" s="123"/>
      <c r="J1778" s="123"/>
      <c r="K1778" s="123"/>
      <c r="L1778" s="123"/>
      <c r="M1778" s="123"/>
      <c r="N1778" s="126"/>
    </row>
    <row r="1779" spans="1:15" s="3" customFormat="1" ht="9.9" customHeight="1">
      <c r="A1779" s="125"/>
      <c r="B1779" s="123"/>
      <c r="C1779" s="123"/>
      <c r="D1779" s="123"/>
      <c r="E1779" s="123"/>
      <c r="F1779" s="167"/>
      <c r="G1779" s="167"/>
      <c r="H1779" s="123"/>
      <c r="I1779" s="123"/>
      <c r="J1779" s="123"/>
      <c r="K1779" s="123"/>
      <c r="L1779" s="123"/>
      <c r="M1779" s="123"/>
      <c r="N1779" s="126"/>
    </row>
    <row r="1780" spans="1:15" s="3" customFormat="1" ht="42" customHeight="1">
      <c r="A1780" s="125" t="s">
        <v>1912</v>
      </c>
      <c r="B1780" s="123"/>
      <c r="C1780" s="123"/>
      <c r="D1780" s="123"/>
      <c r="E1780" s="123"/>
      <c r="F1780" s="166" t="s">
        <v>1913</v>
      </c>
      <c r="G1780" s="595" t="s">
        <v>1914</v>
      </c>
      <c r="H1780" s="595"/>
      <c r="I1780" s="595"/>
      <c r="J1780" s="595"/>
      <c r="K1780" s="595"/>
      <c r="L1780" s="595"/>
      <c r="M1780" s="595"/>
      <c r="N1780" s="596"/>
    </row>
    <row r="1781" spans="1:15" s="4" customFormat="1" ht="25.8" thickBot="1">
      <c r="A1781" s="125" t="s">
        <v>1915</v>
      </c>
      <c r="B1781" s="123"/>
      <c r="C1781" s="123"/>
      <c r="D1781" s="123"/>
      <c r="E1781" s="123"/>
      <c r="F1781" s="167"/>
      <c r="G1781" s="167"/>
      <c r="H1781" s="123"/>
      <c r="I1781" s="123"/>
      <c r="J1781" s="123"/>
      <c r="K1781" s="123"/>
      <c r="L1781" s="123"/>
      <c r="M1781" s="123"/>
      <c r="N1781" s="126"/>
    </row>
    <row r="1782" spans="1:15" ht="21" customHeight="1">
      <c r="A1782" s="598" t="s">
        <v>1916</v>
      </c>
      <c r="B1782" s="599"/>
      <c r="C1782" s="599"/>
      <c r="D1782" s="599"/>
      <c r="E1782" s="599"/>
      <c r="F1782" s="599"/>
      <c r="G1782" s="599"/>
      <c r="H1782" s="599"/>
      <c r="I1782" s="599"/>
      <c r="J1782" s="599"/>
      <c r="K1782" s="599"/>
      <c r="L1782" s="599"/>
      <c r="M1782" s="599"/>
      <c r="N1782" s="600"/>
    </row>
    <row r="1783" spans="1:15" ht="25.5" customHeight="1" thickBot="1">
      <c r="A1783" s="601"/>
      <c r="B1783" s="602"/>
      <c r="C1783" s="602"/>
      <c r="D1783" s="602"/>
      <c r="E1783" s="602"/>
      <c r="F1783" s="602"/>
      <c r="G1783" s="602"/>
      <c r="H1783" s="602"/>
      <c r="I1783" s="602"/>
      <c r="J1783" s="602"/>
      <c r="K1783" s="602"/>
      <c r="L1783" s="602"/>
      <c r="M1783" s="602"/>
      <c r="N1783" s="603"/>
    </row>
    <row r="1784" spans="1:15" ht="25.5" customHeight="1">
      <c r="E1784" s="206"/>
      <c r="F1784" s="206"/>
      <c r="G1784" s="206"/>
      <c r="H1784" s="206"/>
      <c r="I1784" s="206"/>
      <c r="J1784" s="206"/>
      <c r="K1784" s="206"/>
    </row>
    <row r="1785" spans="1:15" ht="21.6" thickBot="1"/>
    <row r="1786" spans="1:15" ht="95.25" customHeight="1" thickBot="1">
      <c r="A1786" s="592" t="s">
        <v>1883</v>
      </c>
      <c r="B1786" s="593"/>
      <c r="C1786" s="593"/>
      <c r="D1786" s="593"/>
      <c r="E1786" s="593"/>
      <c r="F1786" s="593"/>
      <c r="G1786" s="593"/>
      <c r="H1786" s="593"/>
      <c r="I1786" s="593"/>
      <c r="J1786" s="593"/>
      <c r="K1786" s="593"/>
      <c r="L1786" s="593"/>
      <c r="M1786" s="593"/>
      <c r="N1786" s="594"/>
    </row>
    <row r="1787" spans="1:15" s="3" customFormat="1" ht="37.5" customHeight="1">
      <c r="A1787" s="134" t="s">
        <v>1884</v>
      </c>
      <c r="B1787" s="166"/>
      <c r="C1787" s="166"/>
      <c r="D1787" s="123"/>
      <c r="E1787" s="123"/>
      <c r="F1787" s="167" t="s">
        <v>1885</v>
      </c>
      <c r="G1787" s="167" t="s">
        <v>1886</v>
      </c>
      <c r="H1787" s="167"/>
      <c r="I1787" s="167"/>
      <c r="J1787" s="167"/>
      <c r="K1787" s="167"/>
      <c r="L1787" s="167"/>
      <c r="M1787" s="167"/>
      <c r="N1787" s="152"/>
      <c r="O1787" s="201"/>
    </row>
    <row r="1788" spans="1:15" s="4" customFormat="1" ht="25.2">
      <c r="A1788" s="125" t="s">
        <v>1887</v>
      </c>
      <c r="B1788" s="123"/>
      <c r="C1788" s="123"/>
      <c r="D1788" s="123"/>
      <c r="E1788" s="123"/>
      <c r="F1788" s="167"/>
      <c r="G1788" s="167" t="s">
        <v>1888</v>
      </c>
      <c r="H1788" s="167"/>
      <c r="I1788" s="167"/>
      <c r="J1788" s="167"/>
      <c r="K1788" s="167"/>
      <c r="L1788" s="167"/>
      <c r="M1788" s="167"/>
      <c r="N1788" s="152"/>
    </row>
    <row r="1789" spans="1:15" s="3" customFormat="1" ht="9.9" customHeight="1">
      <c r="A1789" s="125"/>
      <c r="B1789" s="123"/>
      <c r="C1789" s="123"/>
      <c r="D1789" s="123"/>
      <c r="E1789" s="123"/>
      <c r="F1789" s="167"/>
      <c r="G1789" s="123"/>
      <c r="H1789" s="123"/>
      <c r="I1789" s="123"/>
      <c r="J1789" s="123"/>
      <c r="K1789" s="123"/>
      <c r="L1789" s="123"/>
      <c r="M1789" s="123"/>
      <c r="N1789" s="126"/>
    </row>
    <row r="1790" spans="1:15" s="3" customFormat="1" ht="42.75" customHeight="1">
      <c r="A1790" s="125" t="s">
        <v>1889</v>
      </c>
      <c r="B1790" s="123"/>
      <c r="C1790" s="123"/>
      <c r="D1790" s="123"/>
      <c r="E1790" s="123"/>
      <c r="F1790" s="167" t="s">
        <v>1885</v>
      </c>
      <c r="G1790" s="167" t="str">
        <f>PL!$B$13</f>
        <v>Branch of JSC "Doosan Enerbility" in the Turkestan region</v>
      </c>
      <c r="H1790" s="123"/>
      <c r="I1790" s="123"/>
      <c r="J1790" s="123"/>
      <c r="K1790" s="123"/>
      <c r="L1790" s="123"/>
      <c r="M1790" s="123"/>
      <c r="N1790" s="126"/>
    </row>
    <row r="1791" spans="1:15" s="3" customFormat="1" ht="24" customHeight="1">
      <c r="A1791" s="125" t="s">
        <v>1890</v>
      </c>
      <c r="B1791" s="123"/>
      <c r="C1791" s="123"/>
      <c r="D1791" s="123"/>
      <c r="E1791" s="123"/>
      <c r="F1791" s="168"/>
      <c r="G1791" s="167" t="str">
        <f>PL!$B$14</f>
        <v>321 Tauke Khan Avenue, Turkestan region, Turkestan, Kazakhstan, 161200</v>
      </c>
      <c r="H1791" s="123"/>
      <c r="I1791" s="123"/>
      <c r="J1791" s="123"/>
      <c r="K1791" s="123"/>
      <c r="L1791" s="123"/>
      <c r="M1791" s="123"/>
      <c r="N1791" s="126"/>
    </row>
    <row r="1792" spans="1:15" s="4" customFormat="1" ht="25.2">
      <c r="A1792" s="125"/>
      <c r="B1792" s="123"/>
      <c r="C1792" s="123"/>
      <c r="D1792" s="123"/>
      <c r="E1792" s="123"/>
      <c r="F1792" s="168"/>
      <c r="G1792" s="167" t="str">
        <f>PL!$B$15</f>
        <v>BIN: 230741006561</v>
      </c>
      <c r="H1792" s="123"/>
      <c r="I1792" s="123"/>
      <c r="J1792" s="123"/>
      <c r="K1792" s="123"/>
      <c r="L1792" s="123"/>
      <c r="M1792" s="123"/>
      <c r="N1792" s="126"/>
    </row>
    <row r="1793" spans="1:14" s="3" customFormat="1" ht="9.9" customHeight="1">
      <c r="A1793" s="125"/>
      <c r="B1793" s="123"/>
      <c r="C1793" s="123"/>
      <c r="D1793" s="123"/>
      <c r="E1793" s="123"/>
      <c r="F1793" s="169"/>
      <c r="G1793" s="169"/>
      <c r="H1793" s="123"/>
      <c r="I1793" s="123"/>
      <c r="J1793" s="123"/>
      <c r="K1793" s="123"/>
      <c r="L1793" s="123"/>
      <c r="M1793" s="123"/>
      <c r="N1793" s="126"/>
    </row>
    <row r="1794" spans="1:14" s="3" customFormat="1" ht="25.2">
      <c r="A1794" s="125" t="s">
        <v>1891</v>
      </c>
      <c r="B1794" s="123"/>
      <c r="C1794" s="123"/>
      <c r="D1794" s="123"/>
      <c r="E1794" s="123"/>
      <c r="F1794" s="167" t="s">
        <v>1892</v>
      </c>
      <c r="G1794" s="123"/>
      <c r="H1794" s="123"/>
      <c r="I1794" s="123"/>
      <c r="J1794" s="123"/>
      <c r="K1794" s="123"/>
      <c r="L1794" s="123"/>
      <c r="M1794" s="123"/>
      <c r="N1794" s="126"/>
    </row>
    <row r="1795" spans="1:14" s="4" customFormat="1" ht="25.2">
      <c r="A1795" s="125" t="s">
        <v>1893</v>
      </c>
      <c r="B1795" s="123"/>
      <c r="C1795" s="123"/>
      <c r="D1795" s="123"/>
      <c r="E1795" s="123"/>
      <c r="F1795" s="167" t="s">
        <v>1894</v>
      </c>
      <c r="G1795" s="123"/>
      <c r="H1795" s="123"/>
      <c r="I1795" s="123"/>
      <c r="J1795" s="123"/>
      <c r="K1795" s="123"/>
      <c r="L1795" s="123"/>
      <c r="M1795" s="123"/>
      <c r="N1795" s="126"/>
    </row>
    <row r="1796" spans="1:14" s="3" customFormat="1" ht="9.9" customHeight="1">
      <c r="A1796" s="125"/>
      <c r="B1796" s="123"/>
      <c r="C1796" s="123"/>
      <c r="D1796" s="123"/>
      <c r="E1796" s="123"/>
      <c r="F1796" s="167"/>
      <c r="G1796" s="123"/>
      <c r="H1796" s="123"/>
      <c r="I1796" s="123"/>
      <c r="J1796" s="123"/>
      <c r="K1796" s="123"/>
      <c r="L1796" s="123"/>
      <c r="M1796" s="123"/>
      <c r="N1796" s="126"/>
    </row>
    <row r="1797" spans="1:14" s="3" customFormat="1" ht="25.2">
      <c r="A1797" s="125" t="s">
        <v>1895</v>
      </c>
      <c r="B1797" s="123"/>
      <c r="C1797" s="123"/>
      <c r="D1797" s="123"/>
      <c r="E1797" s="123"/>
      <c r="F1797" s="167" t="s">
        <v>1896</v>
      </c>
      <c r="G1797" s="167" t="str">
        <f>PL!$V$8</f>
        <v>PGU-DE-0139-001</v>
      </c>
      <c r="H1797" s="123"/>
      <c r="I1797" s="123"/>
      <c r="J1797" s="123"/>
      <c r="K1797" s="123"/>
      <c r="L1797" s="123"/>
      <c r="M1797" s="123"/>
      <c r="N1797" s="126"/>
    </row>
    <row r="1798" spans="1:14" s="3" customFormat="1" ht="25.2">
      <c r="A1798" s="125" t="s">
        <v>1897</v>
      </c>
      <c r="B1798" s="123"/>
      <c r="C1798" s="123"/>
      <c r="D1798" s="123"/>
      <c r="E1798" s="123"/>
      <c r="F1798" s="167"/>
      <c r="G1798" s="123"/>
      <c r="H1798" s="123"/>
      <c r="I1798" s="123"/>
      <c r="J1798" s="123"/>
      <c r="K1798" s="123"/>
      <c r="L1798" s="123"/>
      <c r="M1798" s="123"/>
      <c r="N1798" s="126"/>
    </row>
    <row r="1799" spans="1:14" s="3" customFormat="1" ht="9.9" customHeight="1">
      <c r="A1799" s="125"/>
      <c r="B1799" s="123"/>
      <c r="C1799" s="123"/>
      <c r="D1799" s="123"/>
      <c r="E1799" s="123"/>
      <c r="F1799" s="167"/>
      <c r="G1799" s="123"/>
      <c r="H1799" s="123"/>
      <c r="I1799" s="123"/>
      <c r="J1799" s="123"/>
      <c r="K1799" s="123"/>
      <c r="L1799" s="123"/>
      <c r="M1799" s="123"/>
      <c r="N1799" s="126"/>
    </row>
    <row r="1800" spans="1:14" s="3" customFormat="1" ht="31.2" customHeight="1">
      <c r="A1800" s="127" t="s">
        <v>1898</v>
      </c>
      <c r="B1800" s="170"/>
      <c r="C1800" s="170"/>
      <c r="D1800" s="170"/>
      <c r="E1800" s="170"/>
      <c r="F1800" s="171" t="s">
        <v>1885</v>
      </c>
      <c r="G1800" s="597" t="e">
        <f>VLOOKUP(G1803, 'Detail PL'!$B$14:$Q$799,2)</f>
        <v>#N/A</v>
      </c>
      <c r="H1800" s="597"/>
      <c r="I1800" s="597"/>
      <c r="J1800" s="597"/>
      <c r="K1800" s="597"/>
      <c r="L1800" s="597"/>
      <c r="M1800" s="597"/>
      <c r="N1800" s="128"/>
    </row>
    <row r="1801" spans="1:14" s="3" customFormat="1" ht="25.2">
      <c r="A1801" s="127" t="s">
        <v>1899</v>
      </c>
      <c r="B1801" s="170"/>
      <c r="C1801" s="170"/>
      <c r="D1801" s="170"/>
      <c r="E1801" s="170"/>
      <c r="F1801" s="171"/>
      <c r="G1801" s="170"/>
      <c r="H1801" s="170"/>
      <c r="I1801" s="170"/>
      <c r="J1801" s="170"/>
      <c r="K1801" s="170"/>
      <c r="L1801" s="170"/>
      <c r="M1801" s="170"/>
      <c r="N1801" s="128"/>
    </row>
    <row r="1802" spans="1:14" s="3" customFormat="1" ht="9.9" customHeight="1">
      <c r="A1802" s="125"/>
      <c r="B1802" s="123"/>
      <c r="C1802" s="123"/>
      <c r="D1802" s="123"/>
      <c r="E1802" s="123"/>
      <c r="F1802" s="167"/>
      <c r="G1802" s="123"/>
      <c r="H1802" s="123"/>
      <c r="I1802" s="123"/>
      <c r="J1802" s="123"/>
      <c r="K1802" s="123"/>
      <c r="L1802" s="123"/>
      <c r="M1802" s="123"/>
      <c r="N1802" s="126"/>
    </row>
    <row r="1803" spans="1:14" s="3" customFormat="1" ht="25.2">
      <c r="A1803" s="125" t="s">
        <v>1900</v>
      </c>
      <c r="B1803" s="123"/>
      <c r="C1803" s="123"/>
      <c r="D1803" s="123"/>
      <c r="E1803" s="123"/>
      <c r="F1803" s="171" t="s">
        <v>1901</v>
      </c>
      <c r="G1803" s="604">
        <f t="shared" ref="G1803" si="49">G1768+1</f>
        <v>52</v>
      </c>
      <c r="H1803" s="604"/>
      <c r="I1803" s="604"/>
      <c r="J1803" s="604"/>
      <c r="K1803" s="604"/>
      <c r="L1803" s="123"/>
      <c r="M1803" s="123"/>
      <c r="N1803" s="126"/>
    </row>
    <row r="1804" spans="1:14" s="4" customFormat="1" ht="25.2">
      <c r="A1804" s="125" t="s">
        <v>1903</v>
      </c>
      <c r="B1804" s="123"/>
      <c r="C1804" s="123"/>
      <c r="D1804" s="123"/>
      <c r="E1804" s="123"/>
      <c r="F1804" s="167"/>
      <c r="G1804" s="167"/>
      <c r="H1804" s="123"/>
      <c r="I1804" s="123"/>
      <c r="J1804" s="123"/>
      <c r="K1804" s="123"/>
      <c r="L1804" s="123"/>
      <c r="M1804" s="123"/>
      <c r="N1804" s="126"/>
    </row>
    <row r="1805" spans="1:14" s="3" customFormat="1" ht="9.9" customHeight="1">
      <c r="A1805" s="125"/>
      <c r="B1805" s="123"/>
      <c r="C1805" s="123"/>
      <c r="D1805" s="123"/>
      <c r="E1805" s="123"/>
      <c r="F1805" s="167"/>
      <c r="G1805" s="167"/>
      <c r="H1805" s="123"/>
      <c r="I1805" s="123"/>
      <c r="J1805" s="123"/>
      <c r="K1805" s="123"/>
      <c r="L1805" s="123"/>
      <c r="M1805" s="123"/>
      <c r="N1805" s="126"/>
    </row>
    <row r="1806" spans="1:14" s="3" customFormat="1" ht="25.2">
      <c r="A1806" s="125" t="s">
        <v>1904</v>
      </c>
      <c r="B1806" s="123"/>
      <c r="C1806" s="123"/>
      <c r="D1806" s="123"/>
      <c r="E1806" s="123"/>
      <c r="F1806" s="167" t="s">
        <v>1896</v>
      </c>
      <c r="G1806" s="204" t="e">
        <f>VLOOKUP(G1803, 'Detail PL'!$B$14:$Q$799, 10)</f>
        <v>#N/A</v>
      </c>
      <c r="H1806" s="204" t="s">
        <v>1905</v>
      </c>
      <c r="I1806" s="204"/>
      <c r="J1806" s="204"/>
      <c r="K1806" s="123"/>
      <c r="L1806" s="123"/>
      <c r="M1806" s="123"/>
      <c r="N1806" s="126"/>
    </row>
    <row r="1807" spans="1:14" s="4" customFormat="1" ht="25.2">
      <c r="A1807" s="125" t="s">
        <v>1906</v>
      </c>
      <c r="B1807" s="123"/>
      <c r="C1807" s="123"/>
      <c r="D1807" s="123"/>
      <c r="E1807" s="123"/>
      <c r="F1807" s="167"/>
      <c r="G1807" s="167"/>
      <c r="H1807" s="167"/>
      <c r="I1807" s="123"/>
      <c r="J1807" s="123"/>
      <c r="K1807" s="123"/>
      <c r="L1807" s="123"/>
      <c r="M1807" s="123"/>
      <c r="N1807" s="126"/>
    </row>
    <row r="1808" spans="1:14" s="3" customFormat="1" ht="9.9" customHeight="1">
      <c r="A1808" s="125"/>
      <c r="B1808" s="123"/>
      <c r="C1808" s="123"/>
      <c r="D1808" s="123"/>
      <c r="E1808" s="123"/>
      <c r="F1808" s="167"/>
      <c r="G1808" s="167"/>
      <c r="H1808" s="167"/>
      <c r="I1808" s="123"/>
      <c r="J1808" s="123"/>
      <c r="K1808" s="123"/>
      <c r="L1808" s="123"/>
      <c r="M1808" s="123"/>
      <c r="N1808" s="126"/>
    </row>
    <row r="1809" spans="1:15" s="3" customFormat="1" ht="25.2">
      <c r="A1809" s="125" t="s">
        <v>1907</v>
      </c>
      <c r="B1809" s="123"/>
      <c r="C1809" s="123"/>
      <c r="D1809" s="123"/>
      <c r="E1809" s="123"/>
      <c r="F1809" s="167" t="s">
        <v>1896</v>
      </c>
      <c r="G1809" s="204" t="e">
        <f>VLOOKUP(G1803, 'Detail PL'!$B$14:$Q$799, 11)</f>
        <v>#N/A</v>
      </c>
      <c r="H1809" s="204" t="s">
        <v>1905</v>
      </c>
      <c r="I1809" s="204"/>
      <c r="J1809" s="204"/>
      <c r="K1809" s="123"/>
      <c r="L1809" s="123"/>
      <c r="M1809" s="123"/>
      <c r="N1809" s="126"/>
    </row>
    <row r="1810" spans="1:15" s="4" customFormat="1" ht="25.2">
      <c r="A1810" s="125" t="s">
        <v>1908</v>
      </c>
      <c r="B1810" s="123"/>
      <c r="C1810" s="123"/>
      <c r="D1810" s="123"/>
      <c r="E1810" s="123"/>
      <c r="F1810" s="167"/>
      <c r="G1810" s="167"/>
      <c r="H1810" s="123"/>
      <c r="I1810" s="123"/>
      <c r="J1810" s="123"/>
      <c r="K1810" s="123"/>
      <c r="L1810" s="123"/>
      <c r="M1810" s="123"/>
      <c r="N1810" s="126"/>
    </row>
    <row r="1811" spans="1:15" s="3" customFormat="1" ht="9.9" customHeight="1">
      <c r="A1811" s="125"/>
      <c r="B1811" s="123"/>
      <c r="C1811" s="123"/>
      <c r="D1811" s="123"/>
      <c r="E1811" s="123"/>
      <c r="F1811" s="167"/>
      <c r="G1811" s="167"/>
      <c r="H1811" s="123"/>
      <c r="I1811" s="123"/>
      <c r="J1811" s="123"/>
      <c r="K1811" s="123"/>
      <c r="L1811" s="123"/>
      <c r="M1811" s="123"/>
      <c r="N1811" s="126"/>
    </row>
    <row r="1812" spans="1:15" s="3" customFormat="1" ht="25.2">
      <c r="A1812" s="129" t="s">
        <v>1909</v>
      </c>
      <c r="B1812" s="123"/>
      <c r="C1812" s="123"/>
      <c r="D1812" s="123"/>
      <c r="E1812" s="123"/>
      <c r="F1812" s="167" t="s">
        <v>1896</v>
      </c>
      <c r="G1812" s="204" t="e">
        <f>VLOOKUP(G1803, 'Detail PL'!$B$14:$Q$799, 9)</f>
        <v>#N/A</v>
      </c>
      <c r="H1812" s="205" t="s">
        <v>1910</v>
      </c>
      <c r="I1812" s="203"/>
      <c r="J1812" s="203"/>
      <c r="K1812" s="172"/>
      <c r="L1812" s="123"/>
      <c r="M1812" s="123"/>
      <c r="N1812" s="126"/>
    </row>
    <row r="1813" spans="1:15" s="4" customFormat="1" ht="25.2">
      <c r="A1813" s="125" t="s">
        <v>1911</v>
      </c>
      <c r="B1813" s="123"/>
      <c r="C1813" s="123"/>
      <c r="D1813" s="123"/>
      <c r="E1813" s="123"/>
      <c r="F1813" s="167"/>
      <c r="G1813" s="167"/>
      <c r="H1813" s="123"/>
      <c r="I1813" s="123"/>
      <c r="J1813" s="123"/>
      <c r="K1813" s="123"/>
      <c r="L1813" s="123"/>
      <c r="M1813" s="123"/>
      <c r="N1813" s="126"/>
    </row>
    <row r="1814" spans="1:15" s="3" customFormat="1" ht="9.9" customHeight="1">
      <c r="A1814" s="125"/>
      <c r="B1814" s="123"/>
      <c r="C1814" s="123"/>
      <c r="D1814" s="123"/>
      <c r="E1814" s="123"/>
      <c r="F1814" s="167"/>
      <c r="G1814" s="167"/>
      <c r="H1814" s="123"/>
      <c r="I1814" s="123"/>
      <c r="J1814" s="123"/>
      <c r="K1814" s="123"/>
      <c r="L1814" s="123"/>
      <c r="M1814" s="123"/>
      <c r="N1814" s="126"/>
    </row>
    <row r="1815" spans="1:15" s="3" customFormat="1" ht="42" customHeight="1">
      <c r="A1815" s="125" t="s">
        <v>1912</v>
      </c>
      <c r="B1815" s="123"/>
      <c r="C1815" s="123"/>
      <c r="D1815" s="123"/>
      <c r="E1815" s="123"/>
      <c r="F1815" s="166" t="s">
        <v>1913</v>
      </c>
      <c r="G1815" s="595" t="s">
        <v>1914</v>
      </c>
      <c r="H1815" s="595"/>
      <c r="I1815" s="595"/>
      <c r="J1815" s="595"/>
      <c r="K1815" s="595"/>
      <c r="L1815" s="595"/>
      <c r="M1815" s="595"/>
      <c r="N1815" s="596"/>
    </row>
    <row r="1816" spans="1:15" s="4" customFormat="1" ht="25.8" thickBot="1">
      <c r="A1816" s="125" t="s">
        <v>1915</v>
      </c>
      <c r="B1816" s="123"/>
      <c r="C1816" s="123"/>
      <c r="D1816" s="123"/>
      <c r="E1816" s="123"/>
      <c r="F1816" s="167"/>
      <c r="G1816" s="167"/>
      <c r="H1816" s="123"/>
      <c r="I1816" s="123"/>
      <c r="J1816" s="123"/>
      <c r="K1816" s="123"/>
      <c r="L1816" s="123"/>
      <c r="M1816" s="123"/>
      <c r="N1816" s="126"/>
    </row>
    <row r="1817" spans="1:15" ht="21" customHeight="1">
      <c r="A1817" s="598" t="s">
        <v>1916</v>
      </c>
      <c r="B1817" s="599"/>
      <c r="C1817" s="599"/>
      <c r="D1817" s="599"/>
      <c r="E1817" s="599"/>
      <c r="F1817" s="599"/>
      <c r="G1817" s="599"/>
      <c r="H1817" s="599"/>
      <c r="I1817" s="599"/>
      <c r="J1817" s="599"/>
      <c r="K1817" s="599"/>
      <c r="L1817" s="599"/>
      <c r="M1817" s="599"/>
      <c r="N1817" s="600"/>
    </row>
    <row r="1818" spans="1:15" ht="25.5" customHeight="1" thickBot="1">
      <c r="A1818" s="601"/>
      <c r="B1818" s="602"/>
      <c r="C1818" s="602"/>
      <c r="D1818" s="602"/>
      <c r="E1818" s="602"/>
      <c r="F1818" s="602"/>
      <c r="G1818" s="602"/>
      <c r="H1818" s="602"/>
      <c r="I1818" s="602"/>
      <c r="J1818" s="602"/>
      <c r="K1818" s="602"/>
      <c r="L1818" s="602"/>
      <c r="M1818" s="602"/>
      <c r="N1818" s="603"/>
    </row>
    <row r="1819" spans="1:15" ht="25.5" customHeight="1">
      <c r="E1819" s="206"/>
      <c r="F1819" s="206"/>
      <c r="G1819" s="206"/>
      <c r="H1819" s="206"/>
      <c r="I1819" s="206"/>
      <c r="J1819" s="206"/>
      <c r="K1819" s="206"/>
    </row>
    <row r="1820" spans="1:15" ht="21.6" thickBot="1"/>
    <row r="1821" spans="1:15" ht="95.25" customHeight="1" thickBot="1">
      <c r="A1821" s="592" t="s">
        <v>1883</v>
      </c>
      <c r="B1821" s="593"/>
      <c r="C1821" s="593"/>
      <c r="D1821" s="593"/>
      <c r="E1821" s="593"/>
      <c r="F1821" s="593"/>
      <c r="G1821" s="593"/>
      <c r="H1821" s="593"/>
      <c r="I1821" s="593"/>
      <c r="J1821" s="593"/>
      <c r="K1821" s="593"/>
      <c r="L1821" s="593"/>
      <c r="M1821" s="593"/>
      <c r="N1821" s="594"/>
    </row>
    <row r="1822" spans="1:15" s="3" customFormat="1" ht="37.5" customHeight="1">
      <c r="A1822" s="134" t="s">
        <v>1884</v>
      </c>
      <c r="B1822" s="166"/>
      <c r="C1822" s="166"/>
      <c r="D1822" s="123"/>
      <c r="E1822" s="123"/>
      <c r="F1822" s="167" t="s">
        <v>1885</v>
      </c>
      <c r="G1822" s="167" t="s">
        <v>1886</v>
      </c>
      <c r="H1822" s="167"/>
      <c r="I1822" s="167"/>
      <c r="J1822" s="167"/>
      <c r="K1822" s="167"/>
      <c r="L1822" s="167"/>
      <c r="M1822" s="167"/>
      <c r="N1822" s="152"/>
      <c r="O1822" s="201"/>
    </row>
    <row r="1823" spans="1:15" s="4" customFormat="1" ht="25.2">
      <c r="A1823" s="125" t="s">
        <v>1887</v>
      </c>
      <c r="B1823" s="123"/>
      <c r="C1823" s="123"/>
      <c r="D1823" s="123"/>
      <c r="E1823" s="123"/>
      <c r="F1823" s="167"/>
      <c r="G1823" s="167" t="s">
        <v>1888</v>
      </c>
      <c r="H1823" s="167"/>
      <c r="I1823" s="167"/>
      <c r="J1823" s="167"/>
      <c r="K1823" s="167"/>
      <c r="L1823" s="167"/>
      <c r="M1823" s="167"/>
      <c r="N1823" s="152"/>
    </row>
    <row r="1824" spans="1:15" s="3" customFormat="1" ht="9.9" customHeight="1">
      <c r="A1824" s="125"/>
      <c r="B1824" s="123"/>
      <c r="C1824" s="123"/>
      <c r="D1824" s="123"/>
      <c r="E1824" s="123"/>
      <c r="F1824" s="167"/>
      <c r="G1824" s="123"/>
      <c r="H1824" s="123"/>
      <c r="I1824" s="123"/>
      <c r="J1824" s="123"/>
      <c r="K1824" s="123"/>
      <c r="L1824" s="123"/>
      <c r="M1824" s="123"/>
      <c r="N1824" s="126"/>
    </row>
    <row r="1825" spans="1:14" s="3" customFormat="1" ht="42.75" customHeight="1">
      <c r="A1825" s="125" t="s">
        <v>1889</v>
      </c>
      <c r="B1825" s="123"/>
      <c r="C1825" s="123"/>
      <c r="D1825" s="123"/>
      <c r="E1825" s="123"/>
      <c r="F1825" s="167" t="s">
        <v>1885</v>
      </c>
      <c r="G1825" s="167" t="str">
        <f>PL!$B$13</f>
        <v>Branch of JSC "Doosan Enerbility" in the Turkestan region</v>
      </c>
      <c r="H1825" s="123"/>
      <c r="I1825" s="123"/>
      <c r="J1825" s="123"/>
      <c r="K1825" s="123"/>
      <c r="L1825" s="123"/>
      <c r="M1825" s="123"/>
      <c r="N1825" s="126"/>
    </row>
    <row r="1826" spans="1:14" s="3" customFormat="1" ht="24" customHeight="1">
      <c r="A1826" s="125" t="s">
        <v>1890</v>
      </c>
      <c r="B1826" s="123"/>
      <c r="C1826" s="123"/>
      <c r="D1826" s="123"/>
      <c r="E1826" s="123"/>
      <c r="F1826" s="168"/>
      <c r="G1826" s="167" t="str">
        <f>PL!$B$14</f>
        <v>321 Tauke Khan Avenue, Turkestan region, Turkestan, Kazakhstan, 161200</v>
      </c>
      <c r="H1826" s="123"/>
      <c r="I1826" s="123"/>
      <c r="J1826" s="123"/>
      <c r="K1826" s="123"/>
      <c r="L1826" s="123"/>
      <c r="M1826" s="123"/>
      <c r="N1826" s="126"/>
    </row>
    <row r="1827" spans="1:14" s="4" customFormat="1" ht="25.2">
      <c r="A1827" s="125"/>
      <c r="B1827" s="123"/>
      <c r="C1827" s="123"/>
      <c r="D1827" s="123"/>
      <c r="E1827" s="123"/>
      <c r="F1827" s="168"/>
      <c r="G1827" s="167" t="str">
        <f>PL!$B$15</f>
        <v>BIN: 230741006561</v>
      </c>
      <c r="H1827" s="123"/>
      <c r="I1827" s="123"/>
      <c r="J1827" s="123"/>
      <c r="K1827" s="123"/>
      <c r="L1827" s="123"/>
      <c r="M1827" s="123"/>
      <c r="N1827" s="126"/>
    </row>
    <row r="1828" spans="1:14" s="3" customFormat="1" ht="9.9" customHeight="1">
      <c r="A1828" s="125"/>
      <c r="B1828" s="123"/>
      <c r="C1828" s="123"/>
      <c r="D1828" s="123"/>
      <c r="E1828" s="123"/>
      <c r="F1828" s="169"/>
      <c r="G1828" s="169"/>
      <c r="H1828" s="123"/>
      <c r="I1828" s="123"/>
      <c r="J1828" s="123"/>
      <c r="K1828" s="123"/>
      <c r="L1828" s="123"/>
      <c r="M1828" s="123"/>
      <c r="N1828" s="126"/>
    </row>
    <row r="1829" spans="1:14" s="3" customFormat="1" ht="25.2">
      <c r="A1829" s="125" t="s">
        <v>1891</v>
      </c>
      <c r="B1829" s="123"/>
      <c r="C1829" s="123"/>
      <c r="D1829" s="123"/>
      <c r="E1829" s="123"/>
      <c r="F1829" s="167" t="s">
        <v>1892</v>
      </c>
      <c r="G1829" s="123"/>
      <c r="H1829" s="123"/>
      <c r="I1829" s="123"/>
      <c r="J1829" s="123"/>
      <c r="K1829" s="123"/>
      <c r="L1829" s="123"/>
      <c r="M1829" s="123"/>
      <c r="N1829" s="126"/>
    </row>
    <row r="1830" spans="1:14" s="4" customFormat="1" ht="25.2">
      <c r="A1830" s="125" t="s">
        <v>1893</v>
      </c>
      <c r="B1830" s="123"/>
      <c r="C1830" s="123"/>
      <c r="D1830" s="123"/>
      <c r="E1830" s="123"/>
      <c r="F1830" s="167" t="s">
        <v>1894</v>
      </c>
      <c r="G1830" s="123"/>
      <c r="H1830" s="123"/>
      <c r="I1830" s="123"/>
      <c r="J1830" s="123"/>
      <c r="K1830" s="123"/>
      <c r="L1830" s="123"/>
      <c r="M1830" s="123"/>
      <c r="N1830" s="126"/>
    </row>
    <row r="1831" spans="1:14" s="3" customFormat="1" ht="9.9" customHeight="1">
      <c r="A1831" s="125"/>
      <c r="B1831" s="123"/>
      <c r="C1831" s="123"/>
      <c r="D1831" s="123"/>
      <c r="E1831" s="123"/>
      <c r="F1831" s="167"/>
      <c r="G1831" s="123"/>
      <c r="H1831" s="123"/>
      <c r="I1831" s="123"/>
      <c r="J1831" s="123"/>
      <c r="K1831" s="123"/>
      <c r="L1831" s="123"/>
      <c r="M1831" s="123"/>
      <c r="N1831" s="126"/>
    </row>
    <row r="1832" spans="1:14" s="3" customFormat="1" ht="25.2">
      <c r="A1832" s="125" t="s">
        <v>1895</v>
      </c>
      <c r="B1832" s="123"/>
      <c r="C1832" s="123"/>
      <c r="D1832" s="123"/>
      <c r="E1832" s="123"/>
      <c r="F1832" s="167" t="s">
        <v>1896</v>
      </c>
      <c r="G1832" s="167" t="str">
        <f>PL!$V$8</f>
        <v>PGU-DE-0139-001</v>
      </c>
      <c r="H1832" s="123"/>
      <c r="I1832" s="123"/>
      <c r="J1832" s="123"/>
      <c r="K1832" s="123"/>
      <c r="L1832" s="123"/>
      <c r="M1832" s="123"/>
      <c r="N1832" s="126"/>
    </row>
    <row r="1833" spans="1:14" s="3" customFormat="1" ht="25.2">
      <c r="A1833" s="125" t="s">
        <v>1897</v>
      </c>
      <c r="B1833" s="123"/>
      <c r="C1833" s="123"/>
      <c r="D1833" s="123"/>
      <c r="E1833" s="123"/>
      <c r="F1833" s="167"/>
      <c r="G1833" s="123"/>
      <c r="H1833" s="123"/>
      <c r="I1833" s="123"/>
      <c r="J1833" s="123"/>
      <c r="K1833" s="123"/>
      <c r="L1833" s="123"/>
      <c r="M1833" s="123"/>
      <c r="N1833" s="126"/>
    </row>
    <row r="1834" spans="1:14" s="3" customFormat="1" ht="9.9" customHeight="1">
      <c r="A1834" s="125"/>
      <c r="B1834" s="123"/>
      <c r="C1834" s="123"/>
      <c r="D1834" s="123"/>
      <c r="E1834" s="123"/>
      <c r="F1834" s="167"/>
      <c r="G1834" s="123"/>
      <c r="H1834" s="123"/>
      <c r="I1834" s="123"/>
      <c r="J1834" s="123"/>
      <c r="K1834" s="123"/>
      <c r="L1834" s="123"/>
      <c r="M1834" s="123"/>
      <c r="N1834" s="126"/>
    </row>
    <row r="1835" spans="1:14" s="3" customFormat="1" ht="31.2" customHeight="1">
      <c r="A1835" s="127" t="s">
        <v>1898</v>
      </c>
      <c r="B1835" s="170"/>
      <c r="C1835" s="170"/>
      <c r="D1835" s="170"/>
      <c r="E1835" s="170"/>
      <c r="F1835" s="171" t="s">
        <v>1885</v>
      </c>
      <c r="G1835" s="597" t="e">
        <f>VLOOKUP(G1838, 'Detail PL'!$B$14:$Q$799,2)</f>
        <v>#N/A</v>
      </c>
      <c r="H1835" s="597"/>
      <c r="I1835" s="597"/>
      <c r="J1835" s="597"/>
      <c r="K1835" s="597"/>
      <c r="L1835" s="597"/>
      <c r="M1835" s="597"/>
      <c r="N1835" s="128"/>
    </row>
    <row r="1836" spans="1:14" s="3" customFormat="1" ht="25.2">
      <c r="A1836" s="127" t="s">
        <v>1899</v>
      </c>
      <c r="B1836" s="170"/>
      <c r="C1836" s="170"/>
      <c r="D1836" s="170"/>
      <c r="E1836" s="170"/>
      <c r="F1836" s="171"/>
      <c r="G1836" s="170"/>
      <c r="H1836" s="170"/>
      <c r="I1836" s="170"/>
      <c r="J1836" s="170"/>
      <c r="K1836" s="170"/>
      <c r="L1836" s="170"/>
      <c r="M1836" s="170"/>
      <c r="N1836" s="128"/>
    </row>
    <row r="1837" spans="1:14" s="3" customFormat="1" ht="9.9" customHeight="1">
      <c r="A1837" s="125"/>
      <c r="B1837" s="123"/>
      <c r="C1837" s="123"/>
      <c r="D1837" s="123"/>
      <c r="E1837" s="123"/>
      <c r="F1837" s="167"/>
      <c r="G1837" s="123"/>
      <c r="H1837" s="123"/>
      <c r="I1837" s="123"/>
      <c r="J1837" s="123"/>
      <c r="K1837" s="123"/>
      <c r="L1837" s="123"/>
      <c r="M1837" s="123"/>
      <c r="N1837" s="126"/>
    </row>
    <row r="1838" spans="1:14" s="3" customFormat="1" ht="25.2">
      <c r="A1838" s="125" t="s">
        <v>1900</v>
      </c>
      <c r="B1838" s="123"/>
      <c r="C1838" s="123"/>
      <c r="D1838" s="123"/>
      <c r="E1838" s="123"/>
      <c r="F1838" s="171" t="s">
        <v>1901</v>
      </c>
      <c r="G1838" s="604">
        <f t="shared" ref="G1838" si="50">G1803+1</f>
        <v>53</v>
      </c>
      <c r="H1838" s="604"/>
      <c r="I1838" s="604"/>
      <c r="J1838" s="604"/>
      <c r="K1838" s="604"/>
      <c r="L1838" s="123"/>
      <c r="M1838" s="123"/>
      <c r="N1838" s="126"/>
    </row>
    <row r="1839" spans="1:14" s="4" customFormat="1" ht="25.2">
      <c r="A1839" s="125" t="s">
        <v>1903</v>
      </c>
      <c r="B1839" s="123"/>
      <c r="C1839" s="123"/>
      <c r="D1839" s="123"/>
      <c r="E1839" s="123"/>
      <c r="F1839" s="167"/>
      <c r="G1839" s="167"/>
      <c r="H1839" s="123"/>
      <c r="I1839" s="123"/>
      <c r="J1839" s="123"/>
      <c r="K1839" s="123"/>
      <c r="L1839" s="123"/>
      <c r="M1839" s="123"/>
      <c r="N1839" s="126"/>
    </row>
    <row r="1840" spans="1:14" s="3" customFormat="1" ht="9.9" customHeight="1">
      <c r="A1840" s="125"/>
      <c r="B1840" s="123"/>
      <c r="C1840" s="123"/>
      <c r="D1840" s="123"/>
      <c r="E1840" s="123"/>
      <c r="F1840" s="167"/>
      <c r="G1840" s="167"/>
      <c r="H1840" s="123"/>
      <c r="I1840" s="123"/>
      <c r="J1840" s="123"/>
      <c r="K1840" s="123"/>
      <c r="L1840" s="123"/>
      <c r="M1840" s="123"/>
      <c r="N1840" s="126"/>
    </row>
    <row r="1841" spans="1:14" s="3" customFormat="1" ht="25.2">
      <c r="A1841" s="125" t="s">
        <v>1904</v>
      </c>
      <c r="B1841" s="123"/>
      <c r="C1841" s="123"/>
      <c r="D1841" s="123"/>
      <c r="E1841" s="123"/>
      <c r="F1841" s="167" t="s">
        <v>1896</v>
      </c>
      <c r="G1841" s="204" t="e">
        <f>VLOOKUP(G1838, 'Detail PL'!$B$14:$Q$799, 10)</f>
        <v>#N/A</v>
      </c>
      <c r="H1841" s="204" t="s">
        <v>1905</v>
      </c>
      <c r="I1841" s="204"/>
      <c r="J1841" s="204"/>
      <c r="K1841" s="123"/>
      <c r="L1841" s="123"/>
      <c r="M1841" s="123"/>
      <c r="N1841" s="126"/>
    </row>
    <row r="1842" spans="1:14" s="4" customFormat="1" ht="25.2">
      <c r="A1842" s="125" t="s">
        <v>1906</v>
      </c>
      <c r="B1842" s="123"/>
      <c r="C1842" s="123"/>
      <c r="D1842" s="123"/>
      <c r="E1842" s="123"/>
      <c r="F1842" s="167"/>
      <c r="G1842" s="167"/>
      <c r="H1842" s="167"/>
      <c r="I1842" s="123"/>
      <c r="J1842" s="123"/>
      <c r="K1842" s="123"/>
      <c r="L1842" s="123"/>
      <c r="M1842" s="123"/>
      <c r="N1842" s="126"/>
    </row>
    <row r="1843" spans="1:14" s="3" customFormat="1" ht="9.9" customHeight="1">
      <c r="A1843" s="125"/>
      <c r="B1843" s="123"/>
      <c r="C1843" s="123"/>
      <c r="D1843" s="123"/>
      <c r="E1843" s="123"/>
      <c r="F1843" s="167"/>
      <c r="G1843" s="167"/>
      <c r="H1843" s="167"/>
      <c r="I1843" s="123"/>
      <c r="J1843" s="123"/>
      <c r="K1843" s="123"/>
      <c r="L1843" s="123"/>
      <c r="M1843" s="123"/>
      <c r="N1843" s="126"/>
    </row>
    <row r="1844" spans="1:14" s="3" customFormat="1" ht="25.2">
      <c r="A1844" s="125" t="s">
        <v>1907</v>
      </c>
      <c r="B1844" s="123"/>
      <c r="C1844" s="123"/>
      <c r="D1844" s="123"/>
      <c r="E1844" s="123"/>
      <c r="F1844" s="167" t="s">
        <v>1896</v>
      </c>
      <c r="G1844" s="204" t="e">
        <f>VLOOKUP(G1838, 'Detail PL'!$B$14:$Q$799, 11)</f>
        <v>#N/A</v>
      </c>
      <c r="H1844" s="204" t="s">
        <v>1905</v>
      </c>
      <c r="I1844" s="204"/>
      <c r="J1844" s="204"/>
      <c r="K1844" s="123"/>
      <c r="L1844" s="123"/>
      <c r="M1844" s="123"/>
      <c r="N1844" s="126"/>
    </row>
    <row r="1845" spans="1:14" s="4" customFormat="1" ht="25.2">
      <c r="A1845" s="125" t="s">
        <v>1908</v>
      </c>
      <c r="B1845" s="123"/>
      <c r="C1845" s="123"/>
      <c r="D1845" s="123"/>
      <c r="E1845" s="123"/>
      <c r="F1845" s="167"/>
      <c r="G1845" s="167"/>
      <c r="H1845" s="123"/>
      <c r="I1845" s="123"/>
      <c r="J1845" s="123"/>
      <c r="K1845" s="123"/>
      <c r="L1845" s="123"/>
      <c r="M1845" s="123"/>
      <c r="N1845" s="126"/>
    </row>
    <row r="1846" spans="1:14" s="3" customFormat="1" ht="9.9" customHeight="1">
      <c r="A1846" s="125"/>
      <c r="B1846" s="123"/>
      <c r="C1846" s="123"/>
      <c r="D1846" s="123"/>
      <c r="E1846" s="123"/>
      <c r="F1846" s="167"/>
      <c r="G1846" s="167"/>
      <c r="H1846" s="123"/>
      <c r="I1846" s="123"/>
      <c r="J1846" s="123"/>
      <c r="K1846" s="123"/>
      <c r="L1846" s="123"/>
      <c r="M1846" s="123"/>
      <c r="N1846" s="126"/>
    </row>
    <row r="1847" spans="1:14" s="3" customFormat="1" ht="25.2">
      <c r="A1847" s="129" t="s">
        <v>1909</v>
      </c>
      <c r="B1847" s="123"/>
      <c r="C1847" s="123"/>
      <c r="D1847" s="123"/>
      <c r="E1847" s="123"/>
      <c r="F1847" s="167" t="s">
        <v>1896</v>
      </c>
      <c r="G1847" s="204" t="e">
        <f>VLOOKUP(G1838, 'Detail PL'!$B$14:$Q$799, 9)</f>
        <v>#N/A</v>
      </c>
      <c r="H1847" s="205" t="s">
        <v>1910</v>
      </c>
      <c r="I1847" s="203"/>
      <c r="J1847" s="203"/>
      <c r="K1847" s="172"/>
      <c r="L1847" s="123"/>
      <c r="M1847" s="123"/>
      <c r="N1847" s="126"/>
    </row>
    <row r="1848" spans="1:14" s="4" customFormat="1" ht="25.2">
      <c r="A1848" s="125" t="s">
        <v>1911</v>
      </c>
      <c r="B1848" s="123"/>
      <c r="C1848" s="123"/>
      <c r="D1848" s="123"/>
      <c r="E1848" s="123"/>
      <c r="F1848" s="167"/>
      <c r="G1848" s="167"/>
      <c r="H1848" s="123"/>
      <c r="I1848" s="123"/>
      <c r="J1848" s="123"/>
      <c r="K1848" s="123"/>
      <c r="L1848" s="123"/>
      <c r="M1848" s="123"/>
      <c r="N1848" s="126"/>
    </row>
    <row r="1849" spans="1:14" s="3" customFormat="1" ht="9.9" customHeight="1">
      <c r="A1849" s="125"/>
      <c r="B1849" s="123"/>
      <c r="C1849" s="123"/>
      <c r="D1849" s="123"/>
      <c r="E1849" s="123"/>
      <c r="F1849" s="167"/>
      <c r="G1849" s="167"/>
      <c r="H1849" s="123"/>
      <c r="I1849" s="123"/>
      <c r="J1849" s="123"/>
      <c r="K1849" s="123"/>
      <c r="L1849" s="123"/>
      <c r="M1849" s="123"/>
      <c r="N1849" s="126"/>
    </row>
    <row r="1850" spans="1:14" s="3" customFormat="1" ht="42" customHeight="1">
      <c r="A1850" s="125" t="s">
        <v>1912</v>
      </c>
      <c r="B1850" s="123"/>
      <c r="C1850" s="123"/>
      <c r="D1850" s="123"/>
      <c r="E1850" s="123"/>
      <c r="F1850" s="166" t="s">
        <v>1913</v>
      </c>
      <c r="G1850" s="595" t="s">
        <v>1914</v>
      </c>
      <c r="H1850" s="595"/>
      <c r="I1850" s="595"/>
      <c r="J1850" s="595"/>
      <c r="K1850" s="595"/>
      <c r="L1850" s="595"/>
      <c r="M1850" s="595"/>
      <c r="N1850" s="596"/>
    </row>
    <row r="1851" spans="1:14" s="4" customFormat="1" ht="25.8" thickBot="1">
      <c r="A1851" s="125" t="s">
        <v>1915</v>
      </c>
      <c r="B1851" s="123"/>
      <c r="C1851" s="123"/>
      <c r="D1851" s="123"/>
      <c r="E1851" s="123"/>
      <c r="F1851" s="167"/>
      <c r="G1851" s="167"/>
      <c r="H1851" s="123"/>
      <c r="I1851" s="123"/>
      <c r="J1851" s="123"/>
      <c r="K1851" s="123"/>
      <c r="L1851" s="123"/>
      <c r="M1851" s="123"/>
      <c r="N1851" s="126"/>
    </row>
    <row r="1852" spans="1:14" ht="21" customHeight="1">
      <c r="A1852" s="598" t="s">
        <v>1916</v>
      </c>
      <c r="B1852" s="599"/>
      <c r="C1852" s="599"/>
      <c r="D1852" s="599"/>
      <c r="E1852" s="599"/>
      <c r="F1852" s="599"/>
      <c r="G1852" s="599"/>
      <c r="H1852" s="599"/>
      <c r="I1852" s="599"/>
      <c r="J1852" s="599"/>
      <c r="K1852" s="599"/>
      <c r="L1852" s="599"/>
      <c r="M1852" s="599"/>
      <c r="N1852" s="600"/>
    </row>
    <row r="1853" spans="1:14" ht="25.5" customHeight="1" thickBot="1">
      <c r="A1853" s="601"/>
      <c r="B1853" s="602"/>
      <c r="C1853" s="602"/>
      <c r="D1853" s="602"/>
      <c r="E1853" s="602"/>
      <c r="F1853" s="602"/>
      <c r="G1853" s="602"/>
      <c r="H1853" s="602"/>
      <c r="I1853" s="602"/>
      <c r="J1853" s="602"/>
      <c r="K1853" s="602"/>
      <c r="L1853" s="602"/>
      <c r="M1853" s="602"/>
      <c r="N1853" s="603"/>
    </row>
    <row r="1854" spans="1:14" ht="25.5" customHeight="1">
      <c r="E1854" s="206"/>
      <c r="F1854" s="206"/>
      <c r="G1854" s="206"/>
      <c r="H1854" s="206"/>
      <c r="I1854" s="206"/>
      <c r="J1854" s="206"/>
      <c r="K1854" s="206"/>
    </row>
    <row r="1855" spans="1:14" ht="21.6" thickBot="1"/>
    <row r="1856" spans="1:14" ht="95.25" customHeight="1" thickBot="1">
      <c r="A1856" s="592" t="s">
        <v>1883</v>
      </c>
      <c r="B1856" s="593"/>
      <c r="C1856" s="593"/>
      <c r="D1856" s="593"/>
      <c r="E1856" s="593"/>
      <c r="F1856" s="593"/>
      <c r="G1856" s="593"/>
      <c r="H1856" s="593"/>
      <c r="I1856" s="593"/>
      <c r="J1856" s="593"/>
      <c r="K1856" s="593"/>
      <c r="L1856" s="593"/>
      <c r="M1856" s="593"/>
      <c r="N1856" s="594"/>
    </row>
    <row r="1857" spans="1:15" s="3" customFormat="1" ht="37.5" customHeight="1">
      <c r="A1857" s="134" t="s">
        <v>1884</v>
      </c>
      <c r="B1857" s="166"/>
      <c r="C1857" s="166"/>
      <c r="D1857" s="123"/>
      <c r="E1857" s="123"/>
      <c r="F1857" s="167" t="s">
        <v>1885</v>
      </c>
      <c r="G1857" s="167" t="s">
        <v>1886</v>
      </c>
      <c r="H1857" s="167"/>
      <c r="I1857" s="167"/>
      <c r="J1857" s="167"/>
      <c r="K1857" s="167"/>
      <c r="L1857" s="167"/>
      <c r="M1857" s="167"/>
      <c r="N1857" s="152"/>
      <c r="O1857" s="201"/>
    </row>
    <row r="1858" spans="1:15" s="4" customFormat="1" ht="25.2">
      <c r="A1858" s="125" t="s">
        <v>1887</v>
      </c>
      <c r="B1858" s="123"/>
      <c r="C1858" s="123"/>
      <c r="D1858" s="123"/>
      <c r="E1858" s="123"/>
      <c r="F1858" s="167"/>
      <c r="G1858" s="167" t="s">
        <v>1888</v>
      </c>
      <c r="H1858" s="167"/>
      <c r="I1858" s="167"/>
      <c r="J1858" s="167"/>
      <c r="K1858" s="167"/>
      <c r="L1858" s="167"/>
      <c r="M1858" s="167"/>
      <c r="N1858" s="152"/>
    </row>
    <row r="1859" spans="1:15" s="3" customFormat="1" ht="9.9" customHeight="1">
      <c r="A1859" s="125"/>
      <c r="B1859" s="123"/>
      <c r="C1859" s="123"/>
      <c r="D1859" s="123"/>
      <c r="E1859" s="123"/>
      <c r="F1859" s="167"/>
      <c r="G1859" s="123"/>
      <c r="H1859" s="123"/>
      <c r="I1859" s="123"/>
      <c r="J1859" s="123"/>
      <c r="K1859" s="123"/>
      <c r="L1859" s="123"/>
      <c r="M1859" s="123"/>
      <c r="N1859" s="126"/>
    </row>
    <row r="1860" spans="1:15" s="3" customFormat="1" ht="42.75" customHeight="1">
      <c r="A1860" s="125" t="s">
        <v>1889</v>
      </c>
      <c r="B1860" s="123"/>
      <c r="C1860" s="123"/>
      <c r="D1860" s="123"/>
      <c r="E1860" s="123"/>
      <c r="F1860" s="167" t="s">
        <v>1885</v>
      </c>
      <c r="G1860" s="167" t="str">
        <f>PL!$B$13</f>
        <v>Branch of JSC "Doosan Enerbility" in the Turkestan region</v>
      </c>
      <c r="H1860" s="123"/>
      <c r="I1860" s="123"/>
      <c r="J1860" s="123"/>
      <c r="K1860" s="123"/>
      <c r="L1860" s="123"/>
      <c r="M1860" s="123"/>
      <c r="N1860" s="126"/>
    </row>
    <row r="1861" spans="1:15" s="3" customFormat="1" ht="24" customHeight="1">
      <c r="A1861" s="125" t="s">
        <v>1890</v>
      </c>
      <c r="B1861" s="123"/>
      <c r="C1861" s="123"/>
      <c r="D1861" s="123"/>
      <c r="E1861" s="123"/>
      <c r="F1861" s="168"/>
      <c r="G1861" s="167" t="str">
        <f>PL!$B$14</f>
        <v>321 Tauke Khan Avenue, Turkestan region, Turkestan, Kazakhstan, 161200</v>
      </c>
      <c r="H1861" s="123"/>
      <c r="I1861" s="123"/>
      <c r="J1861" s="123"/>
      <c r="K1861" s="123"/>
      <c r="L1861" s="123"/>
      <c r="M1861" s="123"/>
      <c r="N1861" s="126"/>
    </row>
    <row r="1862" spans="1:15" s="4" customFormat="1" ht="25.2">
      <c r="A1862" s="125"/>
      <c r="B1862" s="123"/>
      <c r="C1862" s="123"/>
      <c r="D1862" s="123"/>
      <c r="E1862" s="123"/>
      <c r="F1862" s="168"/>
      <c r="G1862" s="167" t="str">
        <f>PL!$B$15</f>
        <v>BIN: 230741006561</v>
      </c>
      <c r="H1862" s="123"/>
      <c r="I1862" s="123"/>
      <c r="J1862" s="123"/>
      <c r="K1862" s="123"/>
      <c r="L1862" s="123"/>
      <c r="M1862" s="123"/>
      <c r="N1862" s="126"/>
    </row>
    <row r="1863" spans="1:15" s="3" customFormat="1" ht="9.9" customHeight="1">
      <c r="A1863" s="125"/>
      <c r="B1863" s="123"/>
      <c r="C1863" s="123"/>
      <c r="D1863" s="123"/>
      <c r="E1863" s="123"/>
      <c r="F1863" s="169"/>
      <c r="G1863" s="169"/>
      <c r="H1863" s="123"/>
      <c r="I1863" s="123"/>
      <c r="J1863" s="123"/>
      <c r="K1863" s="123"/>
      <c r="L1863" s="123"/>
      <c r="M1863" s="123"/>
      <c r="N1863" s="126"/>
    </row>
    <row r="1864" spans="1:15" s="3" customFormat="1" ht="25.2">
      <c r="A1864" s="125" t="s">
        <v>1891</v>
      </c>
      <c r="B1864" s="123"/>
      <c r="C1864" s="123"/>
      <c r="D1864" s="123"/>
      <c r="E1864" s="123"/>
      <c r="F1864" s="167" t="s">
        <v>1892</v>
      </c>
      <c r="G1864" s="123"/>
      <c r="H1864" s="123"/>
      <c r="I1864" s="123"/>
      <c r="J1864" s="123"/>
      <c r="K1864" s="123"/>
      <c r="L1864" s="123"/>
      <c r="M1864" s="123"/>
      <c r="N1864" s="126"/>
    </row>
    <row r="1865" spans="1:15" s="4" customFormat="1" ht="25.2">
      <c r="A1865" s="125" t="s">
        <v>1893</v>
      </c>
      <c r="B1865" s="123"/>
      <c r="C1865" s="123"/>
      <c r="D1865" s="123"/>
      <c r="E1865" s="123"/>
      <c r="F1865" s="167" t="s">
        <v>1894</v>
      </c>
      <c r="G1865" s="123"/>
      <c r="H1865" s="123"/>
      <c r="I1865" s="123"/>
      <c r="J1865" s="123"/>
      <c r="K1865" s="123"/>
      <c r="L1865" s="123"/>
      <c r="M1865" s="123"/>
      <c r="N1865" s="126"/>
    </row>
    <row r="1866" spans="1:15" s="3" customFormat="1" ht="9.9" customHeight="1">
      <c r="A1866" s="125"/>
      <c r="B1866" s="123"/>
      <c r="C1866" s="123"/>
      <c r="D1866" s="123"/>
      <c r="E1866" s="123"/>
      <c r="F1866" s="167"/>
      <c r="G1866" s="123"/>
      <c r="H1866" s="123"/>
      <c r="I1866" s="123"/>
      <c r="J1866" s="123"/>
      <c r="K1866" s="123"/>
      <c r="L1866" s="123"/>
      <c r="M1866" s="123"/>
      <c r="N1866" s="126"/>
    </row>
    <row r="1867" spans="1:15" s="3" customFormat="1" ht="25.2">
      <c r="A1867" s="125" t="s">
        <v>1895</v>
      </c>
      <c r="B1867" s="123"/>
      <c r="C1867" s="123"/>
      <c r="D1867" s="123"/>
      <c r="E1867" s="123"/>
      <c r="F1867" s="167" t="s">
        <v>1896</v>
      </c>
      <c r="G1867" s="167" t="str">
        <f>PL!$V$8</f>
        <v>PGU-DE-0139-001</v>
      </c>
      <c r="H1867" s="123"/>
      <c r="I1867" s="123"/>
      <c r="J1867" s="123"/>
      <c r="K1867" s="123"/>
      <c r="L1867" s="123"/>
      <c r="M1867" s="123"/>
      <c r="N1867" s="126"/>
    </row>
    <row r="1868" spans="1:15" s="3" customFormat="1" ht="25.2">
      <c r="A1868" s="125" t="s">
        <v>1897</v>
      </c>
      <c r="B1868" s="123"/>
      <c r="C1868" s="123"/>
      <c r="D1868" s="123"/>
      <c r="E1868" s="123"/>
      <c r="F1868" s="167"/>
      <c r="G1868" s="123"/>
      <c r="H1868" s="123"/>
      <c r="I1868" s="123"/>
      <c r="J1868" s="123"/>
      <c r="K1868" s="123"/>
      <c r="L1868" s="123"/>
      <c r="M1868" s="123"/>
      <c r="N1868" s="126"/>
    </row>
    <row r="1869" spans="1:15" s="3" customFormat="1" ht="9.9" customHeight="1">
      <c r="A1869" s="125"/>
      <c r="B1869" s="123"/>
      <c r="C1869" s="123"/>
      <c r="D1869" s="123"/>
      <c r="E1869" s="123"/>
      <c r="F1869" s="167"/>
      <c r="G1869" s="123"/>
      <c r="H1869" s="123"/>
      <c r="I1869" s="123"/>
      <c r="J1869" s="123"/>
      <c r="K1869" s="123"/>
      <c r="L1869" s="123"/>
      <c r="M1869" s="123"/>
      <c r="N1869" s="126"/>
    </row>
    <row r="1870" spans="1:15" s="3" customFormat="1" ht="31.2" customHeight="1">
      <c r="A1870" s="127" t="s">
        <v>1898</v>
      </c>
      <c r="B1870" s="170"/>
      <c r="C1870" s="170"/>
      <c r="D1870" s="170"/>
      <c r="E1870" s="170"/>
      <c r="F1870" s="171" t="s">
        <v>1885</v>
      </c>
      <c r="G1870" s="597" t="e">
        <f>VLOOKUP(G1873, 'Detail PL'!$B$14:$Q$799,2)</f>
        <v>#N/A</v>
      </c>
      <c r="H1870" s="597"/>
      <c r="I1870" s="597"/>
      <c r="J1870" s="597"/>
      <c r="K1870" s="597"/>
      <c r="L1870" s="597"/>
      <c r="M1870" s="597"/>
      <c r="N1870" s="128"/>
    </row>
    <row r="1871" spans="1:15" s="3" customFormat="1" ht="25.2">
      <c r="A1871" s="127" t="s">
        <v>1899</v>
      </c>
      <c r="B1871" s="170"/>
      <c r="C1871" s="170"/>
      <c r="D1871" s="170"/>
      <c r="E1871" s="170"/>
      <c r="F1871" s="171"/>
      <c r="G1871" s="170"/>
      <c r="H1871" s="170"/>
      <c r="I1871" s="170"/>
      <c r="J1871" s="170"/>
      <c r="K1871" s="170"/>
      <c r="L1871" s="170"/>
      <c r="M1871" s="170"/>
      <c r="N1871" s="128"/>
    </row>
    <row r="1872" spans="1:15" s="3" customFormat="1" ht="9.9" customHeight="1">
      <c r="A1872" s="125"/>
      <c r="B1872" s="123"/>
      <c r="C1872" s="123"/>
      <c r="D1872" s="123"/>
      <c r="E1872" s="123"/>
      <c r="F1872" s="167"/>
      <c r="G1872" s="123"/>
      <c r="H1872" s="123"/>
      <c r="I1872" s="123"/>
      <c r="J1872" s="123"/>
      <c r="K1872" s="123"/>
      <c r="L1872" s="123"/>
      <c r="M1872" s="123"/>
      <c r="N1872" s="126"/>
    </row>
    <row r="1873" spans="1:14" s="3" customFormat="1" ht="25.2">
      <c r="A1873" s="125" t="s">
        <v>1900</v>
      </c>
      <c r="B1873" s="123"/>
      <c r="C1873" s="123"/>
      <c r="D1873" s="123"/>
      <c r="E1873" s="123"/>
      <c r="F1873" s="171" t="s">
        <v>1901</v>
      </c>
      <c r="G1873" s="604">
        <f t="shared" ref="G1873" si="51">G1838+1</f>
        <v>54</v>
      </c>
      <c r="H1873" s="604"/>
      <c r="I1873" s="604"/>
      <c r="J1873" s="604"/>
      <c r="K1873" s="604"/>
      <c r="L1873" s="123"/>
      <c r="M1873" s="123"/>
      <c r="N1873" s="126"/>
    </row>
    <row r="1874" spans="1:14" s="4" customFormat="1" ht="25.2">
      <c r="A1874" s="125" t="s">
        <v>1903</v>
      </c>
      <c r="B1874" s="123"/>
      <c r="C1874" s="123"/>
      <c r="D1874" s="123"/>
      <c r="E1874" s="123"/>
      <c r="F1874" s="167"/>
      <c r="G1874" s="167"/>
      <c r="H1874" s="123"/>
      <c r="I1874" s="123"/>
      <c r="J1874" s="123"/>
      <c r="K1874" s="123"/>
      <c r="L1874" s="123"/>
      <c r="M1874" s="123"/>
      <c r="N1874" s="126"/>
    </row>
    <row r="1875" spans="1:14" s="3" customFormat="1" ht="9.9" customHeight="1">
      <c r="A1875" s="125"/>
      <c r="B1875" s="123"/>
      <c r="C1875" s="123"/>
      <c r="D1875" s="123"/>
      <c r="E1875" s="123"/>
      <c r="F1875" s="167"/>
      <c r="G1875" s="167"/>
      <c r="H1875" s="123"/>
      <c r="I1875" s="123"/>
      <c r="J1875" s="123"/>
      <c r="K1875" s="123"/>
      <c r="L1875" s="123"/>
      <c r="M1875" s="123"/>
      <c r="N1875" s="126"/>
    </row>
    <row r="1876" spans="1:14" s="3" customFormat="1" ht="25.2">
      <c r="A1876" s="125" t="s">
        <v>1904</v>
      </c>
      <c r="B1876" s="123"/>
      <c r="C1876" s="123"/>
      <c r="D1876" s="123"/>
      <c r="E1876" s="123"/>
      <c r="F1876" s="167" t="s">
        <v>1896</v>
      </c>
      <c r="G1876" s="204" t="e">
        <f>VLOOKUP(G1873, 'Detail PL'!$B$14:$Q$799, 10)</f>
        <v>#N/A</v>
      </c>
      <c r="H1876" s="204" t="s">
        <v>1905</v>
      </c>
      <c r="I1876" s="204"/>
      <c r="J1876" s="204"/>
      <c r="K1876" s="123"/>
      <c r="L1876" s="123"/>
      <c r="M1876" s="123"/>
      <c r="N1876" s="126"/>
    </row>
    <row r="1877" spans="1:14" s="4" customFormat="1" ht="25.2">
      <c r="A1877" s="125" t="s">
        <v>1906</v>
      </c>
      <c r="B1877" s="123"/>
      <c r="C1877" s="123"/>
      <c r="D1877" s="123"/>
      <c r="E1877" s="123"/>
      <c r="F1877" s="167"/>
      <c r="G1877" s="167"/>
      <c r="H1877" s="167"/>
      <c r="I1877" s="123"/>
      <c r="J1877" s="123"/>
      <c r="K1877" s="123"/>
      <c r="L1877" s="123"/>
      <c r="M1877" s="123"/>
      <c r="N1877" s="126"/>
    </row>
    <row r="1878" spans="1:14" s="3" customFormat="1" ht="9.9" customHeight="1">
      <c r="A1878" s="125"/>
      <c r="B1878" s="123"/>
      <c r="C1878" s="123"/>
      <c r="D1878" s="123"/>
      <c r="E1878" s="123"/>
      <c r="F1878" s="167"/>
      <c r="G1878" s="167"/>
      <c r="H1878" s="167"/>
      <c r="I1878" s="123"/>
      <c r="J1878" s="123"/>
      <c r="K1878" s="123"/>
      <c r="L1878" s="123"/>
      <c r="M1878" s="123"/>
      <c r="N1878" s="126"/>
    </row>
    <row r="1879" spans="1:14" s="3" customFormat="1" ht="25.2">
      <c r="A1879" s="125" t="s">
        <v>1907</v>
      </c>
      <c r="B1879" s="123"/>
      <c r="C1879" s="123"/>
      <c r="D1879" s="123"/>
      <c r="E1879" s="123"/>
      <c r="F1879" s="167" t="s">
        <v>1896</v>
      </c>
      <c r="G1879" s="204" t="e">
        <f>VLOOKUP(G1873, 'Detail PL'!$B$14:$Q$799, 11)</f>
        <v>#N/A</v>
      </c>
      <c r="H1879" s="204" t="s">
        <v>1905</v>
      </c>
      <c r="I1879" s="204"/>
      <c r="J1879" s="204"/>
      <c r="K1879" s="123"/>
      <c r="L1879" s="123"/>
      <c r="M1879" s="123"/>
      <c r="N1879" s="126"/>
    </row>
    <row r="1880" spans="1:14" s="4" customFormat="1" ht="25.2">
      <c r="A1880" s="125" t="s">
        <v>1908</v>
      </c>
      <c r="B1880" s="123"/>
      <c r="C1880" s="123"/>
      <c r="D1880" s="123"/>
      <c r="E1880" s="123"/>
      <c r="F1880" s="167"/>
      <c r="G1880" s="167"/>
      <c r="H1880" s="123"/>
      <c r="I1880" s="123"/>
      <c r="J1880" s="123"/>
      <c r="K1880" s="123"/>
      <c r="L1880" s="123"/>
      <c r="M1880" s="123"/>
      <c r="N1880" s="126"/>
    </row>
    <row r="1881" spans="1:14" s="3" customFormat="1" ht="9.9" customHeight="1">
      <c r="A1881" s="125"/>
      <c r="B1881" s="123"/>
      <c r="C1881" s="123"/>
      <c r="D1881" s="123"/>
      <c r="E1881" s="123"/>
      <c r="F1881" s="167"/>
      <c r="G1881" s="167"/>
      <c r="H1881" s="123"/>
      <c r="I1881" s="123"/>
      <c r="J1881" s="123"/>
      <c r="K1881" s="123"/>
      <c r="L1881" s="123"/>
      <c r="M1881" s="123"/>
      <c r="N1881" s="126"/>
    </row>
    <row r="1882" spans="1:14" s="3" customFormat="1" ht="25.2">
      <c r="A1882" s="129" t="s">
        <v>1909</v>
      </c>
      <c r="B1882" s="123"/>
      <c r="C1882" s="123"/>
      <c r="D1882" s="123"/>
      <c r="E1882" s="123"/>
      <c r="F1882" s="167" t="s">
        <v>1896</v>
      </c>
      <c r="G1882" s="204" t="e">
        <f>VLOOKUP(G1873, 'Detail PL'!$B$14:$Q$799, 9)</f>
        <v>#N/A</v>
      </c>
      <c r="H1882" s="205" t="s">
        <v>1910</v>
      </c>
      <c r="I1882" s="203"/>
      <c r="J1882" s="203"/>
      <c r="K1882" s="172"/>
      <c r="L1882" s="123"/>
      <c r="M1882" s="123"/>
      <c r="N1882" s="126"/>
    </row>
    <row r="1883" spans="1:14" s="4" customFormat="1" ht="25.2">
      <c r="A1883" s="125" t="s">
        <v>1911</v>
      </c>
      <c r="B1883" s="123"/>
      <c r="C1883" s="123"/>
      <c r="D1883" s="123"/>
      <c r="E1883" s="123"/>
      <c r="F1883" s="167"/>
      <c r="G1883" s="167"/>
      <c r="H1883" s="123"/>
      <c r="I1883" s="123"/>
      <c r="J1883" s="123"/>
      <c r="K1883" s="123"/>
      <c r="L1883" s="123"/>
      <c r="M1883" s="123"/>
      <c r="N1883" s="126"/>
    </row>
    <row r="1884" spans="1:14" s="3" customFormat="1" ht="9.9" customHeight="1">
      <c r="A1884" s="125"/>
      <c r="B1884" s="123"/>
      <c r="C1884" s="123"/>
      <c r="D1884" s="123"/>
      <c r="E1884" s="123"/>
      <c r="F1884" s="167"/>
      <c r="G1884" s="167"/>
      <c r="H1884" s="123"/>
      <c r="I1884" s="123"/>
      <c r="J1884" s="123"/>
      <c r="K1884" s="123"/>
      <c r="L1884" s="123"/>
      <c r="M1884" s="123"/>
      <c r="N1884" s="126"/>
    </row>
    <row r="1885" spans="1:14" s="3" customFormat="1" ht="42" customHeight="1">
      <c r="A1885" s="125" t="s">
        <v>1912</v>
      </c>
      <c r="B1885" s="123"/>
      <c r="C1885" s="123"/>
      <c r="D1885" s="123"/>
      <c r="E1885" s="123"/>
      <c r="F1885" s="166" t="s">
        <v>1913</v>
      </c>
      <c r="G1885" s="595" t="s">
        <v>1914</v>
      </c>
      <c r="H1885" s="595"/>
      <c r="I1885" s="595"/>
      <c r="J1885" s="595"/>
      <c r="K1885" s="595"/>
      <c r="L1885" s="595"/>
      <c r="M1885" s="595"/>
      <c r="N1885" s="596"/>
    </row>
    <row r="1886" spans="1:14" s="4" customFormat="1" ht="25.8" thickBot="1">
      <c r="A1886" s="125" t="s">
        <v>1915</v>
      </c>
      <c r="B1886" s="123"/>
      <c r="C1886" s="123"/>
      <c r="D1886" s="123"/>
      <c r="E1886" s="123"/>
      <c r="F1886" s="167"/>
      <c r="G1886" s="167"/>
      <c r="H1886" s="123"/>
      <c r="I1886" s="123"/>
      <c r="J1886" s="123"/>
      <c r="K1886" s="123"/>
      <c r="L1886" s="123"/>
      <c r="M1886" s="123"/>
      <c r="N1886" s="126"/>
    </row>
    <row r="1887" spans="1:14" ht="21" customHeight="1">
      <c r="A1887" s="598" t="s">
        <v>1916</v>
      </c>
      <c r="B1887" s="599"/>
      <c r="C1887" s="599"/>
      <c r="D1887" s="599"/>
      <c r="E1887" s="599"/>
      <c r="F1887" s="599"/>
      <c r="G1887" s="599"/>
      <c r="H1887" s="599"/>
      <c r="I1887" s="599"/>
      <c r="J1887" s="599"/>
      <c r="K1887" s="599"/>
      <c r="L1887" s="599"/>
      <c r="M1887" s="599"/>
      <c r="N1887" s="600"/>
    </row>
    <row r="1888" spans="1:14" ht="25.5" customHeight="1" thickBot="1">
      <c r="A1888" s="601"/>
      <c r="B1888" s="602"/>
      <c r="C1888" s="602"/>
      <c r="D1888" s="602"/>
      <c r="E1888" s="602"/>
      <c r="F1888" s="602"/>
      <c r="G1888" s="602"/>
      <c r="H1888" s="602"/>
      <c r="I1888" s="602"/>
      <c r="J1888" s="602"/>
      <c r="K1888" s="602"/>
      <c r="L1888" s="602"/>
      <c r="M1888" s="602"/>
      <c r="N1888" s="603"/>
    </row>
    <row r="1889" spans="1:15" ht="25.5" customHeight="1">
      <c r="E1889" s="206"/>
      <c r="F1889" s="206"/>
      <c r="G1889" s="206"/>
      <c r="H1889" s="206"/>
      <c r="I1889" s="206"/>
      <c r="J1889" s="206"/>
      <c r="K1889" s="206"/>
    </row>
    <row r="1890" spans="1:15" ht="21.6" thickBot="1"/>
    <row r="1891" spans="1:15" ht="95.25" customHeight="1" thickBot="1">
      <c r="A1891" s="592" t="s">
        <v>1883</v>
      </c>
      <c r="B1891" s="593"/>
      <c r="C1891" s="593"/>
      <c r="D1891" s="593"/>
      <c r="E1891" s="593"/>
      <c r="F1891" s="593"/>
      <c r="G1891" s="593"/>
      <c r="H1891" s="593"/>
      <c r="I1891" s="593"/>
      <c r="J1891" s="593"/>
      <c r="K1891" s="593"/>
      <c r="L1891" s="593"/>
      <c r="M1891" s="593"/>
      <c r="N1891" s="594"/>
    </row>
    <row r="1892" spans="1:15" s="3" customFormat="1" ht="37.5" customHeight="1">
      <c r="A1892" s="134" t="s">
        <v>1884</v>
      </c>
      <c r="B1892" s="166"/>
      <c r="C1892" s="166"/>
      <c r="D1892" s="123"/>
      <c r="E1892" s="123"/>
      <c r="F1892" s="167" t="s">
        <v>1885</v>
      </c>
      <c r="G1892" s="167" t="s">
        <v>1886</v>
      </c>
      <c r="H1892" s="167"/>
      <c r="I1892" s="167"/>
      <c r="J1892" s="167"/>
      <c r="K1892" s="167"/>
      <c r="L1892" s="167"/>
      <c r="M1892" s="167"/>
      <c r="N1892" s="152"/>
      <c r="O1892" s="201"/>
    </row>
    <row r="1893" spans="1:15" s="4" customFormat="1" ht="25.2">
      <c r="A1893" s="125" t="s">
        <v>1887</v>
      </c>
      <c r="B1893" s="123"/>
      <c r="C1893" s="123"/>
      <c r="D1893" s="123"/>
      <c r="E1893" s="123"/>
      <c r="F1893" s="167"/>
      <c r="G1893" s="167" t="s">
        <v>1888</v>
      </c>
      <c r="H1893" s="167"/>
      <c r="I1893" s="167"/>
      <c r="J1893" s="167"/>
      <c r="K1893" s="167"/>
      <c r="L1893" s="167"/>
      <c r="M1893" s="167"/>
      <c r="N1893" s="152"/>
    </row>
    <row r="1894" spans="1:15" s="3" customFormat="1" ht="9.9" customHeight="1">
      <c r="A1894" s="125"/>
      <c r="B1894" s="123"/>
      <c r="C1894" s="123"/>
      <c r="D1894" s="123"/>
      <c r="E1894" s="123"/>
      <c r="F1894" s="167"/>
      <c r="G1894" s="123"/>
      <c r="H1894" s="123"/>
      <c r="I1894" s="123"/>
      <c r="J1894" s="123"/>
      <c r="K1894" s="123"/>
      <c r="L1894" s="123"/>
      <c r="M1894" s="123"/>
      <c r="N1894" s="126"/>
    </row>
    <row r="1895" spans="1:15" s="3" customFormat="1" ht="42.75" customHeight="1">
      <c r="A1895" s="125" t="s">
        <v>1889</v>
      </c>
      <c r="B1895" s="123"/>
      <c r="C1895" s="123"/>
      <c r="D1895" s="123"/>
      <c r="E1895" s="123"/>
      <c r="F1895" s="167" t="s">
        <v>1885</v>
      </c>
      <c r="G1895" s="167" t="str">
        <f>PL!$B$13</f>
        <v>Branch of JSC "Doosan Enerbility" in the Turkestan region</v>
      </c>
      <c r="H1895" s="123"/>
      <c r="I1895" s="123"/>
      <c r="J1895" s="123"/>
      <c r="K1895" s="123"/>
      <c r="L1895" s="123"/>
      <c r="M1895" s="123"/>
      <c r="N1895" s="126"/>
    </row>
    <row r="1896" spans="1:15" s="3" customFormat="1" ht="24" customHeight="1">
      <c r="A1896" s="125" t="s">
        <v>1890</v>
      </c>
      <c r="B1896" s="123"/>
      <c r="C1896" s="123"/>
      <c r="D1896" s="123"/>
      <c r="E1896" s="123"/>
      <c r="F1896" s="168"/>
      <c r="G1896" s="167" t="str">
        <f>PL!$B$14</f>
        <v>321 Tauke Khan Avenue, Turkestan region, Turkestan, Kazakhstan, 161200</v>
      </c>
      <c r="H1896" s="123"/>
      <c r="I1896" s="123"/>
      <c r="J1896" s="123"/>
      <c r="K1896" s="123"/>
      <c r="L1896" s="123"/>
      <c r="M1896" s="123"/>
      <c r="N1896" s="126"/>
    </row>
    <row r="1897" spans="1:15" s="4" customFormat="1" ht="25.2">
      <c r="A1897" s="125"/>
      <c r="B1897" s="123"/>
      <c r="C1897" s="123"/>
      <c r="D1897" s="123"/>
      <c r="E1897" s="123"/>
      <c r="F1897" s="168"/>
      <c r="G1897" s="167" t="str">
        <f>PL!$B$15</f>
        <v>BIN: 230741006561</v>
      </c>
      <c r="H1897" s="123"/>
      <c r="I1897" s="123"/>
      <c r="J1897" s="123"/>
      <c r="K1897" s="123"/>
      <c r="L1897" s="123"/>
      <c r="M1897" s="123"/>
      <c r="N1897" s="126"/>
    </row>
    <row r="1898" spans="1:15" s="3" customFormat="1" ht="9.9" customHeight="1">
      <c r="A1898" s="125"/>
      <c r="B1898" s="123"/>
      <c r="C1898" s="123"/>
      <c r="D1898" s="123"/>
      <c r="E1898" s="123"/>
      <c r="F1898" s="169"/>
      <c r="G1898" s="169"/>
      <c r="H1898" s="123"/>
      <c r="I1898" s="123"/>
      <c r="J1898" s="123"/>
      <c r="K1898" s="123"/>
      <c r="L1898" s="123"/>
      <c r="M1898" s="123"/>
      <c r="N1898" s="126"/>
    </row>
    <row r="1899" spans="1:15" s="3" customFormat="1" ht="25.2">
      <c r="A1899" s="125" t="s">
        <v>1891</v>
      </c>
      <c r="B1899" s="123"/>
      <c r="C1899" s="123"/>
      <c r="D1899" s="123"/>
      <c r="E1899" s="123"/>
      <c r="F1899" s="167" t="s">
        <v>1892</v>
      </c>
      <c r="G1899" s="123"/>
      <c r="H1899" s="123"/>
      <c r="I1899" s="123"/>
      <c r="J1899" s="123"/>
      <c r="K1899" s="123"/>
      <c r="L1899" s="123"/>
      <c r="M1899" s="123"/>
      <c r="N1899" s="126"/>
    </row>
    <row r="1900" spans="1:15" s="4" customFormat="1" ht="25.2">
      <c r="A1900" s="125" t="s">
        <v>1893</v>
      </c>
      <c r="B1900" s="123"/>
      <c r="C1900" s="123"/>
      <c r="D1900" s="123"/>
      <c r="E1900" s="123"/>
      <c r="F1900" s="167" t="s">
        <v>1894</v>
      </c>
      <c r="G1900" s="123"/>
      <c r="H1900" s="123"/>
      <c r="I1900" s="123"/>
      <c r="J1900" s="123"/>
      <c r="K1900" s="123"/>
      <c r="L1900" s="123"/>
      <c r="M1900" s="123"/>
      <c r="N1900" s="126"/>
    </row>
    <row r="1901" spans="1:15" s="3" customFormat="1" ht="9.9" customHeight="1">
      <c r="A1901" s="125"/>
      <c r="B1901" s="123"/>
      <c r="C1901" s="123"/>
      <c r="D1901" s="123"/>
      <c r="E1901" s="123"/>
      <c r="F1901" s="167"/>
      <c r="G1901" s="123"/>
      <c r="H1901" s="123"/>
      <c r="I1901" s="123"/>
      <c r="J1901" s="123"/>
      <c r="K1901" s="123"/>
      <c r="L1901" s="123"/>
      <c r="M1901" s="123"/>
      <c r="N1901" s="126"/>
    </row>
    <row r="1902" spans="1:15" s="3" customFormat="1" ht="25.2">
      <c r="A1902" s="125" t="s">
        <v>1895</v>
      </c>
      <c r="B1902" s="123"/>
      <c r="C1902" s="123"/>
      <c r="D1902" s="123"/>
      <c r="E1902" s="123"/>
      <c r="F1902" s="167" t="s">
        <v>1896</v>
      </c>
      <c r="G1902" s="167" t="str">
        <f>PL!$V$8</f>
        <v>PGU-DE-0139-001</v>
      </c>
      <c r="H1902" s="123"/>
      <c r="I1902" s="123"/>
      <c r="J1902" s="123"/>
      <c r="K1902" s="123"/>
      <c r="L1902" s="123"/>
      <c r="M1902" s="123"/>
      <c r="N1902" s="126"/>
    </row>
    <row r="1903" spans="1:15" s="3" customFormat="1" ht="25.2">
      <c r="A1903" s="125" t="s">
        <v>1897</v>
      </c>
      <c r="B1903" s="123"/>
      <c r="C1903" s="123"/>
      <c r="D1903" s="123"/>
      <c r="E1903" s="123"/>
      <c r="F1903" s="167"/>
      <c r="G1903" s="123"/>
      <c r="H1903" s="123"/>
      <c r="I1903" s="123"/>
      <c r="J1903" s="123"/>
      <c r="K1903" s="123"/>
      <c r="L1903" s="123"/>
      <c r="M1903" s="123"/>
      <c r="N1903" s="126"/>
    </row>
    <row r="1904" spans="1:15" s="3" customFormat="1" ht="9.9" customHeight="1">
      <c r="A1904" s="125"/>
      <c r="B1904" s="123"/>
      <c r="C1904" s="123"/>
      <c r="D1904" s="123"/>
      <c r="E1904" s="123"/>
      <c r="F1904" s="167"/>
      <c r="G1904" s="123"/>
      <c r="H1904" s="123"/>
      <c r="I1904" s="123"/>
      <c r="J1904" s="123"/>
      <c r="K1904" s="123"/>
      <c r="L1904" s="123"/>
      <c r="M1904" s="123"/>
      <c r="N1904" s="126"/>
    </row>
    <row r="1905" spans="1:14" s="3" customFormat="1" ht="31.2" customHeight="1">
      <c r="A1905" s="127" t="s">
        <v>1898</v>
      </c>
      <c r="B1905" s="170"/>
      <c r="C1905" s="170"/>
      <c r="D1905" s="170"/>
      <c r="E1905" s="170"/>
      <c r="F1905" s="171" t="s">
        <v>1885</v>
      </c>
      <c r="G1905" s="597" t="e">
        <f>VLOOKUP(G1908, 'Detail PL'!$B$14:$Q$799,2)</f>
        <v>#N/A</v>
      </c>
      <c r="H1905" s="597"/>
      <c r="I1905" s="597"/>
      <c r="J1905" s="597"/>
      <c r="K1905" s="597"/>
      <c r="L1905" s="597"/>
      <c r="M1905" s="597"/>
      <c r="N1905" s="128"/>
    </row>
    <row r="1906" spans="1:14" s="3" customFormat="1" ht="25.2">
      <c r="A1906" s="127" t="s">
        <v>1899</v>
      </c>
      <c r="B1906" s="170"/>
      <c r="C1906" s="170"/>
      <c r="D1906" s="170"/>
      <c r="E1906" s="170"/>
      <c r="F1906" s="171"/>
      <c r="G1906" s="170"/>
      <c r="H1906" s="170"/>
      <c r="I1906" s="170"/>
      <c r="J1906" s="170"/>
      <c r="K1906" s="170"/>
      <c r="L1906" s="170"/>
      <c r="M1906" s="170"/>
      <c r="N1906" s="128"/>
    </row>
    <row r="1907" spans="1:14" s="3" customFormat="1" ht="9.9" customHeight="1">
      <c r="A1907" s="125"/>
      <c r="B1907" s="123"/>
      <c r="C1907" s="123"/>
      <c r="D1907" s="123"/>
      <c r="E1907" s="123"/>
      <c r="F1907" s="167"/>
      <c r="G1907" s="123"/>
      <c r="H1907" s="123"/>
      <c r="I1907" s="123"/>
      <c r="J1907" s="123"/>
      <c r="K1907" s="123"/>
      <c r="L1907" s="123"/>
      <c r="M1907" s="123"/>
      <c r="N1907" s="126"/>
    </row>
    <row r="1908" spans="1:14" s="3" customFormat="1" ht="25.2">
      <c r="A1908" s="125" t="s">
        <v>1900</v>
      </c>
      <c r="B1908" s="123"/>
      <c r="C1908" s="123"/>
      <c r="D1908" s="123"/>
      <c r="E1908" s="123"/>
      <c r="F1908" s="171" t="s">
        <v>1901</v>
      </c>
      <c r="G1908" s="604">
        <f t="shared" ref="G1908" si="52">G1873+1</f>
        <v>55</v>
      </c>
      <c r="H1908" s="604"/>
      <c r="I1908" s="604"/>
      <c r="J1908" s="604"/>
      <c r="K1908" s="604"/>
      <c r="L1908" s="123"/>
      <c r="M1908" s="123"/>
      <c r="N1908" s="126"/>
    </row>
    <row r="1909" spans="1:14" s="4" customFormat="1" ht="25.2">
      <c r="A1909" s="125" t="s">
        <v>1903</v>
      </c>
      <c r="B1909" s="123"/>
      <c r="C1909" s="123"/>
      <c r="D1909" s="123"/>
      <c r="E1909" s="123"/>
      <c r="F1909" s="167"/>
      <c r="G1909" s="167"/>
      <c r="H1909" s="123"/>
      <c r="I1909" s="123"/>
      <c r="J1909" s="123"/>
      <c r="K1909" s="123"/>
      <c r="L1909" s="123"/>
      <c r="M1909" s="123"/>
      <c r="N1909" s="126"/>
    </row>
    <row r="1910" spans="1:14" s="3" customFormat="1" ht="9.9" customHeight="1">
      <c r="A1910" s="125"/>
      <c r="B1910" s="123"/>
      <c r="C1910" s="123"/>
      <c r="D1910" s="123"/>
      <c r="E1910" s="123"/>
      <c r="F1910" s="167"/>
      <c r="G1910" s="167"/>
      <c r="H1910" s="123"/>
      <c r="I1910" s="123"/>
      <c r="J1910" s="123"/>
      <c r="K1910" s="123"/>
      <c r="L1910" s="123"/>
      <c r="M1910" s="123"/>
      <c r="N1910" s="126"/>
    </row>
    <row r="1911" spans="1:14" s="3" customFormat="1" ht="25.2">
      <c r="A1911" s="125" t="s">
        <v>1904</v>
      </c>
      <c r="B1911" s="123"/>
      <c r="C1911" s="123"/>
      <c r="D1911" s="123"/>
      <c r="E1911" s="123"/>
      <c r="F1911" s="167" t="s">
        <v>1896</v>
      </c>
      <c r="G1911" s="204" t="e">
        <f>VLOOKUP(G1908, 'Detail PL'!$B$14:$Q$799, 10)</f>
        <v>#N/A</v>
      </c>
      <c r="H1911" s="204" t="s">
        <v>1905</v>
      </c>
      <c r="I1911" s="204"/>
      <c r="J1911" s="204"/>
      <c r="K1911" s="123"/>
      <c r="L1911" s="123"/>
      <c r="M1911" s="123"/>
      <c r="N1911" s="126"/>
    </row>
    <row r="1912" spans="1:14" s="4" customFormat="1" ht="25.2">
      <c r="A1912" s="125" t="s">
        <v>1906</v>
      </c>
      <c r="B1912" s="123"/>
      <c r="C1912" s="123"/>
      <c r="D1912" s="123"/>
      <c r="E1912" s="123"/>
      <c r="F1912" s="167"/>
      <c r="G1912" s="167"/>
      <c r="H1912" s="167"/>
      <c r="I1912" s="123"/>
      <c r="J1912" s="123"/>
      <c r="K1912" s="123"/>
      <c r="L1912" s="123"/>
      <c r="M1912" s="123"/>
      <c r="N1912" s="126"/>
    </row>
    <row r="1913" spans="1:14" s="3" customFormat="1" ht="9.9" customHeight="1">
      <c r="A1913" s="125"/>
      <c r="B1913" s="123"/>
      <c r="C1913" s="123"/>
      <c r="D1913" s="123"/>
      <c r="E1913" s="123"/>
      <c r="F1913" s="167"/>
      <c r="G1913" s="167"/>
      <c r="H1913" s="167"/>
      <c r="I1913" s="123"/>
      <c r="J1913" s="123"/>
      <c r="K1913" s="123"/>
      <c r="L1913" s="123"/>
      <c r="M1913" s="123"/>
      <c r="N1913" s="126"/>
    </row>
    <row r="1914" spans="1:14" s="3" customFormat="1" ht="25.2">
      <c r="A1914" s="125" t="s">
        <v>1907</v>
      </c>
      <c r="B1914" s="123"/>
      <c r="C1914" s="123"/>
      <c r="D1914" s="123"/>
      <c r="E1914" s="123"/>
      <c r="F1914" s="167" t="s">
        <v>1896</v>
      </c>
      <c r="G1914" s="204" t="e">
        <f>VLOOKUP(G1908, 'Detail PL'!$B$14:$Q$799, 11)</f>
        <v>#N/A</v>
      </c>
      <c r="H1914" s="204" t="s">
        <v>1905</v>
      </c>
      <c r="I1914" s="204"/>
      <c r="J1914" s="204"/>
      <c r="K1914" s="123"/>
      <c r="L1914" s="123"/>
      <c r="M1914" s="123"/>
      <c r="N1914" s="126"/>
    </row>
    <row r="1915" spans="1:14" s="4" customFormat="1" ht="25.2">
      <c r="A1915" s="125" t="s">
        <v>1908</v>
      </c>
      <c r="B1915" s="123"/>
      <c r="C1915" s="123"/>
      <c r="D1915" s="123"/>
      <c r="E1915" s="123"/>
      <c r="F1915" s="167"/>
      <c r="G1915" s="167"/>
      <c r="H1915" s="123"/>
      <c r="I1915" s="123"/>
      <c r="J1915" s="123"/>
      <c r="K1915" s="123"/>
      <c r="L1915" s="123"/>
      <c r="M1915" s="123"/>
      <c r="N1915" s="126"/>
    </row>
    <row r="1916" spans="1:14" s="3" customFormat="1" ht="9.9" customHeight="1">
      <c r="A1916" s="125"/>
      <c r="B1916" s="123"/>
      <c r="C1916" s="123"/>
      <c r="D1916" s="123"/>
      <c r="E1916" s="123"/>
      <c r="F1916" s="167"/>
      <c r="G1916" s="167"/>
      <c r="H1916" s="123"/>
      <c r="I1916" s="123"/>
      <c r="J1916" s="123"/>
      <c r="K1916" s="123"/>
      <c r="L1916" s="123"/>
      <c r="M1916" s="123"/>
      <c r="N1916" s="126"/>
    </row>
    <row r="1917" spans="1:14" s="3" customFormat="1" ht="25.2">
      <c r="A1917" s="129" t="s">
        <v>1909</v>
      </c>
      <c r="B1917" s="123"/>
      <c r="C1917" s="123"/>
      <c r="D1917" s="123"/>
      <c r="E1917" s="123"/>
      <c r="F1917" s="167" t="s">
        <v>1896</v>
      </c>
      <c r="G1917" s="204" t="e">
        <f>VLOOKUP(G1908, 'Detail PL'!$B$14:$Q$799, 9)</f>
        <v>#N/A</v>
      </c>
      <c r="H1917" s="205" t="s">
        <v>1910</v>
      </c>
      <c r="I1917" s="203"/>
      <c r="J1917" s="203"/>
      <c r="K1917" s="172"/>
      <c r="L1917" s="123"/>
      <c r="M1917" s="123"/>
      <c r="N1917" s="126"/>
    </row>
    <row r="1918" spans="1:14" s="4" customFormat="1" ht="25.2">
      <c r="A1918" s="125" t="s">
        <v>1911</v>
      </c>
      <c r="B1918" s="123"/>
      <c r="C1918" s="123"/>
      <c r="D1918" s="123"/>
      <c r="E1918" s="123"/>
      <c r="F1918" s="167"/>
      <c r="G1918" s="167"/>
      <c r="H1918" s="123"/>
      <c r="I1918" s="123"/>
      <c r="J1918" s="123"/>
      <c r="K1918" s="123"/>
      <c r="L1918" s="123"/>
      <c r="M1918" s="123"/>
      <c r="N1918" s="126"/>
    </row>
    <row r="1919" spans="1:14" s="3" customFormat="1" ht="9.9" customHeight="1">
      <c r="A1919" s="125"/>
      <c r="B1919" s="123"/>
      <c r="C1919" s="123"/>
      <c r="D1919" s="123"/>
      <c r="E1919" s="123"/>
      <c r="F1919" s="167"/>
      <c r="G1919" s="167"/>
      <c r="H1919" s="123"/>
      <c r="I1919" s="123"/>
      <c r="J1919" s="123"/>
      <c r="K1919" s="123"/>
      <c r="L1919" s="123"/>
      <c r="M1919" s="123"/>
      <c r="N1919" s="126"/>
    </row>
    <row r="1920" spans="1:14" s="3" customFormat="1" ht="42" customHeight="1">
      <c r="A1920" s="125" t="s">
        <v>1912</v>
      </c>
      <c r="B1920" s="123"/>
      <c r="C1920" s="123"/>
      <c r="D1920" s="123"/>
      <c r="E1920" s="123"/>
      <c r="F1920" s="166" t="s">
        <v>1913</v>
      </c>
      <c r="G1920" s="595" t="s">
        <v>1914</v>
      </c>
      <c r="H1920" s="595"/>
      <c r="I1920" s="595"/>
      <c r="J1920" s="595"/>
      <c r="K1920" s="595"/>
      <c r="L1920" s="595"/>
      <c r="M1920" s="595"/>
      <c r="N1920" s="596"/>
    </row>
    <row r="1921" spans="1:15" s="4" customFormat="1" ht="25.8" thickBot="1">
      <c r="A1921" s="125" t="s">
        <v>1915</v>
      </c>
      <c r="B1921" s="123"/>
      <c r="C1921" s="123"/>
      <c r="D1921" s="123"/>
      <c r="E1921" s="123"/>
      <c r="F1921" s="167"/>
      <c r="G1921" s="167"/>
      <c r="H1921" s="123"/>
      <c r="I1921" s="123"/>
      <c r="J1921" s="123"/>
      <c r="K1921" s="123"/>
      <c r="L1921" s="123"/>
      <c r="M1921" s="123"/>
      <c r="N1921" s="126"/>
    </row>
    <row r="1922" spans="1:15" ht="21" customHeight="1">
      <c r="A1922" s="598" t="s">
        <v>1916</v>
      </c>
      <c r="B1922" s="599"/>
      <c r="C1922" s="599"/>
      <c r="D1922" s="599"/>
      <c r="E1922" s="599"/>
      <c r="F1922" s="599"/>
      <c r="G1922" s="599"/>
      <c r="H1922" s="599"/>
      <c r="I1922" s="599"/>
      <c r="J1922" s="599"/>
      <c r="K1922" s="599"/>
      <c r="L1922" s="599"/>
      <c r="M1922" s="599"/>
      <c r="N1922" s="600"/>
    </row>
    <row r="1923" spans="1:15" ht="25.5" customHeight="1" thickBot="1">
      <c r="A1923" s="601"/>
      <c r="B1923" s="602"/>
      <c r="C1923" s="602"/>
      <c r="D1923" s="602"/>
      <c r="E1923" s="602"/>
      <c r="F1923" s="602"/>
      <c r="G1923" s="602"/>
      <c r="H1923" s="602"/>
      <c r="I1923" s="602"/>
      <c r="J1923" s="602"/>
      <c r="K1923" s="602"/>
      <c r="L1923" s="602"/>
      <c r="M1923" s="602"/>
      <c r="N1923" s="603"/>
    </row>
    <row r="1924" spans="1:15" ht="25.5" customHeight="1">
      <c r="E1924" s="206"/>
      <c r="F1924" s="206"/>
      <c r="G1924" s="206"/>
      <c r="H1924" s="206"/>
      <c r="I1924" s="206"/>
      <c r="J1924" s="206"/>
      <c r="K1924" s="206"/>
    </row>
    <row r="1925" spans="1:15" ht="21.6" thickBot="1"/>
    <row r="1926" spans="1:15" ht="95.25" customHeight="1" thickBot="1">
      <c r="A1926" s="592" t="s">
        <v>1883</v>
      </c>
      <c r="B1926" s="593"/>
      <c r="C1926" s="593"/>
      <c r="D1926" s="593"/>
      <c r="E1926" s="593"/>
      <c r="F1926" s="593"/>
      <c r="G1926" s="593"/>
      <c r="H1926" s="593"/>
      <c r="I1926" s="593"/>
      <c r="J1926" s="593"/>
      <c r="K1926" s="593"/>
      <c r="L1926" s="593"/>
      <c r="M1926" s="593"/>
      <c r="N1926" s="594"/>
    </row>
    <row r="1927" spans="1:15" s="3" customFormat="1" ht="37.5" customHeight="1">
      <c r="A1927" s="134" t="s">
        <v>1884</v>
      </c>
      <c r="B1927" s="166"/>
      <c r="C1927" s="166"/>
      <c r="D1927" s="123"/>
      <c r="E1927" s="123"/>
      <c r="F1927" s="167" t="s">
        <v>1885</v>
      </c>
      <c r="G1927" s="167" t="s">
        <v>1886</v>
      </c>
      <c r="H1927" s="167"/>
      <c r="I1927" s="167"/>
      <c r="J1927" s="167"/>
      <c r="K1927" s="167"/>
      <c r="L1927" s="167"/>
      <c r="M1927" s="167"/>
      <c r="N1927" s="152"/>
      <c r="O1927" s="201"/>
    </row>
    <row r="1928" spans="1:15" s="4" customFormat="1" ht="25.2">
      <c r="A1928" s="125" t="s">
        <v>1887</v>
      </c>
      <c r="B1928" s="123"/>
      <c r="C1928" s="123"/>
      <c r="D1928" s="123"/>
      <c r="E1928" s="123"/>
      <c r="F1928" s="167"/>
      <c r="G1928" s="167" t="s">
        <v>1888</v>
      </c>
      <c r="H1928" s="167"/>
      <c r="I1928" s="167"/>
      <c r="J1928" s="167"/>
      <c r="K1928" s="167"/>
      <c r="L1928" s="167"/>
      <c r="M1928" s="167"/>
      <c r="N1928" s="152"/>
    </row>
    <row r="1929" spans="1:15" s="3" customFormat="1" ht="9.9" customHeight="1">
      <c r="A1929" s="125"/>
      <c r="B1929" s="123"/>
      <c r="C1929" s="123"/>
      <c r="D1929" s="123"/>
      <c r="E1929" s="123"/>
      <c r="F1929" s="167"/>
      <c r="G1929" s="123"/>
      <c r="H1929" s="123"/>
      <c r="I1929" s="123"/>
      <c r="J1929" s="123"/>
      <c r="K1929" s="123"/>
      <c r="L1929" s="123"/>
      <c r="M1929" s="123"/>
      <c r="N1929" s="126"/>
    </row>
    <row r="1930" spans="1:15" s="3" customFormat="1" ht="42.75" customHeight="1">
      <c r="A1930" s="125" t="s">
        <v>1889</v>
      </c>
      <c r="B1930" s="123"/>
      <c r="C1930" s="123"/>
      <c r="D1930" s="123"/>
      <c r="E1930" s="123"/>
      <c r="F1930" s="167" t="s">
        <v>1885</v>
      </c>
      <c r="G1930" s="167" t="str">
        <f>PL!$B$13</f>
        <v>Branch of JSC "Doosan Enerbility" in the Turkestan region</v>
      </c>
      <c r="H1930" s="123"/>
      <c r="I1930" s="123"/>
      <c r="J1930" s="123"/>
      <c r="K1930" s="123"/>
      <c r="L1930" s="123"/>
      <c r="M1930" s="123"/>
      <c r="N1930" s="126"/>
    </row>
    <row r="1931" spans="1:15" s="3" customFormat="1" ht="24" customHeight="1">
      <c r="A1931" s="125" t="s">
        <v>1890</v>
      </c>
      <c r="B1931" s="123"/>
      <c r="C1931" s="123"/>
      <c r="D1931" s="123"/>
      <c r="E1931" s="123"/>
      <c r="F1931" s="168"/>
      <c r="G1931" s="167" t="str">
        <f>PL!$B$14</f>
        <v>321 Tauke Khan Avenue, Turkestan region, Turkestan, Kazakhstan, 161200</v>
      </c>
      <c r="H1931" s="123"/>
      <c r="I1931" s="123"/>
      <c r="J1931" s="123"/>
      <c r="K1931" s="123"/>
      <c r="L1931" s="123"/>
      <c r="M1931" s="123"/>
      <c r="N1931" s="126"/>
    </row>
    <row r="1932" spans="1:15" s="4" customFormat="1" ht="25.2">
      <c r="A1932" s="125"/>
      <c r="B1932" s="123"/>
      <c r="C1932" s="123"/>
      <c r="D1932" s="123"/>
      <c r="E1932" s="123"/>
      <c r="F1932" s="168"/>
      <c r="G1932" s="167" t="str">
        <f>PL!$B$15</f>
        <v>BIN: 230741006561</v>
      </c>
      <c r="H1932" s="123"/>
      <c r="I1932" s="123"/>
      <c r="J1932" s="123"/>
      <c r="K1932" s="123"/>
      <c r="L1932" s="123"/>
      <c r="M1932" s="123"/>
      <c r="N1932" s="126"/>
    </row>
    <row r="1933" spans="1:15" s="3" customFormat="1" ht="9.9" customHeight="1">
      <c r="A1933" s="125"/>
      <c r="B1933" s="123"/>
      <c r="C1933" s="123"/>
      <c r="D1933" s="123"/>
      <c r="E1933" s="123"/>
      <c r="F1933" s="169"/>
      <c r="G1933" s="169"/>
      <c r="H1933" s="123"/>
      <c r="I1933" s="123"/>
      <c r="J1933" s="123"/>
      <c r="K1933" s="123"/>
      <c r="L1933" s="123"/>
      <c r="M1933" s="123"/>
      <c r="N1933" s="126"/>
    </row>
    <row r="1934" spans="1:15" s="3" customFormat="1" ht="25.2">
      <c r="A1934" s="125" t="s">
        <v>1891</v>
      </c>
      <c r="B1934" s="123"/>
      <c r="C1934" s="123"/>
      <c r="D1934" s="123"/>
      <c r="E1934" s="123"/>
      <c r="F1934" s="167" t="s">
        <v>1892</v>
      </c>
      <c r="G1934" s="123"/>
      <c r="H1934" s="123"/>
      <c r="I1934" s="123"/>
      <c r="J1934" s="123"/>
      <c r="K1934" s="123"/>
      <c r="L1934" s="123"/>
      <c r="M1934" s="123"/>
      <c r="N1934" s="126"/>
    </row>
    <row r="1935" spans="1:15" s="4" customFormat="1" ht="25.2">
      <c r="A1935" s="125" t="s">
        <v>1893</v>
      </c>
      <c r="B1935" s="123"/>
      <c r="C1935" s="123"/>
      <c r="D1935" s="123"/>
      <c r="E1935" s="123"/>
      <c r="F1935" s="167" t="s">
        <v>1894</v>
      </c>
      <c r="G1935" s="123"/>
      <c r="H1935" s="123"/>
      <c r="I1935" s="123"/>
      <c r="J1935" s="123"/>
      <c r="K1935" s="123"/>
      <c r="L1935" s="123"/>
      <c r="M1935" s="123"/>
      <c r="N1935" s="126"/>
    </row>
    <row r="1936" spans="1:15" s="3" customFormat="1" ht="9.9" customHeight="1">
      <c r="A1936" s="125"/>
      <c r="B1936" s="123"/>
      <c r="C1936" s="123"/>
      <c r="D1936" s="123"/>
      <c r="E1936" s="123"/>
      <c r="F1936" s="167"/>
      <c r="G1936" s="123"/>
      <c r="H1936" s="123"/>
      <c r="I1936" s="123"/>
      <c r="J1936" s="123"/>
      <c r="K1936" s="123"/>
      <c r="L1936" s="123"/>
      <c r="M1936" s="123"/>
      <c r="N1936" s="126"/>
    </row>
    <row r="1937" spans="1:14" s="3" customFormat="1" ht="25.2">
      <c r="A1937" s="125" t="s">
        <v>1895</v>
      </c>
      <c r="B1937" s="123"/>
      <c r="C1937" s="123"/>
      <c r="D1937" s="123"/>
      <c r="E1937" s="123"/>
      <c r="F1937" s="167" t="s">
        <v>1896</v>
      </c>
      <c r="G1937" s="167" t="str">
        <f>PL!$V$8</f>
        <v>PGU-DE-0139-001</v>
      </c>
      <c r="H1937" s="123"/>
      <c r="I1937" s="123"/>
      <c r="J1937" s="123"/>
      <c r="K1937" s="123"/>
      <c r="L1937" s="123"/>
      <c r="M1937" s="123"/>
      <c r="N1937" s="126"/>
    </row>
    <row r="1938" spans="1:14" s="3" customFormat="1" ht="25.2">
      <c r="A1938" s="125" t="s">
        <v>1897</v>
      </c>
      <c r="B1938" s="123"/>
      <c r="C1938" s="123"/>
      <c r="D1938" s="123"/>
      <c r="E1938" s="123"/>
      <c r="F1938" s="167"/>
      <c r="G1938" s="123"/>
      <c r="H1938" s="123"/>
      <c r="I1938" s="123"/>
      <c r="J1938" s="123"/>
      <c r="K1938" s="123"/>
      <c r="L1938" s="123"/>
      <c r="M1938" s="123"/>
      <c r="N1938" s="126"/>
    </row>
    <row r="1939" spans="1:14" s="3" customFormat="1" ht="9.9" customHeight="1">
      <c r="A1939" s="125"/>
      <c r="B1939" s="123"/>
      <c r="C1939" s="123"/>
      <c r="D1939" s="123"/>
      <c r="E1939" s="123"/>
      <c r="F1939" s="167"/>
      <c r="G1939" s="123"/>
      <c r="H1939" s="123"/>
      <c r="I1939" s="123"/>
      <c r="J1939" s="123"/>
      <c r="K1939" s="123"/>
      <c r="L1939" s="123"/>
      <c r="M1939" s="123"/>
      <c r="N1939" s="126"/>
    </row>
    <row r="1940" spans="1:14" s="3" customFormat="1" ht="31.2" customHeight="1">
      <c r="A1940" s="127" t="s">
        <v>1898</v>
      </c>
      <c r="B1940" s="170"/>
      <c r="C1940" s="170"/>
      <c r="D1940" s="170"/>
      <c r="E1940" s="170"/>
      <c r="F1940" s="171" t="s">
        <v>1885</v>
      </c>
      <c r="G1940" s="597" t="e">
        <f>VLOOKUP(G1943, 'Detail PL'!$B$14:$Q$799,2)</f>
        <v>#N/A</v>
      </c>
      <c r="H1940" s="597"/>
      <c r="I1940" s="597"/>
      <c r="J1940" s="597"/>
      <c r="K1940" s="597"/>
      <c r="L1940" s="597"/>
      <c r="M1940" s="597"/>
      <c r="N1940" s="128"/>
    </row>
    <row r="1941" spans="1:14" s="3" customFormat="1" ht="25.2">
      <c r="A1941" s="127" t="s">
        <v>1899</v>
      </c>
      <c r="B1941" s="170"/>
      <c r="C1941" s="170"/>
      <c r="D1941" s="170"/>
      <c r="E1941" s="170"/>
      <c r="F1941" s="171"/>
      <c r="G1941" s="170"/>
      <c r="H1941" s="170"/>
      <c r="I1941" s="170"/>
      <c r="J1941" s="170"/>
      <c r="K1941" s="170"/>
      <c r="L1941" s="170"/>
      <c r="M1941" s="170"/>
      <c r="N1941" s="128"/>
    </row>
    <row r="1942" spans="1:14" s="3" customFormat="1" ht="9.9" customHeight="1">
      <c r="A1942" s="125"/>
      <c r="B1942" s="123"/>
      <c r="C1942" s="123"/>
      <c r="D1942" s="123"/>
      <c r="E1942" s="123"/>
      <c r="F1942" s="167"/>
      <c r="G1942" s="123"/>
      <c r="H1942" s="123"/>
      <c r="I1942" s="123"/>
      <c r="J1942" s="123"/>
      <c r="K1942" s="123"/>
      <c r="L1942" s="123"/>
      <c r="M1942" s="123"/>
      <c r="N1942" s="126"/>
    </row>
    <row r="1943" spans="1:14" s="3" customFormat="1" ht="25.2">
      <c r="A1943" s="125" t="s">
        <v>1900</v>
      </c>
      <c r="B1943" s="123"/>
      <c r="C1943" s="123"/>
      <c r="D1943" s="123"/>
      <c r="E1943" s="123"/>
      <c r="F1943" s="171" t="s">
        <v>1901</v>
      </c>
      <c r="G1943" s="604">
        <f t="shared" ref="G1943" si="53">G1908+1</f>
        <v>56</v>
      </c>
      <c r="H1943" s="604"/>
      <c r="I1943" s="604"/>
      <c r="J1943" s="604"/>
      <c r="K1943" s="604"/>
      <c r="L1943" s="123"/>
      <c r="M1943" s="123"/>
      <c r="N1943" s="126"/>
    </row>
    <row r="1944" spans="1:14" s="4" customFormat="1" ht="25.2">
      <c r="A1944" s="125" t="s">
        <v>1903</v>
      </c>
      <c r="B1944" s="123"/>
      <c r="C1944" s="123"/>
      <c r="D1944" s="123"/>
      <c r="E1944" s="123"/>
      <c r="F1944" s="167"/>
      <c r="G1944" s="167"/>
      <c r="H1944" s="123"/>
      <c r="I1944" s="123"/>
      <c r="J1944" s="123"/>
      <c r="K1944" s="123"/>
      <c r="L1944" s="123"/>
      <c r="M1944" s="123"/>
      <c r="N1944" s="126"/>
    </row>
    <row r="1945" spans="1:14" s="3" customFormat="1" ht="9.9" customHeight="1">
      <c r="A1945" s="125"/>
      <c r="B1945" s="123"/>
      <c r="C1945" s="123"/>
      <c r="D1945" s="123"/>
      <c r="E1945" s="123"/>
      <c r="F1945" s="167"/>
      <c r="G1945" s="167"/>
      <c r="H1945" s="123"/>
      <c r="I1945" s="123"/>
      <c r="J1945" s="123"/>
      <c r="K1945" s="123"/>
      <c r="L1945" s="123"/>
      <c r="M1945" s="123"/>
      <c r="N1945" s="126"/>
    </row>
    <row r="1946" spans="1:14" s="3" customFormat="1" ht="25.2">
      <c r="A1946" s="125" t="s">
        <v>1904</v>
      </c>
      <c r="B1946" s="123"/>
      <c r="C1946" s="123"/>
      <c r="D1946" s="123"/>
      <c r="E1946" s="123"/>
      <c r="F1946" s="167" t="s">
        <v>1896</v>
      </c>
      <c r="G1946" s="204" t="e">
        <f>VLOOKUP(G1943, 'Detail PL'!$B$14:$Q$799, 10)</f>
        <v>#N/A</v>
      </c>
      <c r="H1946" s="204" t="s">
        <v>1905</v>
      </c>
      <c r="I1946" s="204"/>
      <c r="J1946" s="204"/>
      <c r="K1946" s="123"/>
      <c r="L1946" s="123"/>
      <c r="M1946" s="123"/>
      <c r="N1946" s="126"/>
    </row>
    <row r="1947" spans="1:14" s="4" customFormat="1" ht="25.2">
      <c r="A1947" s="125" t="s">
        <v>1906</v>
      </c>
      <c r="B1947" s="123"/>
      <c r="C1947" s="123"/>
      <c r="D1947" s="123"/>
      <c r="E1947" s="123"/>
      <c r="F1947" s="167"/>
      <c r="G1947" s="167"/>
      <c r="H1947" s="167"/>
      <c r="I1947" s="123"/>
      <c r="J1947" s="123"/>
      <c r="K1947" s="123"/>
      <c r="L1947" s="123"/>
      <c r="M1947" s="123"/>
      <c r="N1947" s="126"/>
    </row>
    <row r="1948" spans="1:14" s="3" customFormat="1" ht="9.9" customHeight="1">
      <c r="A1948" s="125"/>
      <c r="B1948" s="123"/>
      <c r="C1948" s="123"/>
      <c r="D1948" s="123"/>
      <c r="E1948" s="123"/>
      <c r="F1948" s="167"/>
      <c r="G1948" s="167"/>
      <c r="H1948" s="167"/>
      <c r="I1948" s="123"/>
      <c r="J1948" s="123"/>
      <c r="K1948" s="123"/>
      <c r="L1948" s="123"/>
      <c r="M1948" s="123"/>
      <c r="N1948" s="126"/>
    </row>
    <row r="1949" spans="1:14" s="3" customFormat="1" ht="25.2">
      <c r="A1949" s="125" t="s">
        <v>1907</v>
      </c>
      <c r="B1949" s="123"/>
      <c r="C1949" s="123"/>
      <c r="D1949" s="123"/>
      <c r="E1949" s="123"/>
      <c r="F1949" s="167" t="s">
        <v>1896</v>
      </c>
      <c r="G1949" s="204" t="e">
        <f>VLOOKUP(G1943, 'Detail PL'!$B$14:$Q$799, 11)</f>
        <v>#N/A</v>
      </c>
      <c r="H1949" s="204" t="s">
        <v>1905</v>
      </c>
      <c r="I1949" s="204"/>
      <c r="J1949" s="204"/>
      <c r="K1949" s="123"/>
      <c r="L1949" s="123"/>
      <c r="M1949" s="123"/>
      <c r="N1949" s="126"/>
    </row>
    <row r="1950" spans="1:14" s="4" customFormat="1" ht="25.2">
      <c r="A1950" s="125" t="s">
        <v>1908</v>
      </c>
      <c r="B1950" s="123"/>
      <c r="C1950" s="123"/>
      <c r="D1950" s="123"/>
      <c r="E1950" s="123"/>
      <c r="F1950" s="167"/>
      <c r="G1950" s="167"/>
      <c r="H1950" s="123"/>
      <c r="I1950" s="123"/>
      <c r="J1950" s="123"/>
      <c r="K1950" s="123"/>
      <c r="L1950" s="123"/>
      <c r="M1950" s="123"/>
      <c r="N1950" s="126"/>
    </row>
    <row r="1951" spans="1:14" s="3" customFormat="1" ht="9.9" customHeight="1">
      <c r="A1951" s="125"/>
      <c r="B1951" s="123"/>
      <c r="C1951" s="123"/>
      <c r="D1951" s="123"/>
      <c r="E1951" s="123"/>
      <c r="F1951" s="167"/>
      <c r="G1951" s="167"/>
      <c r="H1951" s="123"/>
      <c r="I1951" s="123"/>
      <c r="J1951" s="123"/>
      <c r="K1951" s="123"/>
      <c r="L1951" s="123"/>
      <c r="M1951" s="123"/>
      <c r="N1951" s="126"/>
    </row>
    <row r="1952" spans="1:14" s="3" customFormat="1" ht="25.2">
      <c r="A1952" s="129" t="s">
        <v>1909</v>
      </c>
      <c r="B1952" s="123"/>
      <c r="C1952" s="123"/>
      <c r="D1952" s="123"/>
      <c r="E1952" s="123"/>
      <c r="F1952" s="167" t="s">
        <v>1896</v>
      </c>
      <c r="G1952" s="204" t="e">
        <f>VLOOKUP(G1943, 'Detail PL'!$B$14:$Q$799, 9)</f>
        <v>#N/A</v>
      </c>
      <c r="H1952" s="205" t="s">
        <v>1910</v>
      </c>
      <c r="I1952" s="203"/>
      <c r="J1952" s="203"/>
      <c r="K1952" s="172"/>
      <c r="L1952" s="123"/>
      <c r="M1952" s="123"/>
      <c r="N1952" s="126"/>
    </row>
    <row r="1953" spans="1:15" s="4" customFormat="1" ht="25.2">
      <c r="A1953" s="125" t="s">
        <v>1911</v>
      </c>
      <c r="B1953" s="123"/>
      <c r="C1953" s="123"/>
      <c r="D1953" s="123"/>
      <c r="E1953" s="123"/>
      <c r="F1953" s="167"/>
      <c r="G1953" s="167"/>
      <c r="H1953" s="123"/>
      <c r="I1953" s="123"/>
      <c r="J1953" s="123"/>
      <c r="K1953" s="123"/>
      <c r="L1953" s="123"/>
      <c r="M1953" s="123"/>
      <c r="N1953" s="126"/>
    </row>
    <row r="1954" spans="1:15" s="3" customFormat="1" ht="9.9" customHeight="1">
      <c r="A1954" s="125"/>
      <c r="B1954" s="123"/>
      <c r="C1954" s="123"/>
      <c r="D1954" s="123"/>
      <c r="E1954" s="123"/>
      <c r="F1954" s="167"/>
      <c r="G1954" s="167"/>
      <c r="H1954" s="123"/>
      <c r="I1954" s="123"/>
      <c r="J1954" s="123"/>
      <c r="K1954" s="123"/>
      <c r="L1954" s="123"/>
      <c r="M1954" s="123"/>
      <c r="N1954" s="126"/>
    </row>
    <row r="1955" spans="1:15" s="3" customFormat="1" ht="42" customHeight="1">
      <c r="A1955" s="125" t="s">
        <v>1912</v>
      </c>
      <c r="B1955" s="123"/>
      <c r="C1955" s="123"/>
      <c r="D1955" s="123"/>
      <c r="E1955" s="123"/>
      <c r="F1955" s="166" t="s">
        <v>1913</v>
      </c>
      <c r="G1955" s="595" t="s">
        <v>1914</v>
      </c>
      <c r="H1955" s="595"/>
      <c r="I1955" s="595"/>
      <c r="J1955" s="595"/>
      <c r="K1955" s="595"/>
      <c r="L1955" s="595"/>
      <c r="M1955" s="595"/>
      <c r="N1955" s="596"/>
    </row>
    <row r="1956" spans="1:15" s="4" customFormat="1" ht="25.8" thickBot="1">
      <c r="A1956" s="125" t="s">
        <v>1915</v>
      </c>
      <c r="B1956" s="123"/>
      <c r="C1956" s="123"/>
      <c r="D1956" s="123"/>
      <c r="E1956" s="123"/>
      <c r="F1956" s="167"/>
      <c r="G1956" s="167"/>
      <c r="H1956" s="123"/>
      <c r="I1956" s="123"/>
      <c r="J1956" s="123"/>
      <c r="K1956" s="123"/>
      <c r="L1956" s="123"/>
      <c r="M1956" s="123"/>
      <c r="N1956" s="126"/>
    </row>
    <row r="1957" spans="1:15" ht="21" customHeight="1">
      <c r="A1957" s="598" t="s">
        <v>1916</v>
      </c>
      <c r="B1957" s="599"/>
      <c r="C1957" s="599"/>
      <c r="D1957" s="599"/>
      <c r="E1957" s="599"/>
      <c r="F1957" s="599"/>
      <c r="G1957" s="599"/>
      <c r="H1957" s="599"/>
      <c r="I1957" s="599"/>
      <c r="J1957" s="599"/>
      <c r="K1957" s="599"/>
      <c r="L1957" s="599"/>
      <c r="M1957" s="599"/>
      <c r="N1957" s="600"/>
    </row>
    <row r="1958" spans="1:15" ht="25.5" customHeight="1" thickBot="1">
      <c r="A1958" s="601"/>
      <c r="B1958" s="602"/>
      <c r="C1958" s="602"/>
      <c r="D1958" s="602"/>
      <c r="E1958" s="602"/>
      <c r="F1958" s="602"/>
      <c r="G1958" s="602"/>
      <c r="H1958" s="602"/>
      <c r="I1958" s="602"/>
      <c r="J1958" s="602"/>
      <c r="K1958" s="602"/>
      <c r="L1958" s="602"/>
      <c r="M1958" s="602"/>
      <c r="N1958" s="603"/>
    </row>
    <row r="1959" spans="1:15" ht="25.5" customHeight="1">
      <c r="E1959" s="206"/>
      <c r="F1959" s="206"/>
      <c r="G1959" s="206"/>
      <c r="H1959" s="206"/>
      <c r="I1959" s="206"/>
      <c r="J1959" s="206"/>
      <c r="K1959" s="206"/>
    </row>
    <row r="1960" spans="1:15" ht="21.6" thickBot="1"/>
    <row r="1961" spans="1:15" ht="95.25" customHeight="1" thickBot="1">
      <c r="A1961" s="592" t="s">
        <v>1883</v>
      </c>
      <c r="B1961" s="593"/>
      <c r="C1961" s="593"/>
      <c r="D1961" s="593"/>
      <c r="E1961" s="593"/>
      <c r="F1961" s="593"/>
      <c r="G1961" s="593"/>
      <c r="H1961" s="593"/>
      <c r="I1961" s="593"/>
      <c r="J1961" s="593"/>
      <c r="K1961" s="593"/>
      <c r="L1961" s="593"/>
      <c r="M1961" s="593"/>
      <c r="N1961" s="594"/>
    </row>
    <row r="1962" spans="1:15" s="3" customFormat="1" ht="37.5" customHeight="1">
      <c r="A1962" s="134" t="s">
        <v>1884</v>
      </c>
      <c r="B1962" s="166"/>
      <c r="C1962" s="166"/>
      <c r="D1962" s="123"/>
      <c r="E1962" s="123"/>
      <c r="F1962" s="167" t="s">
        <v>1885</v>
      </c>
      <c r="G1962" s="167" t="s">
        <v>1886</v>
      </c>
      <c r="H1962" s="167"/>
      <c r="I1962" s="167"/>
      <c r="J1962" s="167"/>
      <c r="K1962" s="167"/>
      <c r="L1962" s="167"/>
      <c r="M1962" s="167"/>
      <c r="N1962" s="152"/>
      <c r="O1962" s="201"/>
    </row>
    <row r="1963" spans="1:15" s="4" customFormat="1" ht="25.2">
      <c r="A1963" s="125" t="s">
        <v>1887</v>
      </c>
      <c r="B1963" s="123"/>
      <c r="C1963" s="123"/>
      <c r="D1963" s="123"/>
      <c r="E1963" s="123"/>
      <c r="F1963" s="167"/>
      <c r="G1963" s="167" t="s">
        <v>1888</v>
      </c>
      <c r="H1963" s="167"/>
      <c r="I1963" s="167"/>
      <c r="J1963" s="167"/>
      <c r="K1963" s="167"/>
      <c r="L1963" s="167"/>
      <c r="M1963" s="167"/>
      <c r="N1963" s="152"/>
    </row>
    <row r="1964" spans="1:15" s="3" customFormat="1" ht="9.9" customHeight="1">
      <c r="A1964" s="125"/>
      <c r="B1964" s="123"/>
      <c r="C1964" s="123"/>
      <c r="D1964" s="123"/>
      <c r="E1964" s="123"/>
      <c r="F1964" s="167"/>
      <c r="G1964" s="123"/>
      <c r="H1964" s="123"/>
      <c r="I1964" s="123"/>
      <c r="J1964" s="123"/>
      <c r="K1964" s="123"/>
      <c r="L1964" s="123"/>
      <c r="M1964" s="123"/>
      <c r="N1964" s="126"/>
    </row>
    <row r="1965" spans="1:15" s="3" customFormat="1" ht="42.75" customHeight="1">
      <c r="A1965" s="125" t="s">
        <v>1889</v>
      </c>
      <c r="B1965" s="123"/>
      <c r="C1965" s="123"/>
      <c r="D1965" s="123"/>
      <c r="E1965" s="123"/>
      <c r="F1965" s="167" t="s">
        <v>1885</v>
      </c>
      <c r="G1965" s="167" t="str">
        <f>PL!$B$13</f>
        <v>Branch of JSC "Doosan Enerbility" in the Turkestan region</v>
      </c>
      <c r="H1965" s="123"/>
      <c r="I1965" s="123"/>
      <c r="J1965" s="123"/>
      <c r="K1965" s="123"/>
      <c r="L1965" s="123"/>
      <c r="M1965" s="123"/>
      <c r="N1965" s="126"/>
    </row>
    <row r="1966" spans="1:15" s="3" customFormat="1" ht="24" customHeight="1">
      <c r="A1966" s="125" t="s">
        <v>1890</v>
      </c>
      <c r="B1966" s="123"/>
      <c r="C1966" s="123"/>
      <c r="D1966" s="123"/>
      <c r="E1966" s="123"/>
      <c r="F1966" s="168"/>
      <c r="G1966" s="167" t="str">
        <f>PL!$B$14</f>
        <v>321 Tauke Khan Avenue, Turkestan region, Turkestan, Kazakhstan, 161200</v>
      </c>
      <c r="H1966" s="123"/>
      <c r="I1966" s="123"/>
      <c r="J1966" s="123"/>
      <c r="K1966" s="123"/>
      <c r="L1966" s="123"/>
      <c r="M1966" s="123"/>
      <c r="N1966" s="126"/>
    </row>
    <row r="1967" spans="1:15" s="4" customFormat="1" ht="25.2">
      <c r="A1967" s="125"/>
      <c r="B1967" s="123"/>
      <c r="C1967" s="123"/>
      <c r="D1967" s="123"/>
      <c r="E1967" s="123"/>
      <c r="F1967" s="168"/>
      <c r="G1967" s="167" t="str">
        <f>PL!$B$15</f>
        <v>BIN: 230741006561</v>
      </c>
      <c r="H1967" s="123"/>
      <c r="I1967" s="123"/>
      <c r="J1967" s="123"/>
      <c r="K1967" s="123"/>
      <c r="L1967" s="123"/>
      <c r="M1967" s="123"/>
      <c r="N1967" s="126"/>
    </row>
    <row r="1968" spans="1:15" s="3" customFormat="1" ht="9.9" customHeight="1">
      <c r="A1968" s="125"/>
      <c r="B1968" s="123"/>
      <c r="C1968" s="123"/>
      <c r="D1968" s="123"/>
      <c r="E1968" s="123"/>
      <c r="F1968" s="169"/>
      <c r="G1968" s="169"/>
      <c r="H1968" s="123"/>
      <c r="I1968" s="123"/>
      <c r="J1968" s="123"/>
      <c r="K1968" s="123"/>
      <c r="L1968" s="123"/>
      <c r="M1968" s="123"/>
      <c r="N1968" s="126"/>
    </row>
    <row r="1969" spans="1:14" s="3" customFormat="1" ht="25.2">
      <c r="A1969" s="125" t="s">
        <v>1891</v>
      </c>
      <c r="B1969" s="123"/>
      <c r="C1969" s="123"/>
      <c r="D1969" s="123"/>
      <c r="E1969" s="123"/>
      <c r="F1969" s="167" t="s">
        <v>1892</v>
      </c>
      <c r="G1969" s="123"/>
      <c r="H1969" s="123"/>
      <c r="I1969" s="123"/>
      <c r="J1969" s="123"/>
      <c r="K1969" s="123"/>
      <c r="L1969" s="123"/>
      <c r="M1969" s="123"/>
      <c r="N1969" s="126"/>
    </row>
    <row r="1970" spans="1:14" s="4" customFormat="1" ht="25.2">
      <c r="A1970" s="125" t="s">
        <v>1893</v>
      </c>
      <c r="B1970" s="123"/>
      <c r="C1970" s="123"/>
      <c r="D1970" s="123"/>
      <c r="E1970" s="123"/>
      <c r="F1970" s="167" t="s">
        <v>1894</v>
      </c>
      <c r="G1970" s="123"/>
      <c r="H1970" s="123"/>
      <c r="I1970" s="123"/>
      <c r="J1970" s="123"/>
      <c r="K1970" s="123"/>
      <c r="L1970" s="123"/>
      <c r="M1970" s="123"/>
      <c r="N1970" s="126"/>
    </row>
    <row r="1971" spans="1:14" s="3" customFormat="1" ht="9.9" customHeight="1">
      <c r="A1971" s="125"/>
      <c r="B1971" s="123"/>
      <c r="C1971" s="123"/>
      <c r="D1971" s="123"/>
      <c r="E1971" s="123"/>
      <c r="F1971" s="167"/>
      <c r="G1971" s="123"/>
      <c r="H1971" s="123"/>
      <c r="I1971" s="123"/>
      <c r="J1971" s="123"/>
      <c r="K1971" s="123"/>
      <c r="L1971" s="123"/>
      <c r="M1971" s="123"/>
      <c r="N1971" s="126"/>
    </row>
    <row r="1972" spans="1:14" s="3" customFormat="1" ht="25.2">
      <c r="A1972" s="125" t="s">
        <v>1895</v>
      </c>
      <c r="B1972" s="123"/>
      <c r="C1972" s="123"/>
      <c r="D1972" s="123"/>
      <c r="E1972" s="123"/>
      <c r="F1972" s="167" t="s">
        <v>1896</v>
      </c>
      <c r="G1972" s="167" t="str">
        <f>PL!$V$8</f>
        <v>PGU-DE-0139-001</v>
      </c>
      <c r="H1972" s="123"/>
      <c r="I1972" s="123"/>
      <c r="J1972" s="123"/>
      <c r="K1972" s="123"/>
      <c r="L1972" s="123"/>
      <c r="M1972" s="123"/>
      <c r="N1972" s="126"/>
    </row>
    <row r="1973" spans="1:14" s="3" customFormat="1" ht="25.2">
      <c r="A1973" s="125" t="s">
        <v>1897</v>
      </c>
      <c r="B1973" s="123"/>
      <c r="C1973" s="123"/>
      <c r="D1973" s="123"/>
      <c r="E1973" s="123"/>
      <c r="F1973" s="167"/>
      <c r="G1973" s="123"/>
      <c r="H1973" s="123"/>
      <c r="I1973" s="123"/>
      <c r="J1973" s="123"/>
      <c r="K1973" s="123"/>
      <c r="L1973" s="123"/>
      <c r="M1973" s="123"/>
      <c r="N1973" s="126"/>
    </row>
    <row r="1974" spans="1:14" s="3" customFormat="1" ht="9.9" customHeight="1">
      <c r="A1974" s="125"/>
      <c r="B1974" s="123"/>
      <c r="C1974" s="123"/>
      <c r="D1974" s="123"/>
      <c r="E1974" s="123"/>
      <c r="F1974" s="167"/>
      <c r="G1974" s="123"/>
      <c r="H1974" s="123"/>
      <c r="I1974" s="123"/>
      <c r="J1974" s="123"/>
      <c r="K1974" s="123"/>
      <c r="L1974" s="123"/>
      <c r="M1974" s="123"/>
      <c r="N1974" s="126"/>
    </row>
    <row r="1975" spans="1:14" s="3" customFormat="1" ht="31.2" customHeight="1">
      <c r="A1975" s="127" t="s">
        <v>1898</v>
      </c>
      <c r="B1975" s="170"/>
      <c r="C1975" s="170"/>
      <c r="D1975" s="170"/>
      <c r="E1975" s="170"/>
      <c r="F1975" s="171" t="s">
        <v>1885</v>
      </c>
      <c r="G1975" s="597" t="e">
        <f>VLOOKUP(G1978, 'Detail PL'!$B$14:$Q$799,2)</f>
        <v>#N/A</v>
      </c>
      <c r="H1975" s="597"/>
      <c r="I1975" s="597"/>
      <c r="J1975" s="597"/>
      <c r="K1975" s="597"/>
      <c r="L1975" s="597"/>
      <c r="M1975" s="597"/>
      <c r="N1975" s="128"/>
    </row>
    <row r="1976" spans="1:14" s="3" customFormat="1" ht="25.2">
      <c r="A1976" s="127" t="s">
        <v>1899</v>
      </c>
      <c r="B1976" s="170"/>
      <c r="C1976" s="170"/>
      <c r="D1976" s="170"/>
      <c r="E1976" s="170"/>
      <c r="F1976" s="171"/>
      <c r="G1976" s="170"/>
      <c r="H1976" s="170"/>
      <c r="I1976" s="170"/>
      <c r="J1976" s="170"/>
      <c r="K1976" s="170"/>
      <c r="L1976" s="170"/>
      <c r="M1976" s="170"/>
      <c r="N1976" s="128"/>
    </row>
    <row r="1977" spans="1:14" s="3" customFormat="1" ht="9.9" customHeight="1">
      <c r="A1977" s="125"/>
      <c r="B1977" s="123"/>
      <c r="C1977" s="123"/>
      <c r="D1977" s="123"/>
      <c r="E1977" s="123"/>
      <c r="F1977" s="167"/>
      <c r="G1977" s="123"/>
      <c r="H1977" s="123"/>
      <c r="I1977" s="123"/>
      <c r="J1977" s="123"/>
      <c r="K1977" s="123"/>
      <c r="L1977" s="123"/>
      <c r="M1977" s="123"/>
      <c r="N1977" s="126"/>
    </row>
    <row r="1978" spans="1:14" s="3" customFormat="1" ht="25.2">
      <c r="A1978" s="125" t="s">
        <v>1900</v>
      </c>
      <c r="B1978" s="123"/>
      <c r="C1978" s="123"/>
      <c r="D1978" s="123"/>
      <c r="E1978" s="123"/>
      <c r="F1978" s="171" t="s">
        <v>1901</v>
      </c>
      <c r="G1978" s="604">
        <f t="shared" ref="G1978" si="54">G1943+1</f>
        <v>57</v>
      </c>
      <c r="H1978" s="604"/>
      <c r="I1978" s="604"/>
      <c r="J1978" s="604"/>
      <c r="K1978" s="604"/>
      <c r="L1978" s="123"/>
      <c r="M1978" s="123"/>
      <c r="N1978" s="126"/>
    </row>
    <row r="1979" spans="1:14" s="4" customFormat="1" ht="25.2">
      <c r="A1979" s="125" t="s">
        <v>1903</v>
      </c>
      <c r="B1979" s="123"/>
      <c r="C1979" s="123"/>
      <c r="D1979" s="123"/>
      <c r="E1979" s="123"/>
      <c r="F1979" s="167"/>
      <c r="G1979" s="167"/>
      <c r="H1979" s="123"/>
      <c r="I1979" s="123"/>
      <c r="J1979" s="123"/>
      <c r="K1979" s="123"/>
      <c r="L1979" s="123"/>
      <c r="M1979" s="123"/>
      <c r="N1979" s="126"/>
    </row>
    <row r="1980" spans="1:14" s="3" customFormat="1" ht="9.9" customHeight="1">
      <c r="A1980" s="125"/>
      <c r="B1980" s="123"/>
      <c r="C1980" s="123"/>
      <c r="D1980" s="123"/>
      <c r="E1980" s="123"/>
      <c r="F1980" s="167"/>
      <c r="G1980" s="167"/>
      <c r="H1980" s="123"/>
      <c r="I1980" s="123"/>
      <c r="J1980" s="123"/>
      <c r="K1980" s="123"/>
      <c r="L1980" s="123"/>
      <c r="M1980" s="123"/>
      <c r="N1980" s="126"/>
    </row>
    <row r="1981" spans="1:14" s="3" customFormat="1" ht="25.2">
      <c r="A1981" s="125" t="s">
        <v>1904</v>
      </c>
      <c r="B1981" s="123"/>
      <c r="C1981" s="123"/>
      <c r="D1981" s="123"/>
      <c r="E1981" s="123"/>
      <c r="F1981" s="167" t="s">
        <v>1896</v>
      </c>
      <c r="G1981" s="204" t="e">
        <f>VLOOKUP(G1978, 'Detail PL'!$B$14:$Q$799, 10)</f>
        <v>#N/A</v>
      </c>
      <c r="H1981" s="204" t="s">
        <v>1905</v>
      </c>
      <c r="I1981" s="204"/>
      <c r="J1981" s="204"/>
      <c r="K1981" s="123"/>
      <c r="L1981" s="123"/>
      <c r="M1981" s="123"/>
      <c r="N1981" s="126"/>
    </row>
    <row r="1982" spans="1:14" s="4" customFormat="1" ht="25.2">
      <c r="A1982" s="125" t="s">
        <v>1906</v>
      </c>
      <c r="B1982" s="123"/>
      <c r="C1982" s="123"/>
      <c r="D1982" s="123"/>
      <c r="E1982" s="123"/>
      <c r="F1982" s="167"/>
      <c r="G1982" s="167"/>
      <c r="H1982" s="167"/>
      <c r="I1982" s="123"/>
      <c r="J1982" s="123"/>
      <c r="K1982" s="123"/>
      <c r="L1982" s="123"/>
      <c r="M1982" s="123"/>
      <c r="N1982" s="126"/>
    </row>
    <row r="1983" spans="1:14" s="3" customFormat="1" ht="9.9" customHeight="1">
      <c r="A1983" s="125"/>
      <c r="B1983" s="123"/>
      <c r="C1983" s="123"/>
      <c r="D1983" s="123"/>
      <c r="E1983" s="123"/>
      <c r="F1983" s="167"/>
      <c r="G1983" s="167"/>
      <c r="H1983" s="167"/>
      <c r="I1983" s="123"/>
      <c r="J1983" s="123"/>
      <c r="K1983" s="123"/>
      <c r="L1983" s="123"/>
      <c r="M1983" s="123"/>
      <c r="N1983" s="126"/>
    </row>
    <row r="1984" spans="1:14" s="3" customFormat="1" ht="25.2">
      <c r="A1984" s="125" t="s">
        <v>1907</v>
      </c>
      <c r="B1984" s="123"/>
      <c r="C1984" s="123"/>
      <c r="D1984" s="123"/>
      <c r="E1984" s="123"/>
      <c r="F1984" s="167" t="s">
        <v>1896</v>
      </c>
      <c r="G1984" s="204" t="e">
        <f>VLOOKUP(G1978, 'Detail PL'!$B$14:$Q$799, 11)</f>
        <v>#N/A</v>
      </c>
      <c r="H1984" s="204" t="s">
        <v>1905</v>
      </c>
      <c r="I1984" s="204"/>
      <c r="J1984" s="204"/>
      <c r="K1984" s="123"/>
      <c r="L1984" s="123"/>
      <c r="M1984" s="123"/>
      <c r="N1984" s="126"/>
    </row>
    <row r="1985" spans="1:15" s="4" customFormat="1" ht="25.2">
      <c r="A1985" s="125" t="s">
        <v>1908</v>
      </c>
      <c r="B1985" s="123"/>
      <c r="C1985" s="123"/>
      <c r="D1985" s="123"/>
      <c r="E1985" s="123"/>
      <c r="F1985" s="167"/>
      <c r="G1985" s="167"/>
      <c r="H1985" s="123"/>
      <c r="I1985" s="123"/>
      <c r="J1985" s="123"/>
      <c r="K1985" s="123"/>
      <c r="L1985" s="123"/>
      <c r="M1985" s="123"/>
      <c r="N1985" s="126"/>
    </row>
    <row r="1986" spans="1:15" s="3" customFormat="1" ht="9.9" customHeight="1">
      <c r="A1986" s="125"/>
      <c r="B1986" s="123"/>
      <c r="C1986" s="123"/>
      <c r="D1986" s="123"/>
      <c r="E1986" s="123"/>
      <c r="F1986" s="167"/>
      <c r="G1986" s="167"/>
      <c r="H1986" s="123"/>
      <c r="I1986" s="123"/>
      <c r="J1986" s="123"/>
      <c r="K1986" s="123"/>
      <c r="L1986" s="123"/>
      <c r="M1986" s="123"/>
      <c r="N1986" s="126"/>
    </row>
    <row r="1987" spans="1:15" s="3" customFormat="1" ht="25.2">
      <c r="A1987" s="129" t="s">
        <v>1909</v>
      </c>
      <c r="B1987" s="123"/>
      <c r="C1987" s="123"/>
      <c r="D1987" s="123"/>
      <c r="E1987" s="123"/>
      <c r="F1987" s="167" t="s">
        <v>1896</v>
      </c>
      <c r="G1987" s="204" t="e">
        <f>VLOOKUP(G1978, 'Detail PL'!$B$14:$Q$799, 9)</f>
        <v>#N/A</v>
      </c>
      <c r="H1987" s="205" t="s">
        <v>1910</v>
      </c>
      <c r="I1987" s="203"/>
      <c r="J1987" s="203"/>
      <c r="K1987" s="172"/>
      <c r="L1987" s="123"/>
      <c r="M1987" s="123"/>
      <c r="N1987" s="126"/>
    </row>
    <row r="1988" spans="1:15" s="4" customFormat="1" ht="25.2">
      <c r="A1988" s="125" t="s">
        <v>1911</v>
      </c>
      <c r="B1988" s="123"/>
      <c r="C1988" s="123"/>
      <c r="D1988" s="123"/>
      <c r="E1988" s="123"/>
      <c r="F1988" s="167"/>
      <c r="G1988" s="167"/>
      <c r="H1988" s="123"/>
      <c r="I1988" s="123"/>
      <c r="J1988" s="123"/>
      <c r="K1988" s="123"/>
      <c r="L1988" s="123"/>
      <c r="M1988" s="123"/>
      <c r="N1988" s="126"/>
    </row>
    <row r="1989" spans="1:15" s="3" customFormat="1" ht="9.9" customHeight="1">
      <c r="A1989" s="125"/>
      <c r="B1989" s="123"/>
      <c r="C1989" s="123"/>
      <c r="D1989" s="123"/>
      <c r="E1989" s="123"/>
      <c r="F1989" s="167"/>
      <c r="G1989" s="167"/>
      <c r="H1989" s="123"/>
      <c r="I1989" s="123"/>
      <c r="J1989" s="123"/>
      <c r="K1989" s="123"/>
      <c r="L1989" s="123"/>
      <c r="M1989" s="123"/>
      <c r="N1989" s="126"/>
    </row>
    <row r="1990" spans="1:15" s="3" customFormat="1" ht="42" customHeight="1">
      <c r="A1990" s="125" t="s">
        <v>1912</v>
      </c>
      <c r="B1990" s="123"/>
      <c r="C1990" s="123"/>
      <c r="D1990" s="123"/>
      <c r="E1990" s="123"/>
      <c r="F1990" s="166" t="s">
        <v>1913</v>
      </c>
      <c r="G1990" s="595" t="s">
        <v>1914</v>
      </c>
      <c r="H1990" s="595"/>
      <c r="I1990" s="595"/>
      <c r="J1990" s="595"/>
      <c r="K1990" s="595"/>
      <c r="L1990" s="595"/>
      <c r="M1990" s="595"/>
      <c r="N1990" s="596"/>
    </row>
    <row r="1991" spans="1:15" s="4" customFormat="1" ht="25.8" thickBot="1">
      <c r="A1991" s="125" t="s">
        <v>1915</v>
      </c>
      <c r="B1991" s="123"/>
      <c r="C1991" s="123"/>
      <c r="D1991" s="123"/>
      <c r="E1991" s="123"/>
      <c r="F1991" s="167"/>
      <c r="G1991" s="167"/>
      <c r="H1991" s="123"/>
      <c r="I1991" s="123"/>
      <c r="J1991" s="123"/>
      <c r="K1991" s="123"/>
      <c r="L1991" s="123"/>
      <c r="M1991" s="123"/>
      <c r="N1991" s="126"/>
    </row>
    <row r="1992" spans="1:15" ht="21" customHeight="1">
      <c r="A1992" s="598" t="s">
        <v>1916</v>
      </c>
      <c r="B1992" s="599"/>
      <c r="C1992" s="599"/>
      <c r="D1992" s="599"/>
      <c r="E1992" s="599"/>
      <c r="F1992" s="599"/>
      <c r="G1992" s="599"/>
      <c r="H1992" s="599"/>
      <c r="I1992" s="599"/>
      <c r="J1992" s="599"/>
      <c r="K1992" s="599"/>
      <c r="L1992" s="599"/>
      <c r="M1992" s="599"/>
      <c r="N1992" s="600"/>
    </row>
    <row r="1993" spans="1:15" ht="25.5" customHeight="1" thickBot="1">
      <c r="A1993" s="601"/>
      <c r="B1993" s="602"/>
      <c r="C1993" s="602"/>
      <c r="D1993" s="602"/>
      <c r="E1993" s="602"/>
      <c r="F1993" s="602"/>
      <c r="G1993" s="602"/>
      <c r="H1993" s="602"/>
      <c r="I1993" s="602"/>
      <c r="J1993" s="602"/>
      <c r="K1993" s="602"/>
      <c r="L1993" s="602"/>
      <c r="M1993" s="602"/>
      <c r="N1993" s="603"/>
    </row>
    <row r="1994" spans="1:15" ht="25.5" customHeight="1">
      <c r="E1994" s="206"/>
      <c r="F1994" s="206"/>
      <c r="G1994" s="206"/>
      <c r="H1994" s="206"/>
      <c r="I1994" s="206"/>
      <c r="J1994" s="206"/>
      <c r="K1994" s="206"/>
    </row>
    <row r="1995" spans="1:15" ht="21.6" thickBot="1"/>
    <row r="1996" spans="1:15" ht="95.25" customHeight="1" thickBot="1">
      <c r="A1996" s="592" t="s">
        <v>1883</v>
      </c>
      <c r="B1996" s="593"/>
      <c r="C1996" s="593"/>
      <c r="D1996" s="593"/>
      <c r="E1996" s="593"/>
      <c r="F1996" s="593"/>
      <c r="G1996" s="593"/>
      <c r="H1996" s="593"/>
      <c r="I1996" s="593"/>
      <c r="J1996" s="593"/>
      <c r="K1996" s="593"/>
      <c r="L1996" s="593"/>
      <c r="M1996" s="593"/>
      <c r="N1996" s="594"/>
    </row>
    <row r="1997" spans="1:15" s="3" customFormat="1" ht="37.5" customHeight="1">
      <c r="A1997" s="134" t="s">
        <v>1884</v>
      </c>
      <c r="B1997" s="166"/>
      <c r="C1997" s="166"/>
      <c r="D1997" s="123"/>
      <c r="E1997" s="123"/>
      <c r="F1997" s="167" t="s">
        <v>1885</v>
      </c>
      <c r="G1997" s="167" t="s">
        <v>1886</v>
      </c>
      <c r="H1997" s="167"/>
      <c r="I1997" s="167"/>
      <c r="J1997" s="167"/>
      <c r="K1997" s="167"/>
      <c r="L1997" s="167"/>
      <c r="M1997" s="167"/>
      <c r="N1997" s="152"/>
      <c r="O1997" s="201"/>
    </row>
    <row r="1998" spans="1:15" s="4" customFormat="1" ht="25.2">
      <c r="A1998" s="125" t="s">
        <v>1887</v>
      </c>
      <c r="B1998" s="123"/>
      <c r="C1998" s="123"/>
      <c r="D1998" s="123"/>
      <c r="E1998" s="123"/>
      <c r="F1998" s="167"/>
      <c r="G1998" s="167" t="s">
        <v>1888</v>
      </c>
      <c r="H1998" s="167"/>
      <c r="I1998" s="167"/>
      <c r="J1998" s="167"/>
      <c r="K1998" s="167"/>
      <c r="L1998" s="167"/>
      <c r="M1998" s="167"/>
      <c r="N1998" s="152"/>
    </row>
    <row r="1999" spans="1:15" s="3" customFormat="1" ht="9.9" customHeight="1">
      <c r="A1999" s="125"/>
      <c r="B1999" s="123"/>
      <c r="C1999" s="123"/>
      <c r="D1999" s="123"/>
      <c r="E1999" s="123"/>
      <c r="F1999" s="167"/>
      <c r="G1999" s="123"/>
      <c r="H1999" s="123"/>
      <c r="I1999" s="123"/>
      <c r="J1999" s="123"/>
      <c r="K1999" s="123"/>
      <c r="L1999" s="123"/>
      <c r="M1999" s="123"/>
      <c r="N1999" s="126"/>
    </row>
    <row r="2000" spans="1:15" s="3" customFormat="1" ht="42.75" customHeight="1">
      <c r="A2000" s="125" t="s">
        <v>1889</v>
      </c>
      <c r="B2000" s="123"/>
      <c r="C2000" s="123"/>
      <c r="D2000" s="123"/>
      <c r="E2000" s="123"/>
      <c r="F2000" s="167" t="s">
        <v>1885</v>
      </c>
      <c r="G2000" s="167" t="str">
        <f>PL!$B$13</f>
        <v>Branch of JSC "Doosan Enerbility" in the Turkestan region</v>
      </c>
      <c r="H2000" s="123"/>
      <c r="I2000" s="123"/>
      <c r="J2000" s="123"/>
      <c r="K2000" s="123"/>
      <c r="L2000" s="123"/>
      <c r="M2000" s="123"/>
      <c r="N2000" s="126"/>
    </row>
    <row r="2001" spans="1:14" s="3" customFormat="1" ht="24" customHeight="1">
      <c r="A2001" s="125" t="s">
        <v>1890</v>
      </c>
      <c r="B2001" s="123"/>
      <c r="C2001" s="123"/>
      <c r="D2001" s="123"/>
      <c r="E2001" s="123"/>
      <c r="F2001" s="168"/>
      <c r="G2001" s="167" t="str">
        <f>PL!$B$14</f>
        <v>321 Tauke Khan Avenue, Turkestan region, Turkestan, Kazakhstan, 161200</v>
      </c>
      <c r="H2001" s="123"/>
      <c r="I2001" s="123"/>
      <c r="J2001" s="123"/>
      <c r="K2001" s="123"/>
      <c r="L2001" s="123"/>
      <c r="M2001" s="123"/>
      <c r="N2001" s="126"/>
    </row>
    <row r="2002" spans="1:14" s="4" customFormat="1" ht="25.2">
      <c r="A2002" s="125"/>
      <c r="B2002" s="123"/>
      <c r="C2002" s="123"/>
      <c r="D2002" s="123"/>
      <c r="E2002" s="123"/>
      <c r="F2002" s="168"/>
      <c r="G2002" s="167" t="str">
        <f>PL!$B$15</f>
        <v>BIN: 230741006561</v>
      </c>
      <c r="H2002" s="123"/>
      <c r="I2002" s="123"/>
      <c r="J2002" s="123"/>
      <c r="K2002" s="123"/>
      <c r="L2002" s="123"/>
      <c r="M2002" s="123"/>
      <c r="N2002" s="126"/>
    </row>
    <row r="2003" spans="1:14" s="3" customFormat="1" ht="9.9" customHeight="1">
      <c r="A2003" s="125"/>
      <c r="B2003" s="123"/>
      <c r="C2003" s="123"/>
      <c r="D2003" s="123"/>
      <c r="E2003" s="123"/>
      <c r="F2003" s="169"/>
      <c r="G2003" s="169"/>
      <c r="H2003" s="123"/>
      <c r="I2003" s="123"/>
      <c r="J2003" s="123"/>
      <c r="K2003" s="123"/>
      <c r="L2003" s="123"/>
      <c r="M2003" s="123"/>
      <c r="N2003" s="126"/>
    </row>
    <row r="2004" spans="1:14" s="3" customFormat="1" ht="25.2">
      <c r="A2004" s="125" t="s">
        <v>1891</v>
      </c>
      <c r="B2004" s="123"/>
      <c r="C2004" s="123"/>
      <c r="D2004" s="123"/>
      <c r="E2004" s="123"/>
      <c r="F2004" s="167" t="s">
        <v>1892</v>
      </c>
      <c r="G2004" s="123"/>
      <c r="H2004" s="123"/>
      <c r="I2004" s="123"/>
      <c r="J2004" s="123"/>
      <c r="K2004" s="123"/>
      <c r="L2004" s="123"/>
      <c r="M2004" s="123"/>
      <c r="N2004" s="126"/>
    </row>
    <row r="2005" spans="1:14" s="4" customFormat="1" ht="25.2">
      <c r="A2005" s="125" t="s">
        <v>1893</v>
      </c>
      <c r="B2005" s="123"/>
      <c r="C2005" s="123"/>
      <c r="D2005" s="123"/>
      <c r="E2005" s="123"/>
      <c r="F2005" s="167" t="s">
        <v>1894</v>
      </c>
      <c r="G2005" s="123"/>
      <c r="H2005" s="123"/>
      <c r="I2005" s="123"/>
      <c r="J2005" s="123"/>
      <c r="K2005" s="123"/>
      <c r="L2005" s="123"/>
      <c r="M2005" s="123"/>
      <c r="N2005" s="126"/>
    </row>
    <row r="2006" spans="1:14" s="3" customFormat="1" ht="9.9" customHeight="1">
      <c r="A2006" s="125"/>
      <c r="B2006" s="123"/>
      <c r="C2006" s="123"/>
      <c r="D2006" s="123"/>
      <c r="E2006" s="123"/>
      <c r="F2006" s="167"/>
      <c r="G2006" s="123"/>
      <c r="H2006" s="123"/>
      <c r="I2006" s="123"/>
      <c r="J2006" s="123"/>
      <c r="K2006" s="123"/>
      <c r="L2006" s="123"/>
      <c r="M2006" s="123"/>
      <c r="N2006" s="126"/>
    </row>
    <row r="2007" spans="1:14" s="3" customFormat="1" ht="25.2">
      <c r="A2007" s="125" t="s">
        <v>1895</v>
      </c>
      <c r="B2007" s="123"/>
      <c r="C2007" s="123"/>
      <c r="D2007" s="123"/>
      <c r="E2007" s="123"/>
      <c r="F2007" s="167" t="s">
        <v>1896</v>
      </c>
      <c r="G2007" s="167" t="str">
        <f>PL!$V$8</f>
        <v>PGU-DE-0139-001</v>
      </c>
      <c r="H2007" s="123"/>
      <c r="I2007" s="123"/>
      <c r="J2007" s="123"/>
      <c r="K2007" s="123"/>
      <c r="L2007" s="123"/>
      <c r="M2007" s="123"/>
      <c r="N2007" s="126"/>
    </row>
    <row r="2008" spans="1:14" s="3" customFormat="1" ht="25.2">
      <c r="A2008" s="125" t="s">
        <v>1897</v>
      </c>
      <c r="B2008" s="123"/>
      <c r="C2008" s="123"/>
      <c r="D2008" s="123"/>
      <c r="E2008" s="123"/>
      <c r="F2008" s="167"/>
      <c r="G2008" s="123"/>
      <c r="H2008" s="123"/>
      <c r="I2008" s="123"/>
      <c r="J2008" s="123"/>
      <c r="K2008" s="123"/>
      <c r="L2008" s="123"/>
      <c r="M2008" s="123"/>
      <c r="N2008" s="126"/>
    </row>
    <row r="2009" spans="1:14" s="3" customFormat="1" ht="9.9" customHeight="1">
      <c r="A2009" s="125"/>
      <c r="B2009" s="123"/>
      <c r="C2009" s="123"/>
      <c r="D2009" s="123"/>
      <c r="E2009" s="123"/>
      <c r="F2009" s="167"/>
      <c r="G2009" s="123"/>
      <c r="H2009" s="123"/>
      <c r="I2009" s="123"/>
      <c r="J2009" s="123"/>
      <c r="K2009" s="123"/>
      <c r="L2009" s="123"/>
      <c r="M2009" s="123"/>
      <c r="N2009" s="126"/>
    </row>
    <row r="2010" spans="1:14" s="3" customFormat="1" ht="31.2" customHeight="1">
      <c r="A2010" s="127" t="s">
        <v>1898</v>
      </c>
      <c r="B2010" s="170"/>
      <c r="C2010" s="170"/>
      <c r="D2010" s="170"/>
      <c r="E2010" s="170"/>
      <c r="F2010" s="171" t="s">
        <v>1885</v>
      </c>
      <c r="G2010" s="597" t="e">
        <f>VLOOKUP(G2013, 'Detail PL'!$B$14:$Q$799,2)</f>
        <v>#N/A</v>
      </c>
      <c r="H2010" s="597"/>
      <c r="I2010" s="597"/>
      <c r="J2010" s="597"/>
      <c r="K2010" s="597"/>
      <c r="L2010" s="597"/>
      <c r="M2010" s="597"/>
      <c r="N2010" s="128"/>
    </row>
    <row r="2011" spans="1:14" s="3" customFormat="1" ht="25.2">
      <c r="A2011" s="127" t="s">
        <v>1899</v>
      </c>
      <c r="B2011" s="170"/>
      <c r="C2011" s="170"/>
      <c r="D2011" s="170"/>
      <c r="E2011" s="170"/>
      <c r="F2011" s="171"/>
      <c r="G2011" s="170"/>
      <c r="H2011" s="170"/>
      <c r="I2011" s="170"/>
      <c r="J2011" s="170"/>
      <c r="K2011" s="170"/>
      <c r="L2011" s="170"/>
      <c r="M2011" s="170"/>
      <c r="N2011" s="128"/>
    </row>
    <row r="2012" spans="1:14" s="3" customFormat="1" ht="9.9" customHeight="1">
      <c r="A2012" s="125"/>
      <c r="B2012" s="123"/>
      <c r="C2012" s="123"/>
      <c r="D2012" s="123"/>
      <c r="E2012" s="123"/>
      <c r="F2012" s="167"/>
      <c r="G2012" s="123"/>
      <c r="H2012" s="123"/>
      <c r="I2012" s="123"/>
      <c r="J2012" s="123"/>
      <c r="K2012" s="123"/>
      <c r="L2012" s="123"/>
      <c r="M2012" s="123"/>
      <c r="N2012" s="126"/>
    </row>
    <row r="2013" spans="1:14" s="3" customFormat="1" ht="25.2">
      <c r="A2013" s="125" t="s">
        <v>1900</v>
      </c>
      <c r="B2013" s="123"/>
      <c r="C2013" s="123"/>
      <c r="D2013" s="123"/>
      <c r="E2013" s="123"/>
      <c r="F2013" s="171" t="s">
        <v>1901</v>
      </c>
      <c r="G2013" s="604">
        <f t="shared" ref="G2013" si="55">G1978+1</f>
        <v>58</v>
      </c>
      <c r="H2013" s="604"/>
      <c r="I2013" s="604"/>
      <c r="J2013" s="604"/>
      <c r="K2013" s="604"/>
      <c r="L2013" s="123"/>
      <c r="M2013" s="123"/>
      <c r="N2013" s="126"/>
    </row>
    <row r="2014" spans="1:14" s="4" customFormat="1" ht="25.2">
      <c r="A2014" s="125" t="s">
        <v>1903</v>
      </c>
      <c r="B2014" s="123"/>
      <c r="C2014" s="123"/>
      <c r="D2014" s="123"/>
      <c r="E2014" s="123"/>
      <c r="F2014" s="167"/>
      <c r="G2014" s="167"/>
      <c r="H2014" s="123"/>
      <c r="I2014" s="123"/>
      <c r="J2014" s="123"/>
      <c r="K2014" s="123"/>
      <c r="L2014" s="123"/>
      <c r="M2014" s="123"/>
      <c r="N2014" s="126"/>
    </row>
    <row r="2015" spans="1:14" s="3" customFormat="1" ht="9.9" customHeight="1">
      <c r="A2015" s="125"/>
      <c r="B2015" s="123"/>
      <c r="C2015" s="123"/>
      <c r="D2015" s="123"/>
      <c r="E2015" s="123"/>
      <c r="F2015" s="167"/>
      <c r="G2015" s="167"/>
      <c r="H2015" s="123"/>
      <c r="I2015" s="123"/>
      <c r="J2015" s="123"/>
      <c r="K2015" s="123"/>
      <c r="L2015" s="123"/>
      <c r="M2015" s="123"/>
      <c r="N2015" s="126"/>
    </row>
    <row r="2016" spans="1:14" s="3" customFormat="1" ht="25.2">
      <c r="A2016" s="125" t="s">
        <v>1904</v>
      </c>
      <c r="B2016" s="123"/>
      <c r="C2016" s="123"/>
      <c r="D2016" s="123"/>
      <c r="E2016" s="123"/>
      <c r="F2016" s="167" t="s">
        <v>1896</v>
      </c>
      <c r="G2016" s="204" t="e">
        <f>VLOOKUP(G2013, 'Detail PL'!$B$14:$Q$799, 10)</f>
        <v>#N/A</v>
      </c>
      <c r="H2016" s="204" t="s">
        <v>1905</v>
      </c>
      <c r="I2016" s="204"/>
      <c r="J2016" s="204"/>
      <c r="K2016" s="123"/>
      <c r="L2016" s="123"/>
      <c r="M2016" s="123"/>
      <c r="N2016" s="126"/>
    </row>
    <row r="2017" spans="1:15" s="4" customFormat="1" ht="25.2">
      <c r="A2017" s="125" t="s">
        <v>1906</v>
      </c>
      <c r="B2017" s="123"/>
      <c r="C2017" s="123"/>
      <c r="D2017" s="123"/>
      <c r="E2017" s="123"/>
      <c r="F2017" s="167"/>
      <c r="G2017" s="167"/>
      <c r="H2017" s="167"/>
      <c r="I2017" s="123"/>
      <c r="J2017" s="123"/>
      <c r="K2017" s="123"/>
      <c r="L2017" s="123"/>
      <c r="M2017" s="123"/>
      <c r="N2017" s="126"/>
    </row>
    <row r="2018" spans="1:15" s="3" customFormat="1" ht="9.9" customHeight="1">
      <c r="A2018" s="125"/>
      <c r="B2018" s="123"/>
      <c r="C2018" s="123"/>
      <c r="D2018" s="123"/>
      <c r="E2018" s="123"/>
      <c r="F2018" s="167"/>
      <c r="G2018" s="167"/>
      <c r="H2018" s="167"/>
      <c r="I2018" s="123"/>
      <c r="J2018" s="123"/>
      <c r="K2018" s="123"/>
      <c r="L2018" s="123"/>
      <c r="M2018" s="123"/>
      <c r="N2018" s="126"/>
    </row>
    <row r="2019" spans="1:15" s="3" customFormat="1" ht="25.2">
      <c r="A2019" s="125" t="s">
        <v>1907</v>
      </c>
      <c r="B2019" s="123"/>
      <c r="C2019" s="123"/>
      <c r="D2019" s="123"/>
      <c r="E2019" s="123"/>
      <c r="F2019" s="167" t="s">
        <v>1896</v>
      </c>
      <c r="G2019" s="204" t="e">
        <f>VLOOKUP(G2013, 'Detail PL'!$B$14:$Q$799, 11)</f>
        <v>#N/A</v>
      </c>
      <c r="H2019" s="204" t="s">
        <v>1905</v>
      </c>
      <c r="I2019" s="204"/>
      <c r="J2019" s="204"/>
      <c r="K2019" s="123"/>
      <c r="L2019" s="123"/>
      <c r="M2019" s="123"/>
      <c r="N2019" s="126"/>
    </row>
    <row r="2020" spans="1:15" s="4" customFormat="1" ht="25.2">
      <c r="A2020" s="125" t="s">
        <v>1908</v>
      </c>
      <c r="B2020" s="123"/>
      <c r="C2020" s="123"/>
      <c r="D2020" s="123"/>
      <c r="E2020" s="123"/>
      <c r="F2020" s="167"/>
      <c r="G2020" s="167"/>
      <c r="H2020" s="123"/>
      <c r="I2020" s="123"/>
      <c r="J2020" s="123"/>
      <c r="K2020" s="123"/>
      <c r="L2020" s="123"/>
      <c r="M2020" s="123"/>
      <c r="N2020" s="126"/>
    </row>
    <row r="2021" spans="1:15" s="3" customFormat="1" ht="9.9" customHeight="1">
      <c r="A2021" s="125"/>
      <c r="B2021" s="123"/>
      <c r="C2021" s="123"/>
      <c r="D2021" s="123"/>
      <c r="E2021" s="123"/>
      <c r="F2021" s="167"/>
      <c r="G2021" s="167"/>
      <c r="H2021" s="123"/>
      <c r="I2021" s="123"/>
      <c r="J2021" s="123"/>
      <c r="K2021" s="123"/>
      <c r="L2021" s="123"/>
      <c r="M2021" s="123"/>
      <c r="N2021" s="126"/>
    </row>
    <row r="2022" spans="1:15" s="3" customFormat="1" ht="25.2">
      <c r="A2022" s="129" t="s">
        <v>1909</v>
      </c>
      <c r="B2022" s="123"/>
      <c r="C2022" s="123"/>
      <c r="D2022" s="123"/>
      <c r="E2022" s="123"/>
      <c r="F2022" s="167" t="s">
        <v>1896</v>
      </c>
      <c r="G2022" s="204" t="e">
        <f>VLOOKUP(G2013, 'Detail PL'!$B$14:$Q$799, 9)</f>
        <v>#N/A</v>
      </c>
      <c r="H2022" s="205" t="s">
        <v>1910</v>
      </c>
      <c r="I2022" s="203"/>
      <c r="J2022" s="203"/>
      <c r="K2022" s="172"/>
      <c r="L2022" s="123"/>
      <c r="M2022" s="123"/>
      <c r="N2022" s="126"/>
    </row>
    <row r="2023" spans="1:15" s="4" customFormat="1" ht="25.2">
      <c r="A2023" s="125" t="s">
        <v>1911</v>
      </c>
      <c r="B2023" s="123"/>
      <c r="C2023" s="123"/>
      <c r="D2023" s="123"/>
      <c r="E2023" s="123"/>
      <c r="F2023" s="167"/>
      <c r="G2023" s="167"/>
      <c r="H2023" s="123"/>
      <c r="I2023" s="123"/>
      <c r="J2023" s="123"/>
      <c r="K2023" s="123"/>
      <c r="L2023" s="123"/>
      <c r="M2023" s="123"/>
      <c r="N2023" s="126"/>
    </row>
    <row r="2024" spans="1:15" s="3" customFormat="1" ht="9.9" customHeight="1">
      <c r="A2024" s="125"/>
      <c r="B2024" s="123"/>
      <c r="C2024" s="123"/>
      <c r="D2024" s="123"/>
      <c r="E2024" s="123"/>
      <c r="F2024" s="167"/>
      <c r="G2024" s="167"/>
      <c r="H2024" s="123"/>
      <c r="I2024" s="123"/>
      <c r="J2024" s="123"/>
      <c r="K2024" s="123"/>
      <c r="L2024" s="123"/>
      <c r="M2024" s="123"/>
      <c r="N2024" s="126"/>
    </row>
    <row r="2025" spans="1:15" s="3" customFormat="1" ht="42" customHeight="1">
      <c r="A2025" s="125" t="s">
        <v>1912</v>
      </c>
      <c r="B2025" s="123"/>
      <c r="C2025" s="123"/>
      <c r="D2025" s="123"/>
      <c r="E2025" s="123"/>
      <c r="F2025" s="166" t="s">
        <v>1913</v>
      </c>
      <c r="G2025" s="595" t="s">
        <v>1914</v>
      </c>
      <c r="H2025" s="595"/>
      <c r="I2025" s="595"/>
      <c r="J2025" s="595"/>
      <c r="K2025" s="595"/>
      <c r="L2025" s="595"/>
      <c r="M2025" s="595"/>
      <c r="N2025" s="596"/>
    </row>
    <row r="2026" spans="1:15" s="4" customFormat="1" ht="25.8" thickBot="1">
      <c r="A2026" s="125" t="s">
        <v>1915</v>
      </c>
      <c r="B2026" s="123"/>
      <c r="C2026" s="123"/>
      <c r="D2026" s="123"/>
      <c r="E2026" s="123"/>
      <c r="F2026" s="167"/>
      <c r="G2026" s="167"/>
      <c r="H2026" s="123"/>
      <c r="I2026" s="123"/>
      <c r="J2026" s="123"/>
      <c r="K2026" s="123"/>
      <c r="L2026" s="123"/>
      <c r="M2026" s="123"/>
      <c r="N2026" s="126"/>
    </row>
    <row r="2027" spans="1:15" ht="21" customHeight="1">
      <c r="A2027" s="598" t="s">
        <v>1916</v>
      </c>
      <c r="B2027" s="599"/>
      <c r="C2027" s="599"/>
      <c r="D2027" s="599"/>
      <c r="E2027" s="599"/>
      <c r="F2027" s="599"/>
      <c r="G2027" s="599"/>
      <c r="H2027" s="599"/>
      <c r="I2027" s="599"/>
      <c r="J2027" s="599"/>
      <c r="K2027" s="599"/>
      <c r="L2027" s="599"/>
      <c r="M2027" s="599"/>
      <c r="N2027" s="600"/>
    </row>
    <row r="2028" spans="1:15" ht="25.5" customHeight="1" thickBot="1">
      <c r="A2028" s="601"/>
      <c r="B2028" s="602"/>
      <c r="C2028" s="602"/>
      <c r="D2028" s="602"/>
      <c r="E2028" s="602"/>
      <c r="F2028" s="602"/>
      <c r="G2028" s="602"/>
      <c r="H2028" s="602"/>
      <c r="I2028" s="602"/>
      <c r="J2028" s="602"/>
      <c r="K2028" s="602"/>
      <c r="L2028" s="602"/>
      <c r="M2028" s="602"/>
      <c r="N2028" s="603"/>
    </row>
    <row r="2029" spans="1:15" ht="25.5" customHeight="1">
      <c r="E2029" s="206"/>
      <c r="F2029" s="206"/>
      <c r="G2029" s="206"/>
      <c r="H2029" s="206"/>
      <c r="I2029" s="206"/>
      <c r="J2029" s="206"/>
      <c r="K2029" s="206"/>
    </row>
    <row r="2030" spans="1:15" ht="21.6" thickBot="1"/>
    <row r="2031" spans="1:15" ht="95.25" customHeight="1" thickBot="1">
      <c r="A2031" s="592" t="s">
        <v>1883</v>
      </c>
      <c r="B2031" s="593"/>
      <c r="C2031" s="593"/>
      <c r="D2031" s="593"/>
      <c r="E2031" s="593"/>
      <c r="F2031" s="593"/>
      <c r="G2031" s="593"/>
      <c r="H2031" s="593"/>
      <c r="I2031" s="593"/>
      <c r="J2031" s="593"/>
      <c r="K2031" s="593"/>
      <c r="L2031" s="593"/>
      <c r="M2031" s="593"/>
      <c r="N2031" s="594"/>
    </row>
    <row r="2032" spans="1:15" s="3" customFormat="1" ht="37.5" customHeight="1">
      <c r="A2032" s="134" t="s">
        <v>1884</v>
      </c>
      <c r="B2032" s="166"/>
      <c r="C2032" s="166"/>
      <c r="D2032" s="123"/>
      <c r="E2032" s="123"/>
      <c r="F2032" s="167" t="s">
        <v>1885</v>
      </c>
      <c r="G2032" s="167" t="s">
        <v>1886</v>
      </c>
      <c r="H2032" s="167"/>
      <c r="I2032" s="167"/>
      <c r="J2032" s="167"/>
      <c r="K2032" s="167"/>
      <c r="L2032" s="167"/>
      <c r="M2032" s="167"/>
      <c r="N2032" s="152"/>
      <c r="O2032" s="201"/>
    </row>
    <row r="2033" spans="1:14" s="4" customFormat="1" ht="25.2">
      <c r="A2033" s="125" t="s">
        <v>1887</v>
      </c>
      <c r="B2033" s="123"/>
      <c r="C2033" s="123"/>
      <c r="D2033" s="123"/>
      <c r="E2033" s="123"/>
      <c r="F2033" s="167"/>
      <c r="G2033" s="167" t="s">
        <v>1888</v>
      </c>
      <c r="H2033" s="167"/>
      <c r="I2033" s="167"/>
      <c r="J2033" s="167"/>
      <c r="K2033" s="167"/>
      <c r="L2033" s="167"/>
      <c r="M2033" s="167"/>
      <c r="N2033" s="152"/>
    </row>
    <row r="2034" spans="1:14" s="3" customFormat="1" ht="9.9" customHeight="1">
      <c r="A2034" s="125"/>
      <c r="B2034" s="123"/>
      <c r="C2034" s="123"/>
      <c r="D2034" s="123"/>
      <c r="E2034" s="123"/>
      <c r="F2034" s="167"/>
      <c r="G2034" s="123"/>
      <c r="H2034" s="123"/>
      <c r="I2034" s="123"/>
      <c r="J2034" s="123"/>
      <c r="K2034" s="123"/>
      <c r="L2034" s="123"/>
      <c r="M2034" s="123"/>
      <c r="N2034" s="126"/>
    </row>
    <row r="2035" spans="1:14" s="3" customFormat="1" ht="42.75" customHeight="1">
      <c r="A2035" s="125" t="s">
        <v>1889</v>
      </c>
      <c r="B2035" s="123"/>
      <c r="C2035" s="123"/>
      <c r="D2035" s="123"/>
      <c r="E2035" s="123"/>
      <c r="F2035" s="167" t="s">
        <v>1885</v>
      </c>
      <c r="G2035" s="167" t="str">
        <f>PL!$B$13</f>
        <v>Branch of JSC "Doosan Enerbility" in the Turkestan region</v>
      </c>
      <c r="H2035" s="123"/>
      <c r="I2035" s="123"/>
      <c r="J2035" s="123"/>
      <c r="K2035" s="123"/>
      <c r="L2035" s="123"/>
      <c r="M2035" s="123"/>
      <c r="N2035" s="126"/>
    </row>
    <row r="2036" spans="1:14" s="3" customFormat="1" ht="24" customHeight="1">
      <c r="A2036" s="125" t="s">
        <v>1890</v>
      </c>
      <c r="B2036" s="123"/>
      <c r="C2036" s="123"/>
      <c r="D2036" s="123"/>
      <c r="E2036" s="123"/>
      <c r="F2036" s="168"/>
      <c r="G2036" s="167" t="str">
        <f>PL!$B$14</f>
        <v>321 Tauke Khan Avenue, Turkestan region, Turkestan, Kazakhstan, 161200</v>
      </c>
      <c r="H2036" s="123"/>
      <c r="I2036" s="123"/>
      <c r="J2036" s="123"/>
      <c r="K2036" s="123"/>
      <c r="L2036" s="123"/>
      <c r="M2036" s="123"/>
      <c r="N2036" s="126"/>
    </row>
    <row r="2037" spans="1:14" s="4" customFormat="1" ht="25.2">
      <c r="A2037" s="125"/>
      <c r="B2037" s="123"/>
      <c r="C2037" s="123"/>
      <c r="D2037" s="123"/>
      <c r="E2037" s="123"/>
      <c r="F2037" s="168"/>
      <c r="G2037" s="167" t="str">
        <f>PL!$B$15</f>
        <v>BIN: 230741006561</v>
      </c>
      <c r="H2037" s="123"/>
      <c r="I2037" s="123"/>
      <c r="J2037" s="123"/>
      <c r="K2037" s="123"/>
      <c r="L2037" s="123"/>
      <c r="M2037" s="123"/>
      <c r="N2037" s="126"/>
    </row>
    <row r="2038" spans="1:14" s="3" customFormat="1" ht="9.9" customHeight="1">
      <c r="A2038" s="125"/>
      <c r="B2038" s="123"/>
      <c r="C2038" s="123"/>
      <c r="D2038" s="123"/>
      <c r="E2038" s="123"/>
      <c r="F2038" s="169"/>
      <c r="G2038" s="169"/>
      <c r="H2038" s="123"/>
      <c r="I2038" s="123"/>
      <c r="J2038" s="123"/>
      <c r="K2038" s="123"/>
      <c r="L2038" s="123"/>
      <c r="M2038" s="123"/>
      <c r="N2038" s="126"/>
    </row>
    <row r="2039" spans="1:14" s="3" customFormat="1" ht="25.2">
      <c r="A2039" s="125" t="s">
        <v>1891</v>
      </c>
      <c r="B2039" s="123"/>
      <c r="C2039" s="123"/>
      <c r="D2039" s="123"/>
      <c r="E2039" s="123"/>
      <c r="F2039" s="167" t="s">
        <v>1892</v>
      </c>
      <c r="G2039" s="123"/>
      <c r="H2039" s="123"/>
      <c r="I2039" s="123"/>
      <c r="J2039" s="123"/>
      <c r="K2039" s="123"/>
      <c r="L2039" s="123"/>
      <c r="M2039" s="123"/>
      <c r="N2039" s="126"/>
    </row>
    <row r="2040" spans="1:14" s="4" customFormat="1" ht="25.2">
      <c r="A2040" s="125" t="s">
        <v>1893</v>
      </c>
      <c r="B2040" s="123"/>
      <c r="C2040" s="123"/>
      <c r="D2040" s="123"/>
      <c r="E2040" s="123"/>
      <c r="F2040" s="167" t="s">
        <v>1894</v>
      </c>
      <c r="G2040" s="123"/>
      <c r="H2040" s="123"/>
      <c r="I2040" s="123"/>
      <c r="J2040" s="123"/>
      <c r="K2040" s="123"/>
      <c r="L2040" s="123"/>
      <c r="M2040" s="123"/>
      <c r="N2040" s="126"/>
    </row>
    <row r="2041" spans="1:14" s="3" customFormat="1" ht="9.9" customHeight="1">
      <c r="A2041" s="125"/>
      <c r="B2041" s="123"/>
      <c r="C2041" s="123"/>
      <c r="D2041" s="123"/>
      <c r="E2041" s="123"/>
      <c r="F2041" s="167"/>
      <c r="G2041" s="123"/>
      <c r="H2041" s="123"/>
      <c r="I2041" s="123"/>
      <c r="J2041" s="123"/>
      <c r="K2041" s="123"/>
      <c r="L2041" s="123"/>
      <c r="M2041" s="123"/>
      <c r="N2041" s="126"/>
    </row>
    <row r="2042" spans="1:14" s="3" customFormat="1" ht="25.2">
      <c r="A2042" s="125" t="s">
        <v>1895</v>
      </c>
      <c r="B2042" s="123"/>
      <c r="C2042" s="123"/>
      <c r="D2042" s="123"/>
      <c r="E2042" s="123"/>
      <c r="F2042" s="167" t="s">
        <v>1896</v>
      </c>
      <c r="G2042" s="167" t="str">
        <f>PL!$V$8</f>
        <v>PGU-DE-0139-001</v>
      </c>
      <c r="H2042" s="123"/>
      <c r="I2042" s="123"/>
      <c r="J2042" s="123"/>
      <c r="K2042" s="123"/>
      <c r="L2042" s="123"/>
      <c r="M2042" s="123"/>
      <c r="N2042" s="126"/>
    </row>
    <row r="2043" spans="1:14" s="3" customFormat="1" ht="25.2">
      <c r="A2043" s="125" t="s">
        <v>1897</v>
      </c>
      <c r="B2043" s="123"/>
      <c r="C2043" s="123"/>
      <c r="D2043" s="123"/>
      <c r="E2043" s="123"/>
      <c r="F2043" s="167"/>
      <c r="G2043" s="123"/>
      <c r="H2043" s="123"/>
      <c r="I2043" s="123"/>
      <c r="J2043" s="123"/>
      <c r="K2043" s="123"/>
      <c r="L2043" s="123"/>
      <c r="M2043" s="123"/>
      <c r="N2043" s="126"/>
    </row>
    <row r="2044" spans="1:14" s="3" customFormat="1" ht="9.9" customHeight="1">
      <c r="A2044" s="125"/>
      <c r="B2044" s="123"/>
      <c r="C2044" s="123"/>
      <c r="D2044" s="123"/>
      <c r="E2044" s="123"/>
      <c r="F2044" s="167"/>
      <c r="G2044" s="123"/>
      <c r="H2044" s="123"/>
      <c r="I2044" s="123"/>
      <c r="J2044" s="123"/>
      <c r="K2044" s="123"/>
      <c r="L2044" s="123"/>
      <c r="M2044" s="123"/>
      <c r="N2044" s="126"/>
    </row>
    <row r="2045" spans="1:14" s="3" customFormat="1" ht="31.2" customHeight="1">
      <c r="A2045" s="127" t="s">
        <v>1898</v>
      </c>
      <c r="B2045" s="170"/>
      <c r="C2045" s="170"/>
      <c r="D2045" s="170"/>
      <c r="E2045" s="170"/>
      <c r="F2045" s="171" t="s">
        <v>1885</v>
      </c>
      <c r="G2045" s="597" t="e">
        <f>VLOOKUP(G2048, 'Detail PL'!$B$14:$Q$799,2)</f>
        <v>#N/A</v>
      </c>
      <c r="H2045" s="597"/>
      <c r="I2045" s="597"/>
      <c r="J2045" s="597"/>
      <c r="K2045" s="597"/>
      <c r="L2045" s="597"/>
      <c r="M2045" s="597"/>
      <c r="N2045" s="128"/>
    </row>
    <row r="2046" spans="1:14" s="3" customFormat="1" ht="25.2">
      <c r="A2046" s="127" t="s">
        <v>1899</v>
      </c>
      <c r="B2046" s="170"/>
      <c r="C2046" s="170"/>
      <c r="D2046" s="170"/>
      <c r="E2046" s="170"/>
      <c r="F2046" s="171"/>
      <c r="G2046" s="170"/>
      <c r="H2046" s="170"/>
      <c r="I2046" s="170"/>
      <c r="J2046" s="170"/>
      <c r="K2046" s="170"/>
      <c r="L2046" s="170"/>
      <c r="M2046" s="170"/>
      <c r="N2046" s="128"/>
    </row>
    <row r="2047" spans="1:14" s="3" customFormat="1" ht="9.9" customHeight="1">
      <c r="A2047" s="125"/>
      <c r="B2047" s="123"/>
      <c r="C2047" s="123"/>
      <c r="D2047" s="123"/>
      <c r="E2047" s="123"/>
      <c r="F2047" s="167"/>
      <c r="G2047" s="123"/>
      <c r="H2047" s="123"/>
      <c r="I2047" s="123"/>
      <c r="J2047" s="123"/>
      <c r="K2047" s="123"/>
      <c r="L2047" s="123"/>
      <c r="M2047" s="123"/>
      <c r="N2047" s="126"/>
    </row>
    <row r="2048" spans="1:14" s="3" customFormat="1" ht="25.2">
      <c r="A2048" s="125" t="s">
        <v>1900</v>
      </c>
      <c r="B2048" s="123"/>
      <c r="C2048" s="123"/>
      <c r="D2048" s="123"/>
      <c r="E2048" s="123"/>
      <c r="F2048" s="171" t="s">
        <v>1901</v>
      </c>
      <c r="G2048" s="604">
        <f t="shared" ref="G2048" si="56">G2013+1</f>
        <v>59</v>
      </c>
      <c r="H2048" s="604"/>
      <c r="I2048" s="604"/>
      <c r="J2048" s="604"/>
      <c r="K2048" s="604"/>
      <c r="L2048" s="123"/>
      <c r="M2048" s="123"/>
      <c r="N2048" s="126"/>
    </row>
    <row r="2049" spans="1:14" s="4" customFormat="1" ht="25.2">
      <c r="A2049" s="125" t="s">
        <v>1903</v>
      </c>
      <c r="B2049" s="123"/>
      <c r="C2049" s="123"/>
      <c r="D2049" s="123"/>
      <c r="E2049" s="123"/>
      <c r="F2049" s="167"/>
      <c r="G2049" s="167"/>
      <c r="H2049" s="123"/>
      <c r="I2049" s="123"/>
      <c r="J2049" s="123"/>
      <c r="K2049" s="123"/>
      <c r="L2049" s="123"/>
      <c r="M2049" s="123"/>
      <c r="N2049" s="126"/>
    </row>
    <row r="2050" spans="1:14" s="3" customFormat="1" ht="9.9" customHeight="1">
      <c r="A2050" s="125"/>
      <c r="B2050" s="123"/>
      <c r="C2050" s="123"/>
      <c r="D2050" s="123"/>
      <c r="E2050" s="123"/>
      <c r="F2050" s="167"/>
      <c r="G2050" s="167"/>
      <c r="H2050" s="123"/>
      <c r="I2050" s="123"/>
      <c r="J2050" s="123"/>
      <c r="K2050" s="123"/>
      <c r="L2050" s="123"/>
      <c r="M2050" s="123"/>
      <c r="N2050" s="126"/>
    </row>
    <row r="2051" spans="1:14" s="3" customFormat="1" ht="25.2">
      <c r="A2051" s="125" t="s">
        <v>1904</v>
      </c>
      <c r="B2051" s="123"/>
      <c r="C2051" s="123"/>
      <c r="D2051" s="123"/>
      <c r="E2051" s="123"/>
      <c r="F2051" s="167" t="s">
        <v>1896</v>
      </c>
      <c r="G2051" s="204" t="e">
        <f>VLOOKUP(G2048, 'Detail PL'!$B$14:$Q$799, 10)</f>
        <v>#N/A</v>
      </c>
      <c r="H2051" s="204" t="s">
        <v>1905</v>
      </c>
      <c r="I2051" s="204"/>
      <c r="J2051" s="204"/>
      <c r="K2051" s="123"/>
      <c r="L2051" s="123"/>
      <c r="M2051" s="123"/>
      <c r="N2051" s="126"/>
    </row>
    <row r="2052" spans="1:14" s="4" customFormat="1" ht="25.2">
      <c r="A2052" s="125" t="s">
        <v>1906</v>
      </c>
      <c r="B2052" s="123"/>
      <c r="C2052" s="123"/>
      <c r="D2052" s="123"/>
      <c r="E2052" s="123"/>
      <c r="F2052" s="167"/>
      <c r="G2052" s="167"/>
      <c r="H2052" s="167"/>
      <c r="I2052" s="123"/>
      <c r="J2052" s="123"/>
      <c r="K2052" s="123"/>
      <c r="L2052" s="123"/>
      <c r="M2052" s="123"/>
      <c r="N2052" s="126"/>
    </row>
    <row r="2053" spans="1:14" s="3" customFormat="1" ht="9.9" customHeight="1">
      <c r="A2053" s="125"/>
      <c r="B2053" s="123"/>
      <c r="C2053" s="123"/>
      <c r="D2053" s="123"/>
      <c r="E2053" s="123"/>
      <c r="F2053" s="167"/>
      <c r="G2053" s="167"/>
      <c r="H2053" s="167"/>
      <c r="I2053" s="123"/>
      <c r="J2053" s="123"/>
      <c r="K2053" s="123"/>
      <c r="L2053" s="123"/>
      <c r="M2053" s="123"/>
      <c r="N2053" s="126"/>
    </row>
    <row r="2054" spans="1:14" s="3" customFormat="1" ht="25.2">
      <c r="A2054" s="125" t="s">
        <v>1907</v>
      </c>
      <c r="B2054" s="123"/>
      <c r="C2054" s="123"/>
      <c r="D2054" s="123"/>
      <c r="E2054" s="123"/>
      <c r="F2054" s="167" t="s">
        <v>1896</v>
      </c>
      <c r="G2054" s="204" t="e">
        <f>VLOOKUP(G2048, 'Detail PL'!$B$14:$Q$799, 11)</f>
        <v>#N/A</v>
      </c>
      <c r="H2054" s="204" t="s">
        <v>1905</v>
      </c>
      <c r="I2054" s="204"/>
      <c r="J2054" s="204"/>
      <c r="K2054" s="123"/>
      <c r="L2054" s="123"/>
      <c r="M2054" s="123"/>
      <c r="N2054" s="126"/>
    </row>
    <row r="2055" spans="1:14" s="4" customFormat="1" ht="25.2">
      <c r="A2055" s="125" t="s">
        <v>1908</v>
      </c>
      <c r="B2055" s="123"/>
      <c r="C2055" s="123"/>
      <c r="D2055" s="123"/>
      <c r="E2055" s="123"/>
      <c r="F2055" s="167"/>
      <c r="G2055" s="167"/>
      <c r="H2055" s="123"/>
      <c r="I2055" s="123"/>
      <c r="J2055" s="123"/>
      <c r="K2055" s="123"/>
      <c r="L2055" s="123"/>
      <c r="M2055" s="123"/>
      <c r="N2055" s="126"/>
    </row>
    <row r="2056" spans="1:14" s="3" customFormat="1" ht="9.9" customHeight="1">
      <c r="A2056" s="125"/>
      <c r="B2056" s="123"/>
      <c r="C2056" s="123"/>
      <c r="D2056" s="123"/>
      <c r="E2056" s="123"/>
      <c r="F2056" s="167"/>
      <c r="G2056" s="167"/>
      <c r="H2056" s="123"/>
      <c r="I2056" s="123"/>
      <c r="J2056" s="123"/>
      <c r="K2056" s="123"/>
      <c r="L2056" s="123"/>
      <c r="M2056" s="123"/>
      <c r="N2056" s="126"/>
    </row>
    <row r="2057" spans="1:14" s="3" customFormat="1" ht="25.2">
      <c r="A2057" s="129" t="s">
        <v>1909</v>
      </c>
      <c r="B2057" s="123"/>
      <c r="C2057" s="123"/>
      <c r="D2057" s="123"/>
      <c r="E2057" s="123"/>
      <c r="F2057" s="167" t="s">
        <v>1896</v>
      </c>
      <c r="G2057" s="204" t="e">
        <f>VLOOKUP(G2048, 'Detail PL'!$B$14:$Q$799, 9)</f>
        <v>#N/A</v>
      </c>
      <c r="H2057" s="205" t="s">
        <v>1910</v>
      </c>
      <c r="I2057" s="203"/>
      <c r="J2057" s="203"/>
      <c r="K2057" s="172"/>
      <c r="L2057" s="123"/>
      <c r="M2057" s="123"/>
      <c r="N2057" s="126"/>
    </row>
    <row r="2058" spans="1:14" s="4" customFormat="1" ht="25.2">
      <c r="A2058" s="125" t="s">
        <v>1911</v>
      </c>
      <c r="B2058" s="123"/>
      <c r="C2058" s="123"/>
      <c r="D2058" s="123"/>
      <c r="E2058" s="123"/>
      <c r="F2058" s="167"/>
      <c r="G2058" s="167"/>
      <c r="H2058" s="123"/>
      <c r="I2058" s="123"/>
      <c r="J2058" s="123"/>
      <c r="K2058" s="123"/>
      <c r="L2058" s="123"/>
      <c r="M2058" s="123"/>
      <c r="N2058" s="126"/>
    </row>
    <row r="2059" spans="1:14" s="3" customFormat="1" ht="9.9" customHeight="1">
      <c r="A2059" s="125"/>
      <c r="B2059" s="123"/>
      <c r="C2059" s="123"/>
      <c r="D2059" s="123"/>
      <c r="E2059" s="123"/>
      <c r="F2059" s="167"/>
      <c r="G2059" s="167"/>
      <c r="H2059" s="123"/>
      <c r="I2059" s="123"/>
      <c r="J2059" s="123"/>
      <c r="K2059" s="123"/>
      <c r="L2059" s="123"/>
      <c r="M2059" s="123"/>
      <c r="N2059" s="126"/>
    </row>
    <row r="2060" spans="1:14" s="3" customFormat="1" ht="42" customHeight="1">
      <c r="A2060" s="125" t="s">
        <v>1912</v>
      </c>
      <c r="B2060" s="123"/>
      <c r="C2060" s="123"/>
      <c r="D2060" s="123"/>
      <c r="E2060" s="123"/>
      <c r="F2060" s="166" t="s">
        <v>1913</v>
      </c>
      <c r="G2060" s="595" t="s">
        <v>1914</v>
      </c>
      <c r="H2060" s="595"/>
      <c r="I2060" s="595"/>
      <c r="J2060" s="595"/>
      <c r="K2060" s="595"/>
      <c r="L2060" s="595"/>
      <c r="M2060" s="595"/>
      <c r="N2060" s="596"/>
    </row>
    <row r="2061" spans="1:14" s="4" customFormat="1" ht="25.8" thickBot="1">
      <c r="A2061" s="125" t="s">
        <v>1915</v>
      </c>
      <c r="B2061" s="123"/>
      <c r="C2061" s="123"/>
      <c r="D2061" s="123"/>
      <c r="E2061" s="123"/>
      <c r="F2061" s="167"/>
      <c r="G2061" s="167"/>
      <c r="H2061" s="123"/>
      <c r="I2061" s="123"/>
      <c r="J2061" s="123"/>
      <c r="K2061" s="123"/>
      <c r="L2061" s="123"/>
      <c r="M2061" s="123"/>
      <c r="N2061" s="126"/>
    </row>
    <row r="2062" spans="1:14" ht="21" customHeight="1">
      <c r="A2062" s="598" t="s">
        <v>1916</v>
      </c>
      <c r="B2062" s="599"/>
      <c r="C2062" s="599"/>
      <c r="D2062" s="599"/>
      <c r="E2062" s="599"/>
      <c r="F2062" s="599"/>
      <c r="G2062" s="599"/>
      <c r="H2062" s="599"/>
      <c r="I2062" s="599"/>
      <c r="J2062" s="599"/>
      <c r="K2062" s="599"/>
      <c r="L2062" s="599"/>
      <c r="M2062" s="599"/>
      <c r="N2062" s="600"/>
    </row>
    <row r="2063" spans="1:14" ht="25.5" customHeight="1" thickBot="1">
      <c r="A2063" s="601"/>
      <c r="B2063" s="602"/>
      <c r="C2063" s="602"/>
      <c r="D2063" s="602"/>
      <c r="E2063" s="602"/>
      <c r="F2063" s="602"/>
      <c r="G2063" s="602"/>
      <c r="H2063" s="602"/>
      <c r="I2063" s="602"/>
      <c r="J2063" s="602"/>
      <c r="K2063" s="602"/>
      <c r="L2063" s="602"/>
      <c r="M2063" s="602"/>
      <c r="N2063" s="603"/>
    </row>
    <row r="2064" spans="1:14" ht="25.5" customHeight="1">
      <c r="E2064" s="206"/>
      <c r="F2064" s="206"/>
      <c r="G2064" s="206"/>
      <c r="H2064" s="206"/>
      <c r="I2064" s="206"/>
      <c r="J2064" s="206"/>
      <c r="K2064" s="206"/>
    </row>
    <row r="2065" spans="1:15" ht="21.6" thickBot="1"/>
    <row r="2066" spans="1:15" ht="95.25" customHeight="1" thickBot="1">
      <c r="A2066" s="592" t="s">
        <v>1883</v>
      </c>
      <c r="B2066" s="593"/>
      <c r="C2066" s="593"/>
      <c r="D2066" s="593"/>
      <c r="E2066" s="593"/>
      <c r="F2066" s="593"/>
      <c r="G2066" s="593"/>
      <c r="H2066" s="593"/>
      <c r="I2066" s="593"/>
      <c r="J2066" s="593"/>
      <c r="K2066" s="593"/>
      <c r="L2066" s="593"/>
      <c r="M2066" s="593"/>
      <c r="N2066" s="594"/>
    </row>
    <row r="2067" spans="1:15" s="3" customFormat="1" ht="37.5" customHeight="1">
      <c r="A2067" s="134" t="s">
        <v>1884</v>
      </c>
      <c r="B2067" s="166"/>
      <c r="C2067" s="166"/>
      <c r="D2067" s="123"/>
      <c r="E2067" s="123"/>
      <c r="F2067" s="167" t="s">
        <v>1885</v>
      </c>
      <c r="G2067" s="167" t="s">
        <v>1886</v>
      </c>
      <c r="H2067" s="167"/>
      <c r="I2067" s="167"/>
      <c r="J2067" s="167"/>
      <c r="K2067" s="167"/>
      <c r="L2067" s="167"/>
      <c r="M2067" s="167"/>
      <c r="N2067" s="152"/>
      <c r="O2067" s="201"/>
    </row>
    <row r="2068" spans="1:15" s="4" customFormat="1" ht="25.2">
      <c r="A2068" s="125" t="s">
        <v>1887</v>
      </c>
      <c r="B2068" s="123"/>
      <c r="C2068" s="123"/>
      <c r="D2068" s="123"/>
      <c r="E2068" s="123"/>
      <c r="F2068" s="167"/>
      <c r="G2068" s="167" t="s">
        <v>1888</v>
      </c>
      <c r="H2068" s="167"/>
      <c r="I2068" s="167"/>
      <c r="J2068" s="167"/>
      <c r="K2068" s="167"/>
      <c r="L2068" s="167"/>
      <c r="M2068" s="167"/>
      <c r="N2068" s="152"/>
    </row>
    <row r="2069" spans="1:15" s="3" customFormat="1" ht="9.9" customHeight="1">
      <c r="A2069" s="125"/>
      <c r="B2069" s="123"/>
      <c r="C2069" s="123"/>
      <c r="D2069" s="123"/>
      <c r="E2069" s="123"/>
      <c r="F2069" s="167"/>
      <c r="G2069" s="123"/>
      <c r="H2069" s="123"/>
      <c r="I2069" s="123"/>
      <c r="J2069" s="123"/>
      <c r="K2069" s="123"/>
      <c r="L2069" s="123"/>
      <c r="M2069" s="123"/>
      <c r="N2069" s="126"/>
    </row>
    <row r="2070" spans="1:15" s="3" customFormat="1" ht="42.75" customHeight="1">
      <c r="A2070" s="125" t="s">
        <v>1889</v>
      </c>
      <c r="B2070" s="123"/>
      <c r="C2070" s="123"/>
      <c r="D2070" s="123"/>
      <c r="E2070" s="123"/>
      <c r="F2070" s="167" t="s">
        <v>1885</v>
      </c>
      <c r="G2070" s="167" t="str">
        <f>PL!$B$13</f>
        <v>Branch of JSC "Doosan Enerbility" in the Turkestan region</v>
      </c>
      <c r="H2070" s="123"/>
      <c r="I2070" s="123"/>
      <c r="J2070" s="123"/>
      <c r="K2070" s="123"/>
      <c r="L2070" s="123"/>
      <c r="M2070" s="123"/>
      <c r="N2070" s="126"/>
    </row>
    <row r="2071" spans="1:15" s="3" customFormat="1" ht="24" customHeight="1">
      <c r="A2071" s="125" t="s">
        <v>1890</v>
      </c>
      <c r="B2071" s="123"/>
      <c r="C2071" s="123"/>
      <c r="D2071" s="123"/>
      <c r="E2071" s="123"/>
      <c r="F2071" s="168"/>
      <c r="G2071" s="167" t="str">
        <f>PL!$B$14</f>
        <v>321 Tauke Khan Avenue, Turkestan region, Turkestan, Kazakhstan, 161200</v>
      </c>
      <c r="H2071" s="123"/>
      <c r="I2071" s="123"/>
      <c r="J2071" s="123"/>
      <c r="K2071" s="123"/>
      <c r="L2071" s="123"/>
      <c r="M2071" s="123"/>
      <c r="N2071" s="126"/>
    </row>
    <row r="2072" spans="1:15" s="4" customFormat="1" ht="25.2">
      <c r="A2072" s="125"/>
      <c r="B2072" s="123"/>
      <c r="C2072" s="123"/>
      <c r="D2072" s="123"/>
      <c r="E2072" s="123"/>
      <c r="F2072" s="168"/>
      <c r="G2072" s="167" t="str">
        <f>PL!$B$15</f>
        <v>BIN: 230741006561</v>
      </c>
      <c r="H2072" s="123"/>
      <c r="I2072" s="123"/>
      <c r="J2072" s="123"/>
      <c r="K2072" s="123"/>
      <c r="L2072" s="123"/>
      <c r="M2072" s="123"/>
      <c r="N2072" s="126"/>
    </row>
    <row r="2073" spans="1:15" s="3" customFormat="1" ht="9.9" customHeight="1">
      <c r="A2073" s="125"/>
      <c r="B2073" s="123"/>
      <c r="C2073" s="123"/>
      <c r="D2073" s="123"/>
      <c r="E2073" s="123"/>
      <c r="F2073" s="169"/>
      <c r="G2073" s="169"/>
      <c r="H2073" s="123"/>
      <c r="I2073" s="123"/>
      <c r="J2073" s="123"/>
      <c r="K2073" s="123"/>
      <c r="L2073" s="123"/>
      <c r="M2073" s="123"/>
      <c r="N2073" s="126"/>
    </row>
    <row r="2074" spans="1:15" s="3" customFormat="1" ht="25.2">
      <c r="A2074" s="125" t="s">
        <v>1891</v>
      </c>
      <c r="B2074" s="123"/>
      <c r="C2074" s="123"/>
      <c r="D2074" s="123"/>
      <c r="E2074" s="123"/>
      <c r="F2074" s="167" t="s">
        <v>1892</v>
      </c>
      <c r="G2074" s="123"/>
      <c r="H2074" s="123"/>
      <c r="I2074" s="123"/>
      <c r="J2074" s="123"/>
      <c r="K2074" s="123"/>
      <c r="L2074" s="123"/>
      <c r="M2074" s="123"/>
      <c r="N2074" s="126"/>
    </row>
    <row r="2075" spans="1:15" s="4" customFormat="1" ht="25.2">
      <c r="A2075" s="125" t="s">
        <v>1893</v>
      </c>
      <c r="B2075" s="123"/>
      <c r="C2075" s="123"/>
      <c r="D2075" s="123"/>
      <c r="E2075" s="123"/>
      <c r="F2075" s="167" t="s">
        <v>1894</v>
      </c>
      <c r="G2075" s="123"/>
      <c r="H2075" s="123"/>
      <c r="I2075" s="123"/>
      <c r="J2075" s="123"/>
      <c r="K2075" s="123"/>
      <c r="L2075" s="123"/>
      <c r="M2075" s="123"/>
      <c r="N2075" s="126"/>
    </row>
    <row r="2076" spans="1:15" s="3" customFormat="1" ht="9.9" customHeight="1">
      <c r="A2076" s="125"/>
      <c r="B2076" s="123"/>
      <c r="C2076" s="123"/>
      <c r="D2076" s="123"/>
      <c r="E2076" s="123"/>
      <c r="F2076" s="167"/>
      <c r="G2076" s="123"/>
      <c r="H2076" s="123"/>
      <c r="I2076" s="123"/>
      <c r="J2076" s="123"/>
      <c r="K2076" s="123"/>
      <c r="L2076" s="123"/>
      <c r="M2076" s="123"/>
      <c r="N2076" s="126"/>
    </row>
    <row r="2077" spans="1:15" s="3" customFormat="1" ht="25.2">
      <c r="A2077" s="125" t="s">
        <v>1895</v>
      </c>
      <c r="B2077" s="123"/>
      <c r="C2077" s="123"/>
      <c r="D2077" s="123"/>
      <c r="E2077" s="123"/>
      <c r="F2077" s="167" t="s">
        <v>1896</v>
      </c>
      <c r="G2077" s="167" t="str">
        <f>PL!$V$8</f>
        <v>PGU-DE-0139-001</v>
      </c>
      <c r="H2077" s="123"/>
      <c r="I2077" s="123"/>
      <c r="J2077" s="123"/>
      <c r="K2077" s="123"/>
      <c r="L2077" s="123"/>
      <c r="M2077" s="123"/>
      <c r="N2077" s="126"/>
    </row>
    <row r="2078" spans="1:15" s="3" customFormat="1" ht="25.2">
      <c r="A2078" s="125" t="s">
        <v>1897</v>
      </c>
      <c r="B2078" s="123"/>
      <c r="C2078" s="123"/>
      <c r="D2078" s="123"/>
      <c r="E2078" s="123"/>
      <c r="F2078" s="167"/>
      <c r="G2078" s="123"/>
      <c r="H2078" s="123"/>
      <c r="I2078" s="123"/>
      <c r="J2078" s="123"/>
      <c r="K2078" s="123"/>
      <c r="L2078" s="123"/>
      <c r="M2078" s="123"/>
      <c r="N2078" s="126"/>
    </row>
    <row r="2079" spans="1:15" s="3" customFormat="1" ht="9.9" customHeight="1">
      <c r="A2079" s="125"/>
      <c r="B2079" s="123"/>
      <c r="C2079" s="123"/>
      <c r="D2079" s="123"/>
      <c r="E2079" s="123"/>
      <c r="F2079" s="167"/>
      <c r="G2079" s="123"/>
      <c r="H2079" s="123"/>
      <c r="I2079" s="123"/>
      <c r="J2079" s="123"/>
      <c r="K2079" s="123"/>
      <c r="L2079" s="123"/>
      <c r="M2079" s="123"/>
      <c r="N2079" s="126"/>
    </row>
    <row r="2080" spans="1:15" s="3" customFormat="1" ht="31.2" customHeight="1">
      <c r="A2080" s="127" t="s">
        <v>1898</v>
      </c>
      <c r="B2080" s="170"/>
      <c r="C2080" s="170"/>
      <c r="D2080" s="170"/>
      <c r="E2080" s="170"/>
      <c r="F2080" s="171" t="s">
        <v>1885</v>
      </c>
      <c r="G2080" s="597" t="e">
        <f>VLOOKUP(G2083, 'Detail PL'!$B$14:$Q$799,2)</f>
        <v>#N/A</v>
      </c>
      <c r="H2080" s="597"/>
      <c r="I2080" s="597"/>
      <c r="J2080" s="597"/>
      <c r="K2080" s="597"/>
      <c r="L2080" s="597"/>
      <c r="M2080" s="597"/>
      <c r="N2080" s="128"/>
    </row>
    <row r="2081" spans="1:14" s="3" customFormat="1" ht="25.2">
      <c r="A2081" s="127" t="s">
        <v>1899</v>
      </c>
      <c r="B2081" s="170"/>
      <c r="C2081" s="170"/>
      <c r="D2081" s="170"/>
      <c r="E2081" s="170"/>
      <c r="F2081" s="171"/>
      <c r="G2081" s="170"/>
      <c r="H2081" s="170"/>
      <c r="I2081" s="170"/>
      <c r="J2081" s="170"/>
      <c r="K2081" s="170"/>
      <c r="L2081" s="170"/>
      <c r="M2081" s="170"/>
      <c r="N2081" s="128"/>
    </row>
    <row r="2082" spans="1:14" s="3" customFormat="1" ht="9.9" customHeight="1">
      <c r="A2082" s="125"/>
      <c r="B2082" s="123"/>
      <c r="C2082" s="123"/>
      <c r="D2082" s="123"/>
      <c r="E2082" s="123"/>
      <c r="F2082" s="167"/>
      <c r="G2082" s="123"/>
      <c r="H2082" s="123"/>
      <c r="I2082" s="123"/>
      <c r="J2082" s="123"/>
      <c r="K2082" s="123"/>
      <c r="L2082" s="123"/>
      <c r="M2082" s="123"/>
      <c r="N2082" s="126"/>
    </row>
    <row r="2083" spans="1:14" s="3" customFormat="1" ht="25.2">
      <c r="A2083" s="125" t="s">
        <v>1900</v>
      </c>
      <c r="B2083" s="123"/>
      <c r="C2083" s="123"/>
      <c r="D2083" s="123"/>
      <c r="E2083" s="123"/>
      <c r="F2083" s="171" t="s">
        <v>1901</v>
      </c>
      <c r="G2083" s="604">
        <f t="shared" ref="G2083" si="57">G2048+1</f>
        <v>60</v>
      </c>
      <c r="H2083" s="604"/>
      <c r="I2083" s="604"/>
      <c r="J2083" s="604"/>
      <c r="K2083" s="604"/>
      <c r="L2083" s="123"/>
      <c r="M2083" s="123"/>
      <c r="N2083" s="126"/>
    </row>
    <row r="2084" spans="1:14" s="4" customFormat="1" ht="25.2">
      <c r="A2084" s="125" t="s">
        <v>1903</v>
      </c>
      <c r="B2084" s="123"/>
      <c r="C2084" s="123"/>
      <c r="D2084" s="123"/>
      <c r="E2084" s="123"/>
      <c r="F2084" s="167"/>
      <c r="G2084" s="167"/>
      <c r="H2084" s="123"/>
      <c r="I2084" s="123"/>
      <c r="J2084" s="123"/>
      <c r="K2084" s="123"/>
      <c r="L2084" s="123"/>
      <c r="M2084" s="123"/>
      <c r="N2084" s="126"/>
    </row>
    <row r="2085" spans="1:14" s="3" customFormat="1" ht="9.9" customHeight="1">
      <c r="A2085" s="125"/>
      <c r="B2085" s="123"/>
      <c r="C2085" s="123"/>
      <c r="D2085" s="123"/>
      <c r="E2085" s="123"/>
      <c r="F2085" s="167"/>
      <c r="G2085" s="167"/>
      <c r="H2085" s="123"/>
      <c r="I2085" s="123"/>
      <c r="J2085" s="123"/>
      <c r="K2085" s="123"/>
      <c r="L2085" s="123"/>
      <c r="M2085" s="123"/>
      <c r="N2085" s="126"/>
    </row>
    <row r="2086" spans="1:14" s="3" customFormat="1" ht="25.2">
      <c r="A2086" s="125" t="s">
        <v>1904</v>
      </c>
      <c r="B2086" s="123"/>
      <c r="C2086" s="123"/>
      <c r="D2086" s="123"/>
      <c r="E2086" s="123"/>
      <c r="F2086" s="167" t="s">
        <v>1896</v>
      </c>
      <c r="G2086" s="204" t="e">
        <f>VLOOKUP(G2083, 'Detail PL'!$B$14:$Q$799, 10)</f>
        <v>#N/A</v>
      </c>
      <c r="H2086" s="204" t="s">
        <v>1905</v>
      </c>
      <c r="I2086" s="204"/>
      <c r="J2086" s="204"/>
      <c r="K2086" s="123"/>
      <c r="L2086" s="123"/>
      <c r="M2086" s="123"/>
      <c r="N2086" s="126"/>
    </row>
    <row r="2087" spans="1:14" s="4" customFormat="1" ht="25.2">
      <c r="A2087" s="125" t="s">
        <v>1906</v>
      </c>
      <c r="B2087" s="123"/>
      <c r="C2087" s="123"/>
      <c r="D2087" s="123"/>
      <c r="E2087" s="123"/>
      <c r="F2087" s="167"/>
      <c r="G2087" s="167"/>
      <c r="H2087" s="167"/>
      <c r="I2087" s="123"/>
      <c r="J2087" s="123"/>
      <c r="K2087" s="123"/>
      <c r="L2087" s="123"/>
      <c r="M2087" s="123"/>
      <c r="N2087" s="126"/>
    </row>
    <row r="2088" spans="1:14" s="3" customFormat="1" ht="9.9" customHeight="1">
      <c r="A2088" s="125"/>
      <c r="B2088" s="123"/>
      <c r="C2088" s="123"/>
      <c r="D2088" s="123"/>
      <c r="E2088" s="123"/>
      <c r="F2088" s="167"/>
      <c r="G2088" s="167"/>
      <c r="H2088" s="167"/>
      <c r="I2088" s="123"/>
      <c r="J2088" s="123"/>
      <c r="K2088" s="123"/>
      <c r="L2088" s="123"/>
      <c r="M2088" s="123"/>
      <c r="N2088" s="126"/>
    </row>
    <row r="2089" spans="1:14" s="3" customFormat="1" ht="25.2">
      <c r="A2089" s="125" t="s">
        <v>1907</v>
      </c>
      <c r="B2089" s="123"/>
      <c r="C2089" s="123"/>
      <c r="D2089" s="123"/>
      <c r="E2089" s="123"/>
      <c r="F2089" s="167" t="s">
        <v>1896</v>
      </c>
      <c r="G2089" s="204" t="e">
        <f>VLOOKUP(G2083, 'Detail PL'!$B$14:$Q$799, 11)</f>
        <v>#N/A</v>
      </c>
      <c r="H2089" s="204" t="s">
        <v>1905</v>
      </c>
      <c r="I2089" s="204"/>
      <c r="J2089" s="204"/>
      <c r="K2089" s="123"/>
      <c r="L2089" s="123"/>
      <c r="M2089" s="123"/>
      <c r="N2089" s="126"/>
    </row>
    <row r="2090" spans="1:14" s="4" customFormat="1" ht="25.2">
      <c r="A2090" s="125" t="s">
        <v>1908</v>
      </c>
      <c r="B2090" s="123"/>
      <c r="C2090" s="123"/>
      <c r="D2090" s="123"/>
      <c r="E2090" s="123"/>
      <c r="F2090" s="167"/>
      <c r="G2090" s="167"/>
      <c r="H2090" s="123"/>
      <c r="I2090" s="123"/>
      <c r="J2090" s="123"/>
      <c r="K2090" s="123"/>
      <c r="L2090" s="123"/>
      <c r="M2090" s="123"/>
      <c r="N2090" s="126"/>
    </row>
    <row r="2091" spans="1:14" s="3" customFormat="1" ht="9.9" customHeight="1">
      <c r="A2091" s="125"/>
      <c r="B2091" s="123"/>
      <c r="C2091" s="123"/>
      <c r="D2091" s="123"/>
      <c r="E2091" s="123"/>
      <c r="F2091" s="167"/>
      <c r="G2091" s="167"/>
      <c r="H2091" s="123"/>
      <c r="I2091" s="123"/>
      <c r="J2091" s="123"/>
      <c r="K2091" s="123"/>
      <c r="L2091" s="123"/>
      <c r="M2091" s="123"/>
      <c r="N2091" s="126"/>
    </row>
    <row r="2092" spans="1:14" s="3" customFormat="1" ht="25.2">
      <c r="A2092" s="129" t="s">
        <v>1909</v>
      </c>
      <c r="B2092" s="123"/>
      <c r="C2092" s="123"/>
      <c r="D2092" s="123"/>
      <c r="E2092" s="123"/>
      <c r="F2092" s="167" t="s">
        <v>1896</v>
      </c>
      <c r="G2092" s="204" t="e">
        <f>VLOOKUP(G2083, 'Detail PL'!$B$14:$Q$799, 9)</f>
        <v>#N/A</v>
      </c>
      <c r="H2092" s="205" t="s">
        <v>1910</v>
      </c>
      <c r="I2092" s="203"/>
      <c r="J2092" s="203"/>
      <c r="K2092" s="172"/>
      <c r="L2092" s="123"/>
      <c r="M2092" s="123"/>
      <c r="N2092" s="126"/>
    </row>
    <row r="2093" spans="1:14" s="4" customFormat="1" ht="25.2">
      <c r="A2093" s="125" t="s">
        <v>1911</v>
      </c>
      <c r="B2093" s="123"/>
      <c r="C2093" s="123"/>
      <c r="D2093" s="123"/>
      <c r="E2093" s="123"/>
      <c r="F2093" s="167"/>
      <c r="G2093" s="167"/>
      <c r="H2093" s="123"/>
      <c r="I2093" s="123"/>
      <c r="J2093" s="123"/>
      <c r="K2093" s="123"/>
      <c r="L2093" s="123"/>
      <c r="M2093" s="123"/>
      <c r="N2093" s="126"/>
    </row>
    <row r="2094" spans="1:14" s="3" customFormat="1" ht="9.9" customHeight="1">
      <c r="A2094" s="125"/>
      <c r="B2094" s="123"/>
      <c r="C2094" s="123"/>
      <c r="D2094" s="123"/>
      <c r="E2094" s="123"/>
      <c r="F2094" s="167"/>
      <c r="G2094" s="167"/>
      <c r="H2094" s="123"/>
      <c r="I2094" s="123"/>
      <c r="J2094" s="123"/>
      <c r="K2094" s="123"/>
      <c r="L2094" s="123"/>
      <c r="M2094" s="123"/>
      <c r="N2094" s="126"/>
    </row>
    <row r="2095" spans="1:14" s="3" customFormat="1" ht="42" customHeight="1">
      <c r="A2095" s="125" t="s">
        <v>1912</v>
      </c>
      <c r="B2095" s="123"/>
      <c r="C2095" s="123"/>
      <c r="D2095" s="123"/>
      <c r="E2095" s="123"/>
      <c r="F2095" s="166" t="s">
        <v>1913</v>
      </c>
      <c r="G2095" s="595" t="s">
        <v>1914</v>
      </c>
      <c r="H2095" s="595"/>
      <c r="I2095" s="595"/>
      <c r="J2095" s="595"/>
      <c r="K2095" s="595"/>
      <c r="L2095" s="595"/>
      <c r="M2095" s="595"/>
      <c r="N2095" s="596"/>
    </row>
    <row r="2096" spans="1:14" s="4" customFormat="1" ht="25.8" thickBot="1">
      <c r="A2096" s="125" t="s">
        <v>1915</v>
      </c>
      <c r="B2096" s="123"/>
      <c r="C2096" s="123"/>
      <c r="D2096" s="123"/>
      <c r="E2096" s="123"/>
      <c r="F2096" s="167"/>
      <c r="G2096" s="167"/>
      <c r="H2096" s="123"/>
      <c r="I2096" s="123"/>
      <c r="J2096" s="123"/>
      <c r="K2096" s="123"/>
      <c r="L2096" s="123"/>
      <c r="M2096" s="123"/>
      <c r="N2096" s="126"/>
    </row>
    <row r="2097" spans="1:15" ht="21" customHeight="1">
      <c r="A2097" s="598" t="s">
        <v>1916</v>
      </c>
      <c r="B2097" s="599"/>
      <c r="C2097" s="599"/>
      <c r="D2097" s="599"/>
      <c r="E2097" s="599"/>
      <c r="F2097" s="599"/>
      <c r="G2097" s="599"/>
      <c r="H2097" s="599"/>
      <c r="I2097" s="599"/>
      <c r="J2097" s="599"/>
      <c r="K2097" s="599"/>
      <c r="L2097" s="599"/>
      <c r="M2097" s="599"/>
      <c r="N2097" s="600"/>
    </row>
    <row r="2098" spans="1:15" ht="25.5" customHeight="1" thickBot="1">
      <c r="A2098" s="601"/>
      <c r="B2098" s="602"/>
      <c r="C2098" s="602"/>
      <c r="D2098" s="602"/>
      <c r="E2098" s="602"/>
      <c r="F2098" s="602"/>
      <c r="G2098" s="602"/>
      <c r="H2098" s="602"/>
      <c r="I2098" s="602"/>
      <c r="J2098" s="602"/>
      <c r="K2098" s="602"/>
      <c r="L2098" s="602"/>
      <c r="M2098" s="602"/>
      <c r="N2098" s="603"/>
    </row>
    <row r="2099" spans="1:15" ht="25.5" customHeight="1">
      <c r="E2099" s="206"/>
      <c r="F2099" s="206"/>
      <c r="G2099" s="206"/>
      <c r="H2099" s="206"/>
      <c r="I2099" s="206"/>
      <c r="J2099" s="206"/>
      <c r="K2099" s="206"/>
    </row>
    <row r="2100" spans="1:15" ht="21.6" thickBot="1"/>
    <row r="2101" spans="1:15" ht="95.25" customHeight="1" thickBot="1">
      <c r="A2101" s="592" t="s">
        <v>1883</v>
      </c>
      <c r="B2101" s="593"/>
      <c r="C2101" s="593"/>
      <c r="D2101" s="593"/>
      <c r="E2101" s="593"/>
      <c r="F2101" s="593"/>
      <c r="G2101" s="593"/>
      <c r="H2101" s="593"/>
      <c r="I2101" s="593"/>
      <c r="J2101" s="593"/>
      <c r="K2101" s="593"/>
      <c r="L2101" s="593"/>
      <c r="M2101" s="593"/>
      <c r="N2101" s="594"/>
    </row>
    <row r="2102" spans="1:15" s="3" customFormat="1" ht="37.5" customHeight="1">
      <c r="A2102" s="134" t="s">
        <v>1884</v>
      </c>
      <c r="B2102" s="166"/>
      <c r="C2102" s="166"/>
      <c r="D2102" s="123"/>
      <c r="E2102" s="123"/>
      <c r="F2102" s="167" t="s">
        <v>1885</v>
      </c>
      <c r="G2102" s="167" t="s">
        <v>1886</v>
      </c>
      <c r="H2102" s="167"/>
      <c r="I2102" s="167"/>
      <c r="J2102" s="167"/>
      <c r="K2102" s="167"/>
      <c r="L2102" s="167"/>
      <c r="M2102" s="167"/>
      <c r="N2102" s="152"/>
      <c r="O2102" s="201"/>
    </row>
    <row r="2103" spans="1:15" s="4" customFormat="1" ht="25.2">
      <c r="A2103" s="125" t="s">
        <v>1887</v>
      </c>
      <c r="B2103" s="123"/>
      <c r="C2103" s="123"/>
      <c r="D2103" s="123"/>
      <c r="E2103" s="123"/>
      <c r="F2103" s="167"/>
      <c r="G2103" s="167" t="s">
        <v>1888</v>
      </c>
      <c r="H2103" s="167"/>
      <c r="I2103" s="167"/>
      <c r="J2103" s="167"/>
      <c r="K2103" s="167"/>
      <c r="L2103" s="167"/>
      <c r="M2103" s="167"/>
      <c r="N2103" s="152"/>
    </row>
    <row r="2104" spans="1:15" s="3" customFormat="1" ht="9.9" customHeight="1">
      <c r="A2104" s="125"/>
      <c r="B2104" s="123"/>
      <c r="C2104" s="123"/>
      <c r="D2104" s="123"/>
      <c r="E2104" s="123"/>
      <c r="F2104" s="167"/>
      <c r="G2104" s="123"/>
      <c r="H2104" s="123"/>
      <c r="I2104" s="123"/>
      <c r="J2104" s="123"/>
      <c r="K2104" s="123"/>
      <c r="L2104" s="123"/>
      <c r="M2104" s="123"/>
      <c r="N2104" s="126"/>
    </row>
    <row r="2105" spans="1:15" s="3" customFormat="1" ht="42.75" customHeight="1">
      <c r="A2105" s="125" t="s">
        <v>1889</v>
      </c>
      <c r="B2105" s="123"/>
      <c r="C2105" s="123"/>
      <c r="D2105" s="123"/>
      <c r="E2105" s="123"/>
      <c r="F2105" s="167" t="s">
        <v>1885</v>
      </c>
      <c r="G2105" s="167" t="str">
        <f>PL!$B$13</f>
        <v>Branch of JSC "Doosan Enerbility" in the Turkestan region</v>
      </c>
      <c r="H2105" s="123"/>
      <c r="I2105" s="123"/>
      <c r="J2105" s="123"/>
      <c r="K2105" s="123"/>
      <c r="L2105" s="123"/>
      <c r="M2105" s="123"/>
      <c r="N2105" s="126"/>
    </row>
    <row r="2106" spans="1:15" s="3" customFormat="1" ht="24" customHeight="1">
      <c r="A2106" s="125" t="s">
        <v>1890</v>
      </c>
      <c r="B2106" s="123"/>
      <c r="C2106" s="123"/>
      <c r="D2106" s="123"/>
      <c r="E2106" s="123"/>
      <c r="F2106" s="168"/>
      <c r="G2106" s="167" t="str">
        <f>PL!$B$14</f>
        <v>321 Tauke Khan Avenue, Turkestan region, Turkestan, Kazakhstan, 161200</v>
      </c>
      <c r="H2106" s="123"/>
      <c r="I2106" s="123"/>
      <c r="J2106" s="123"/>
      <c r="K2106" s="123"/>
      <c r="L2106" s="123"/>
      <c r="M2106" s="123"/>
      <c r="N2106" s="126"/>
    </row>
    <row r="2107" spans="1:15" s="4" customFormat="1" ht="25.2">
      <c r="A2107" s="125"/>
      <c r="B2107" s="123"/>
      <c r="C2107" s="123"/>
      <c r="D2107" s="123"/>
      <c r="E2107" s="123"/>
      <c r="F2107" s="168"/>
      <c r="G2107" s="167" t="str">
        <f>PL!$B$15</f>
        <v>BIN: 230741006561</v>
      </c>
      <c r="H2107" s="123"/>
      <c r="I2107" s="123"/>
      <c r="J2107" s="123"/>
      <c r="K2107" s="123"/>
      <c r="L2107" s="123"/>
      <c r="M2107" s="123"/>
      <c r="N2107" s="126"/>
    </row>
    <row r="2108" spans="1:15" s="3" customFormat="1" ht="9.9" customHeight="1">
      <c r="A2108" s="125"/>
      <c r="B2108" s="123"/>
      <c r="C2108" s="123"/>
      <c r="D2108" s="123"/>
      <c r="E2108" s="123"/>
      <c r="F2108" s="169"/>
      <c r="G2108" s="169"/>
      <c r="H2108" s="123"/>
      <c r="I2108" s="123"/>
      <c r="J2108" s="123"/>
      <c r="K2108" s="123"/>
      <c r="L2108" s="123"/>
      <c r="M2108" s="123"/>
      <c r="N2108" s="126"/>
    </row>
    <row r="2109" spans="1:15" s="3" customFormat="1" ht="25.2">
      <c r="A2109" s="125" t="s">
        <v>1891</v>
      </c>
      <c r="B2109" s="123"/>
      <c r="C2109" s="123"/>
      <c r="D2109" s="123"/>
      <c r="E2109" s="123"/>
      <c r="F2109" s="167" t="s">
        <v>1892</v>
      </c>
      <c r="G2109" s="123"/>
      <c r="H2109" s="123"/>
      <c r="I2109" s="123"/>
      <c r="J2109" s="123"/>
      <c r="K2109" s="123"/>
      <c r="L2109" s="123"/>
      <c r="M2109" s="123"/>
      <c r="N2109" s="126"/>
    </row>
    <row r="2110" spans="1:15" s="4" customFormat="1" ht="25.2">
      <c r="A2110" s="125" t="s">
        <v>1893</v>
      </c>
      <c r="B2110" s="123"/>
      <c r="C2110" s="123"/>
      <c r="D2110" s="123"/>
      <c r="E2110" s="123"/>
      <c r="F2110" s="167" t="s">
        <v>1894</v>
      </c>
      <c r="G2110" s="123"/>
      <c r="H2110" s="123"/>
      <c r="I2110" s="123"/>
      <c r="J2110" s="123"/>
      <c r="K2110" s="123"/>
      <c r="L2110" s="123"/>
      <c r="M2110" s="123"/>
      <c r="N2110" s="126"/>
    </row>
    <row r="2111" spans="1:15" s="3" customFormat="1" ht="9.9" customHeight="1">
      <c r="A2111" s="125"/>
      <c r="B2111" s="123"/>
      <c r="C2111" s="123"/>
      <c r="D2111" s="123"/>
      <c r="E2111" s="123"/>
      <c r="F2111" s="167"/>
      <c r="G2111" s="123"/>
      <c r="H2111" s="123"/>
      <c r="I2111" s="123"/>
      <c r="J2111" s="123"/>
      <c r="K2111" s="123"/>
      <c r="L2111" s="123"/>
      <c r="M2111" s="123"/>
      <c r="N2111" s="126"/>
    </row>
    <row r="2112" spans="1:15" s="3" customFormat="1" ht="25.2">
      <c r="A2112" s="125" t="s">
        <v>1895</v>
      </c>
      <c r="B2112" s="123"/>
      <c r="C2112" s="123"/>
      <c r="D2112" s="123"/>
      <c r="E2112" s="123"/>
      <c r="F2112" s="167" t="s">
        <v>1896</v>
      </c>
      <c r="G2112" s="167" t="str">
        <f>PL!$V$8</f>
        <v>PGU-DE-0139-001</v>
      </c>
      <c r="H2112" s="123"/>
      <c r="I2112" s="123"/>
      <c r="J2112" s="123"/>
      <c r="K2112" s="123"/>
      <c r="L2112" s="123"/>
      <c r="M2112" s="123"/>
      <c r="N2112" s="126"/>
    </row>
    <row r="2113" spans="1:14" s="3" customFormat="1" ht="25.2">
      <c r="A2113" s="125" t="s">
        <v>1897</v>
      </c>
      <c r="B2113" s="123"/>
      <c r="C2113" s="123"/>
      <c r="D2113" s="123"/>
      <c r="E2113" s="123"/>
      <c r="F2113" s="167"/>
      <c r="G2113" s="123"/>
      <c r="H2113" s="123"/>
      <c r="I2113" s="123"/>
      <c r="J2113" s="123"/>
      <c r="K2113" s="123"/>
      <c r="L2113" s="123"/>
      <c r="M2113" s="123"/>
      <c r="N2113" s="126"/>
    </row>
    <row r="2114" spans="1:14" s="3" customFormat="1" ht="9.9" customHeight="1">
      <c r="A2114" s="125"/>
      <c r="B2114" s="123"/>
      <c r="C2114" s="123"/>
      <c r="D2114" s="123"/>
      <c r="E2114" s="123"/>
      <c r="F2114" s="167"/>
      <c r="G2114" s="123"/>
      <c r="H2114" s="123"/>
      <c r="I2114" s="123"/>
      <c r="J2114" s="123"/>
      <c r="K2114" s="123"/>
      <c r="L2114" s="123"/>
      <c r="M2114" s="123"/>
      <c r="N2114" s="126"/>
    </row>
    <row r="2115" spans="1:14" s="3" customFormat="1" ht="31.2" customHeight="1">
      <c r="A2115" s="127" t="s">
        <v>1898</v>
      </c>
      <c r="B2115" s="170"/>
      <c r="C2115" s="170"/>
      <c r="D2115" s="170"/>
      <c r="E2115" s="170"/>
      <c r="F2115" s="171" t="s">
        <v>1885</v>
      </c>
      <c r="G2115" s="597" t="e">
        <f>VLOOKUP(G2118, 'Detail PL'!$B$14:$Q$799,2)</f>
        <v>#N/A</v>
      </c>
      <c r="H2115" s="597"/>
      <c r="I2115" s="597"/>
      <c r="J2115" s="597"/>
      <c r="K2115" s="597"/>
      <c r="L2115" s="597"/>
      <c r="M2115" s="597"/>
      <c r="N2115" s="128"/>
    </row>
    <row r="2116" spans="1:14" s="3" customFormat="1" ht="25.2">
      <c r="A2116" s="127" t="s">
        <v>1899</v>
      </c>
      <c r="B2116" s="170"/>
      <c r="C2116" s="170"/>
      <c r="D2116" s="170"/>
      <c r="E2116" s="170"/>
      <c r="F2116" s="171"/>
      <c r="G2116" s="170"/>
      <c r="H2116" s="170"/>
      <c r="I2116" s="170"/>
      <c r="J2116" s="170"/>
      <c r="K2116" s="170"/>
      <c r="L2116" s="170"/>
      <c r="M2116" s="170"/>
      <c r="N2116" s="128"/>
    </row>
    <row r="2117" spans="1:14" s="3" customFormat="1" ht="9.9" customHeight="1">
      <c r="A2117" s="125"/>
      <c r="B2117" s="123"/>
      <c r="C2117" s="123"/>
      <c r="D2117" s="123"/>
      <c r="E2117" s="123"/>
      <c r="F2117" s="167"/>
      <c r="G2117" s="123"/>
      <c r="H2117" s="123"/>
      <c r="I2117" s="123"/>
      <c r="J2117" s="123"/>
      <c r="K2117" s="123"/>
      <c r="L2117" s="123"/>
      <c r="M2117" s="123"/>
      <c r="N2117" s="126"/>
    </row>
    <row r="2118" spans="1:14" s="3" customFormat="1" ht="25.2">
      <c r="A2118" s="125" t="s">
        <v>1900</v>
      </c>
      <c r="B2118" s="123"/>
      <c r="C2118" s="123"/>
      <c r="D2118" s="123"/>
      <c r="E2118" s="123"/>
      <c r="F2118" s="171" t="s">
        <v>1901</v>
      </c>
      <c r="G2118" s="604">
        <f t="shared" ref="G2118" si="58">G2083+1</f>
        <v>61</v>
      </c>
      <c r="H2118" s="604"/>
      <c r="I2118" s="604"/>
      <c r="J2118" s="604"/>
      <c r="K2118" s="604"/>
      <c r="L2118" s="123"/>
      <c r="M2118" s="123"/>
      <c r="N2118" s="126"/>
    </row>
    <row r="2119" spans="1:14" s="4" customFormat="1" ht="25.2">
      <c r="A2119" s="125" t="s">
        <v>1903</v>
      </c>
      <c r="B2119" s="123"/>
      <c r="C2119" s="123"/>
      <c r="D2119" s="123"/>
      <c r="E2119" s="123"/>
      <c r="F2119" s="167"/>
      <c r="G2119" s="167"/>
      <c r="H2119" s="123"/>
      <c r="I2119" s="123"/>
      <c r="J2119" s="123"/>
      <c r="K2119" s="123"/>
      <c r="L2119" s="123"/>
      <c r="M2119" s="123"/>
      <c r="N2119" s="126"/>
    </row>
    <row r="2120" spans="1:14" s="3" customFormat="1" ht="9.9" customHeight="1">
      <c r="A2120" s="125"/>
      <c r="B2120" s="123"/>
      <c r="C2120" s="123"/>
      <c r="D2120" s="123"/>
      <c r="E2120" s="123"/>
      <c r="F2120" s="167"/>
      <c r="G2120" s="167"/>
      <c r="H2120" s="123"/>
      <c r="I2120" s="123"/>
      <c r="J2120" s="123"/>
      <c r="K2120" s="123"/>
      <c r="L2120" s="123"/>
      <c r="M2120" s="123"/>
      <c r="N2120" s="126"/>
    </row>
    <row r="2121" spans="1:14" s="3" customFormat="1" ht="25.2">
      <c r="A2121" s="125" t="s">
        <v>1904</v>
      </c>
      <c r="B2121" s="123"/>
      <c r="C2121" s="123"/>
      <c r="D2121" s="123"/>
      <c r="E2121" s="123"/>
      <c r="F2121" s="167" t="s">
        <v>1896</v>
      </c>
      <c r="G2121" s="204" t="e">
        <f>VLOOKUP(G2118, 'Detail PL'!$B$14:$Q$799, 10)</f>
        <v>#N/A</v>
      </c>
      <c r="H2121" s="204" t="s">
        <v>1905</v>
      </c>
      <c r="I2121" s="204"/>
      <c r="J2121" s="204"/>
      <c r="K2121" s="123"/>
      <c r="L2121" s="123"/>
      <c r="M2121" s="123"/>
      <c r="N2121" s="126"/>
    </row>
    <row r="2122" spans="1:14" s="4" customFormat="1" ht="25.2">
      <c r="A2122" s="125" t="s">
        <v>1906</v>
      </c>
      <c r="B2122" s="123"/>
      <c r="C2122" s="123"/>
      <c r="D2122" s="123"/>
      <c r="E2122" s="123"/>
      <c r="F2122" s="167"/>
      <c r="G2122" s="167"/>
      <c r="H2122" s="167"/>
      <c r="I2122" s="123"/>
      <c r="J2122" s="123"/>
      <c r="K2122" s="123"/>
      <c r="L2122" s="123"/>
      <c r="M2122" s="123"/>
      <c r="N2122" s="126"/>
    </row>
    <row r="2123" spans="1:14" s="3" customFormat="1" ht="9.9" customHeight="1">
      <c r="A2123" s="125"/>
      <c r="B2123" s="123"/>
      <c r="C2123" s="123"/>
      <c r="D2123" s="123"/>
      <c r="E2123" s="123"/>
      <c r="F2123" s="167"/>
      <c r="G2123" s="167"/>
      <c r="H2123" s="167"/>
      <c r="I2123" s="123"/>
      <c r="J2123" s="123"/>
      <c r="K2123" s="123"/>
      <c r="L2123" s="123"/>
      <c r="M2123" s="123"/>
      <c r="N2123" s="126"/>
    </row>
    <row r="2124" spans="1:14" s="3" customFormat="1" ht="25.2">
      <c r="A2124" s="125" t="s">
        <v>1907</v>
      </c>
      <c r="B2124" s="123"/>
      <c r="C2124" s="123"/>
      <c r="D2124" s="123"/>
      <c r="E2124" s="123"/>
      <c r="F2124" s="167" t="s">
        <v>1896</v>
      </c>
      <c r="G2124" s="204" t="e">
        <f>VLOOKUP(G2118, 'Detail PL'!$B$14:$Q$799, 11)</f>
        <v>#N/A</v>
      </c>
      <c r="H2124" s="204" t="s">
        <v>1905</v>
      </c>
      <c r="I2124" s="204"/>
      <c r="J2124" s="204"/>
      <c r="K2124" s="123"/>
      <c r="L2124" s="123"/>
      <c r="M2124" s="123"/>
      <c r="N2124" s="126"/>
    </row>
    <row r="2125" spans="1:14" s="4" customFormat="1" ht="25.2">
      <c r="A2125" s="125" t="s">
        <v>1908</v>
      </c>
      <c r="B2125" s="123"/>
      <c r="C2125" s="123"/>
      <c r="D2125" s="123"/>
      <c r="E2125" s="123"/>
      <c r="F2125" s="167"/>
      <c r="G2125" s="167"/>
      <c r="H2125" s="123"/>
      <c r="I2125" s="123"/>
      <c r="J2125" s="123"/>
      <c r="K2125" s="123"/>
      <c r="L2125" s="123"/>
      <c r="M2125" s="123"/>
      <c r="N2125" s="126"/>
    </row>
    <row r="2126" spans="1:14" s="3" customFormat="1" ht="9.9" customHeight="1">
      <c r="A2126" s="125"/>
      <c r="B2126" s="123"/>
      <c r="C2126" s="123"/>
      <c r="D2126" s="123"/>
      <c r="E2126" s="123"/>
      <c r="F2126" s="167"/>
      <c r="G2126" s="167"/>
      <c r="H2126" s="123"/>
      <c r="I2126" s="123"/>
      <c r="J2126" s="123"/>
      <c r="K2126" s="123"/>
      <c r="L2126" s="123"/>
      <c r="M2126" s="123"/>
      <c r="N2126" s="126"/>
    </row>
    <row r="2127" spans="1:14" s="3" customFormat="1" ht="25.2">
      <c r="A2127" s="129" t="s">
        <v>1909</v>
      </c>
      <c r="B2127" s="123"/>
      <c r="C2127" s="123"/>
      <c r="D2127" s="123"/>
      <c r="E2127" s="123"/>
      <c r="F2127" s="167" t="s">
        <v>1896</v>
      </c>
      <c r="G2127" s="204" t="e">
        <f>VLOOKUP(G2118, 'Detail PL'!$B$14:$Q$799, 9)</f>
        <v>#N/A</v>
      </c>
      <c r="H2127" s="205" t="s">
        <v>1910</v>
      </c>
      <c r="I2127" s="203"/>
      <c r="J2127" s="203"/>
      <c r="K2127" s="172"/>
      <c r="L2127" s="123"/>
      <c r="M2127" s="123"/>
      <c r="N2127" s="126"/>
    </row>
    <row r="2128" spans="1:14" s="4" customFormat="1" ht="25.2">
      <c r="A2128" s="125" t="s">
        <v>1911</v>
      </c>
      <c r="B2128" s="123"/>
      <c r="C2128" s="123"/>
      <c r="D2128" s="123"/>
      <c r="E2128" s="123"/>
      <c r="F2128" s="167"/>
      <c r="G2128" s="167"/>
      <c r="H2128" s="123"/>
      <c r="I2128" s="123"/>
      <c r="J2128" s="123"/>
      <c r="K2128" s="123"/>
      <c r="L2128" s="123"/>
      <c r="M2128" s="123"/>
      <c r="N2128" s="126"/>
    </row>
    <row r="2129" spans="1:15" s="3" customFormat="1" ht="9.9" customHeight="1">
      <c r="A2129" s="125"/>
      <c r="B2129" s="123"/>
      <c r="C2129" s="123"/>
      <c r="D2129" s="123"/>
      <c r="E2129" s="123"/>
      <c r="F2129" s="167"/>
      <c r="G2129" s="167"/>
      <c r="H2129" s="123"/>
      <c r="I2129" s="123"/>
      <c r="J2129" s="123"/>
      <c r="K2129" s="123"/>
      <c r="L2129" s="123"/>
      <c r="M2129" s="123"/>
      <c r="N2129" s="126"/>
    </row>
    <row r="2130" spans="1:15" s="3" customFormat="1" ht="42" customHeight="1">
      <c r="A2130" s="125" t="s">
        <v>1912</v>
      </c>
      <c r="B2130" s="123"/>
      <c r="C2130" s="123"/>
      <c r="D2130" s="123"/>
      <c r="E2130" s="123"/>
      <c r="F2130" s="166" t="s">
        <v>1913</v>
      </c>
      <c r="G2130" s="595" t="s">
        <v>1914</v>
      </c>
      <c r="H2130" s="595"/>
      <c r="I2130" s="595"/>
      <c r="J2130" s="595"/>
      <c r="K2130" s="595"/>
      <c r="L2130" s="595"/>
      <c r="M2130" s="595"/>
      <c r="N2130" s="596"/>
    </row>
    <row r="2131" spans="1:15" s="4" customFormat="1" ht="25.8" thickBot="1">
      <c r="A2131" s="125" t="s">
        <v>1915</v>
      </c>
      <c r="B2131" s="123"/>
      <c r="C2131" s="123"/>
      <c r="D2131" s="123"/>
      <c r="E2131" s="123"/>
      <c r="F2131" s="167"/>
      <c r="G2131" s="167"/>
      <c r="H2131" s="123"/>
      <c r="I2131" s="123"/>
      <c r="J2131" s="123"/>
      <c r="K2131" s="123"/>
      <c r="L2131" s="123"/>
      <c r="M2131" s="123"/>
      <c r="N2131" s="126"/>
    </row>
    <row r="2132" spans="1:15" ht="21" customHeight="1">
      <c r="A2132" s="598" t="s">
        <v>1916</v>
      </c>
      <c r="B2132" s="599"/>
      <c r="C2132" s="599"/>
      <c r="D2132" s="599"/>
      <c r="E2132" s="599"/>
      <c r="F2132" s="599"/>
      <c r="G2132" s="599"/>
      <c r="H2132" s="599"/>
      <c r="I2132" s="599"/>
      <c r="J2132" s="599"/>
      <c r="K2132" s="599"/>
      <c r="L2132" s="599"/>
      <c r="M2132" s="599"/>
      <c r="N2132" s="600"/>
    </row>
    <row r="2133" spans="1:15" ht="25.5" customHeight="1" thickBot="1">
      <c r="A2133" s="601"/>
      <c r="B2133" s="602"/>
      <c r="C2133" s="602"/>
      <c r="D2133" s="602"/>
      <c r="E2133" s="602"/>
      <c r="F2133" s="602"/>
      <c r="G2133" s="602"/>
      <c r="H2133" s="602"/>
      <c r="I2133" s="602"/>
      <c r="J2133" s="602"/>
      <c r="K2133" s="602"/>
      <c r="L2133" s="602"/>
      <c r="M2133" s="602"/>
      <c r="N2133" s="603"/>
    </row>
    <row r="2134" spans="1:15" ht="25.5" customHeight="1">
      <c r="E2134" s="206"/>
      <c r="F2134" s="206"/>
      <c r="G2134" s="206"/>
      <c r="H2134" s="206"/>
      <c r="I2134" s="206"/>
      <c r="J2134" s="206"/>
      <c r="K2134" s="206"/>
    </row>
    <row r="2135" spans="1:15" ht="21.6" thickBot="1"/>
    <row r="2136" spans="1:15" ht="95.25" customHeight="1" thickBot="1">
      <c r="A2136" s="592" t="s">
        <v>1883</v>
      </c>
      <c r="B2136" s="593"/>
      <c r="C2136" s="593"/>
      <c r="D2136" s="593"/>
      <c r="E2136" s="593"/>
      <c r="F2136" s="593"/>
      <c r="G2136" s="593"/>
      <c r="H2136" s="593"/>
      <c r="I2136" s="593"/>
      <c r="J2136" s="593"/>
      <c r="K2136" s="593"/>
      <c r="L2136" s="593"/>
      <c r="M2136" s="593"/>
      <c r="N2136" s="594"/>
    </row>
    <row r="2137" spans="1:15" s="3" customFormat="1" ht="37.5" customHeight="1">
      <c r="A2137" s="134" t="s">
        <v>1884</v>
      </c>
      <c r="B2137" s="166"/>
      <c r="C2137" s="166"/>
      <c r="D2137" s="123"/>
      <c r="E2137" s="123"/>
      <c r="F2137" s="167" t="s">
        <v>1885</v>
      </c>
      <c r="G2137" s="167" t="s">
        <v>1886</v>
      </c>
      <c r="H2137" s="167"/>
      <c r="I2137" s="167"/>
      <c r="J2137" s="167"/>
      <c r="K2137" s="167"/>
      <c r="L2137" s="167"/>
      <c r="M2137" s="167"/>
      <c r="N2137" s="152"/>
      <c r="O2137" s="201"/>
    </row>
    <row r="2138" spans="1:15" s="4" customFormat="1" ht="25.2">
      <c r="A2138" s="125" t="s">
        <v>1887</v>
      </c>
      <c r="B2138" s="123"/>
      <c r="C2138" s="123"/>
      <c r="D2138" s="123"/>
      <c r="E2138" s="123"/>
      <c r="F2138" s="167"/>
      <c r="G2138" s="167" t="s">
        <v>1888</v>
      </c>
      <c r="H2138" s="167"/>
      <c r="I2138" s="167"/>
      <c r="J2138" s="167"/>
      <c r="K2138" s="167"/>
      <c r="L2138" s="167"/>
      <c r="M2138" s="167"/>
      <c r="N2138" s="152"/>
    </row>
    <row r="2139" spans="1:15" s="3" customFormat="1" ht="9.9" customHeight="1">
      <c r="A2139" s="125"/>
      <c r="B2139" s="123"/>
      <c r="C2139" s="123"/>
      <c r="D2139" s="123"/>
      <c r="E2139" s="123"/>
      <c r="F2139" s="167"/>
      <c r="G2139" s="123"/>
      <c r="H2139" s="123"/>
      <c r="I2139" s="123"/>
      <c r="J2139" s="123"/>
      <c r="K2139" s="123"/>
      <c r="L2139" s="123"/>
      <c r="M2139" s="123"/>
      <c r="N2139" s="126"/>
    </row>
    <row r="2140" spans="1:15" s="3" customFormat="1" ht="42.75" customHeight="1">
      <c r="A2140" s="125" t="s">
        <v>1889</v>
      </c>
      <c r="B2140" s="123"/>
      <c r="C2140" s="123"/>
      <c r="D2140" s="123"/>
      <c r="E2140" s="123"/>
      <c r="F2140" s="167" t="s">
        <v>1885</v>
      </c>
      <c r="G2140" s="167" t="str">
        <f>PL!$B$13</f>
        <v>Branch of JSC "Doosan Enerbility" in the Turkestan region</v>
      </c>
      <c r="H2140" s="123"/>
      <c r="I2140" s="123"/>
      <c r="J2140" s="123"/>
      <c r="K2140" s="123"/>
      <c r="L2140" s="123"/>
      <c r="M2140" s="123"/>
      <c r="N2140" s="126"/>
    </row>
    <row r="2141" spans="1:15" s="3" customFormat="1" ht="24" customHeight="1">
      <c r="A2141" s="125" t="s">
        <v>1890</v>
      </c>
      <c r="B2141" s="123"/>
      <c r="C2141" s="123"/>
      <c r="D2141" s="123"/>
      <c r="E2141" s="123"/>
      <c r="F2141" s="168"/>
      <c r="G2141" s="167" t="str">
        <f>PL!$B$14</f>
        <v>321 Tauke Khan Avenue, Turkestan region, Turkestan, Kazakhstan, 161200</v>
      </c>
      <c r="H2141" s="123"/>
      <c r="I2141" s="123"/>
      <c r="J2141" s="123"/>
      <c r="K2141" s="123"/>
      <c r="L2141" s="123"/>
      <c r="M2141" s="123"/>
      <c r="N2141" s="126"/>
    </row>
    <row r="2142" spans="1:15" s="4" customFormat="1" ht="25.2">
      <c r="A2142" s="125"/>
      <c r="B2142" s="123"/>
      <c r="C2142" s="123"/>
      <c r="D2142" s="123"/>
      <c r="E2142" s="123"/>
      <c r="F2142" s="168"/>
      <c r="G2142" s="167" t="str">
        <f>PL!$B$15</f>
        <v>BIN: 230741006561</v>
      </c>
      <c r="H2142" s="123"/>
      <c r="I2142" s="123"/>
      <c r="J2142" s="123"/>
      <c r="K2142" s="123"/>
      <c r="L2142" s="123"/>
      <c r="M2142" s="123"/>
      <c r="N2142" s="126"/>
    </row>
    <row r="2143" spans="1:15" s="3" customFormat="1" ht="9.9" customHeight="1">
      <c r="A2143" s="125"/>
      <c r="B2143" s="123"/>
      <c r="C2143" s="123"/>
      <c r="D2143" s="123"/>
      <c r="E2143" s="123"/>
      <c r="F2143" s="169"/>
      <c r="G2143" s="169"/>
      <c r="H2143" s="123"/>
      <c r="I2143" s="123"/>
      <c r="J2143" s="123"/>
      <c r="K2143" s="123"/>
      <c r="L2143" s="123"/>
      <c r="M2143" s="123"/>
      <c r="N2143" s="126"/>
    </row>
    <row r="2144" spans="1:15" s="3" customFormat="1" ht="25.2">
      <c r="A2144" s="125" t="s">
        <v>1891</v>
      </c>
      <c r="B2144" s="123"/>
      <c r="C2144" s="123"/>
      <c r="D2144" s="123"/>
      <c r="E2144" s="123"/>
      <c r="F2144" s="167" t="s">
        <v>1892</v>
      </c>
      <c r="G2144" s="123"/>
      <c r="H2144" s="123"/>
      <c r="I2144" s="123"/>
      <c r="J2144" s="123"/>
      <c r="K2144" s="123"/>
      <c r="L2144" s="123"/>
      <c r="M2144" s="123"/>
      <c r="N2144" s="126"/>
    </row>
    <row r="2145" spans="1:14" s="4" customFormat="1" ht="25.2">
      <c r="A2145" s="125" t="s">
        <v>1893</v>
      </c>
      <c r="B2145" s="123"/>
      <c r="C2145" s="123"/>
      <c r="D2145" s="123"/>
      <c r="E2145" s="123"/>
      <c r="F2145" s="167" t="s">
        <v>1894</v>
      </c>
      <c r="G2145" s="123"/>
      <c r="H2145" s="123"/>
      <c r="I2145" s="123"/>
      <c r="J2145" s="123"/>
      <c r="K2145" s="123"/>
      <c r="L2145" s="123"/>
      <c r="M2145" s="123"/>
      <c r="N2145" s="126"/>
    </row>
    <row r="2146" spans="1:14" s="3" customFormat="1" ht="9.9" customHeight="1">
      <c r="A2146" s="125"/>
      <c r="B2146" s="123"/>
      <c r="C2146" s="123"/>
      <c r="D2146" s="123"/>
      <c r="E2146" s="123"/>
      <c r="F2146" s="167"/>
      <c r="G2146" s="123"/>
      <c r="H2146" s="123"/>
      <c r="I2146" s="123"/>
      <c r="J2146" s="123"/>
      <c r="K2146" s="123"/>
      <c r="L2146" s="123"/>
      <c r="M2146" s="123"/>
      <c r="N2146" s="126"/>
    </row>
    <row r="2147" spans="1:14" s="3" customFormat="1" ht="25.2">
      <c r="A2147" s="125" t="s">
        <v>1895</v>
      </c>
      <c r="B2147" s="123"/>
      <c r="C2147" s="123"/>
      <c r="D2147" s="123"/>
      <c r="E2147" s="123"/>
      <c r="F2147" s="167" t="s">
        <v>1896</v>
      </c>
      <c r="G2147" s="167" t="str">
        <f>PL!$V$8</f>
        <v>PGU-DE-0139-001</v>
      </c>
      <c r="H2147" s="123"/>
      <c r="I2147" s="123"/>
      <c r="J2147" s="123"/>
      <c r="K2147" s="123"/>
      <c r="L2147" s="123"/>
      <c r="M2147" s="123"/>
      <c r="N2147" s="126"/>
    </row>
    <row r="2148" spans="1:14" s="3" customFormat="1" ht="25.2">
      <c r="A2148" s="125" t="s">
        <v>1897</v>
      </c>
      <c r="B2148" s="123"/>
      <c r="C2148" s="123"/>
      <c r="D2148" s="123"/>
      <c r="E2148" s="123"/>
      <c r="F2148" s="167"/>
      <c r="G2148" s="123"/>
      <c r="H2148" s="123"/>
      <c r="I2148" s="123"/>
      <c r="J2148" s="123"/>
      <c r="K2148" s="123"/>
      <c r="L2148" s="123"/>
      <c r="M2148" s="123"/>
      <c r="N2148" s="126"/>
    </row>
    <row r="2149" spans="1:14" s="3" customFormat="1" ht="9.9" customHeight="1">
      <c r="A2149" s="125"/>
      <c r="B2149" s="123"/>
      <c r="C2149" s="123"/>
      <c r="D2149" s="123"/>
      <c r="E2149" s="123"/>
      <c r="F2149" s="167"/>
      <c r="G2149" s="123"/>
      <c r="H2149" s="123"/>
      <c r="I2149" s="123"/>
      <c r="J2149" s="123"/>
      <c r="K2149" s="123"/>
      <c r="L2149" s="123"/>
      <c r="M2149" s="123"/>
      <c r="N2149" s="126"/>
    </row>
    <row r="2150" spans="1:14" s="3" customFormat="1" ht="31.2" customHeight="1">
      <c r="A2150" s="127" t="s">
        <v>1898</v>
      </c>
      <c r="B2150" s="170"/>
      <c r="C2150" s="170"/>
      <c r="D2150" s="170"/>
      <c r="E2150" s="170"/>
      <c r="F2150" s="171" t="s">
        <v>1885</v>
      </c>
      <c r="G2150" s="597" t="e">
        <f>VLOOKUP(G2153, 'Detail PL'!$B$14:$Q$799,2)</f>
        <v>#N/A</v>
      </c>
      <c r="H2150" s="597"/>
      <c r="I2150" s="597"/>
      <c r="J2150" s="597"/>
      <c r="K2150" s="597"/>
      <c r="L2150" s="597"/>
      <c r="M2150" s="597"/>
      <c r="N2150" s="128"/>
    </row>
    <row r="2151" spans="1:14" s="3" customFormat="1" ht="25.2">
      <c r="A2151" s="127" t="s">
        <v>1899</v>
      </c>
      <c r="B2151" s="170"/>
      <c r="C2151" s="170"/>
      <c r="D2151" s="170"/>
      <c r="E2151" s="170"/>
      <c r="F2151" s="171"/>
      <c r="G2151" s="170"/>
      <c r="H2151" s="170"/>
      <c r="I2151" s="170"/>
      <c r="J2151" s="170"/>
      <c r="K2151" s="170"/>
      <c r="L2151" s="170"/>
      <c r="M2151" s="170"/>
      <c r="N2151" s="128"/>
    </row>
    <row r="2152" spans="1:14" s="3" customFormat="1" ht="9.9" customHeight="1">
      <c r="A2152" s="125"/>
      <c r="B2152" s="123"/>
      <c r="C2152" s="123"/>
      <c r="D2152" s="123"/>
      <c r="E2152" s="123"/>
      <c r="F2152" s="167"/>
      <c r="G2152" s="123"/>
      <c r="H2152" s="123"/>
      <c r="I2152" s="123"/>
      <c r="J2152" s="123"/>
      <c r="K2152" s="123"/>
      <c r="L2152" s="123"/>
      <c r="M2152" s="123"/>
      <c r="N2152" s="126"/>
    </row>
    <row r="2153" spans="1:14" s="3" customFormat="1" ht="25.2">
      <c r="A2153" s="125" t="s">
        <v>1900</v>
      </c>
      <c r="B2153" s="123"/>
      <c r="C2153" s="123"/>
      <c r="D2153" s="123"/>
      <c r="E2153" s="123"/>
      <c r="F2153" s="171" t="s">
        <v>1901</v>
      </c>
      <c r="G2153" s="604">
        <f t="shared" ref="G2153" si="59">G2118+1</f>
        <v>62</v>
      </c>
      <c r="H2153" s="604"/>
      <c r="I2153" s="604"/>
      <c r="J2153" s="604"/>
      <c r="K2153" s="604"/>
      <c r="L2153" s="123"/>
      <c r="M2153" s="123"/>
      <c r="N2153" s="126"/>
    </row>
    <row r="2154" spans="1:14" s="4" customFormat="1" ht="25.2">
      <c r="A2154" s="125" t="s">
        <v>1903</v>
      </c>
      <c r="B2154" s="123"/>
      <c r="C2154" s="123"/>
      <c r="D2154" s="123"/>
      <c r="E2154" s="123"/>
      <c r="F2154" s="167"/>
      <c r="G2154" s="167"/>
      <c r="H2154" s="123"/>
      <c r="I2154" s="123"/>
      <c r="J2154" s="123"/>
      <c r="K2154" s="123"/>
      <c r="L2154" s="123"/>
      <c r="M2154" s="123"/>
      <c r="N2154" s="126"/>
    </row>
    <row r="2155" spans="1:14" s="3" customFormat="1" ht="9.9" customHeight="1">
      <c r="A2155" s="125"/>
      <c r="B2155" s="123"/>
      <c r="C2155" s="123"/>
      <c r="D2155" s="123"/>
      <c r="E2155" s="123"/>
      <c r="F2155" s="167"/>
      <c r="G2155" s="167"/>
      <c r="H2155" s="123"/>
      <c r="I2155" s="123"/>
      <c r="J2155" s="123"/>
      <c r="K2155" s="123"/>
      <c r="L2155" s="123"/>
      <c r="M2155" s="123"/>
      <c r="N2155" s="126"/>
    </row>
    <row r="2156" spans="1:14" s="3" customFormat="1" ht="25.2">
      <c r="A2156" s="125" t="s">
        <v>1904</v>
      </c>
      <c r="B2156" s="123"/>
      <c r="C2156" s="123"/>
      <c r="D2156" s="123"/>
      <c r="E2156" s="123"/>
      <c r="F2156" s="167" t="s">
        <v>1896</v>
      </c>
      <c r="G2156" s="204" t="e">
        <f>VLOOKUP(G2153, 'Detail PL'!$B$14:$Q$799, 10)</f>
        <v>#N/A</v>
      </c>
      <c r="H2156" s="204" t="s">
        <v>1905</v>
      </c>
      <c r="I2156" s="204"/>
      <c r="J2156" s="204"/>
      <c r="K2156" s="123"/>
      <c r="L2156" s="123"/>
      <c r="M2156" s="123"/>
      <c r="N2156" s="126"/>
    </row>
    <row r="2157" spans="1:14" s="4" customFormat="1" ht="25.2">
      <c r="A2157" s="125" t="s">
        <v>1906</v>
      </c>
      <c r="B2157" s="123"/>
      <c r="C2157" s="123"/>
      <c r="D2157" s="123"/>
      <c r="E2157" s="123"/>
      <c r="F2157" s="167"/>
      <c r="G2157" s="167"/>
      <c r="H2157" s="167"/>
      <c r="I2157" s="123"/>
      <c r="J2157" s="123"/>
      <c r="K2157" s="123"/>
      <c r="L2157" s="123"/>
      <c r="M2157" s="123"/>
      <c r="N2157" s="126"/>
    </row>
    <row r="2158" spans="1:14" s="3" customFormat="1" ht="9.9" customHeight="1">
      <c r="A2158" s="125"/>
      <c r="B2158" s="123"/>
      <c r="C2158" s="123"/>
      <c r="D2158" s="123"/>
      <c r="E2158" s="123"/>
      <c r="F2158" s="167"/>
      <c r="G2158" s="167"/>
      <c r="H2158" s="167"/>
      <c r="I2158" s="123"/>
      <c r="J2158" s="123"/>
      <c r="K2158" s="123"/>
      <c r="L2158" s="123"/>
      <c r="M2158" s="123"/>
      <c r="N2158" s="126"/>
    </row>
    <row r="2159" spans="1:14" s="3" customFormat="1" ht="25.2">
      <c r="A2159" s="125" t="s">
        <v>1907</v>
      </c>
      <c r="B2159" s="123"/>
      <c r="C2159" s="123"/>
      <c r="D2159" s="123"/>
      <c r="E2159" s="123"/>
      <c r="F2159" s="167" t="s">
        <v>1896</v>
      </c>
      <c r="G2159" s="204" t="e">
        <f>VLOOKUP(G2153, 'Detail PL'!$B$14:$Q$799, 11)</f>
        <v>#N/A</v>
      </c>
      <c r="H2159" s="204" t="s">
        <v>1905</v>
      </c>
      <c r="I2159" s="204"/>
      <c r="J2159" s="204"/>
      <c r="K2159" s="123"/>
      <c r="L2159" s="123"/>
      <c r="M2159" s="123"/>
      <c r="N2159" s="126"/>
    </row>
    <row r="2160" spans="1:14" s="4" customFormat="1" ht="25.2">
      <c r="A2160" s="125" t="s">
        <v>1908</v>
      </c>
      <c r="B2160" s="123"/>
      <c r="C2160" s="123"/>
      <c r="D2160" s="123"/>
      <c r="E2160" s="123"/>
      <c r="F2160" s="167"/>
      <c r="G2160" s="167"/>
      <c r="H2160" s="123"/>
      <c r="I2160" s="123"/>
      <c r="J2160" s="123"/>
      <c r="K2160" s="123"/>
      <c r="L2160" s="123"/>
      <c r="M2160" s="123"/>
      <c r="N2160" s="126"/>
    </row>
    <row r="2161" spans="1:15" s="3" customFormat="1" ht="9.9" customHeight="1">
      <c r="A2161" s="125"/>
      <c r="B2161" s="123"/>
      <c r="C2161" s="123"/>
      <c r="D2161" s="123"/>
      <c r="E2161" s="123"/>
      <c r="F2161" s="167"/>
      <c r="G2161" s="167"/>
      <c r="H2161" s="123"/>
      <c r="I2161" s="123"/>
      <c r="J2161" s="123"/>
      <c r="K2161" s="123"/>
      <c r="L2161" s="123"/>
      <c r="M2161" s="123"/>
      <c r="N2161" s="126"/>
    </row>
    <row r="2162" spans="1:15" s="3" customFormat="1" ht="25.2">
      <c r="A2162" s="129" t="s">
        <v>1909</v>
      </c>
      <c r="B2162" s="123"/>
      <c r="C2162" s="123"/>
      <c r="D2162" s="123"/>
      <c r="E2162" s="123"/>
      <c r="F2162" s="167" t="s">
        <v>1896</v>
      </c>
      <c r="G2162" s="204" t="e">
        <f>VLOOKUP(G2153, 'Detail PL'!$B$14:$Q$799, 9)</f>
        <v>#N/A</v>
      </c>
      <c r="H2162" s="205" t="s">
        <v>1910</v>
      </c>
      <c r="I2162" s="203"/>
      <c r="J2162" s="203"/>
      <c r="K2162" s="172"/>
      <c r="L2162" s="123"/>
      <c r="M2162" s="123"/>
      <c r="N2162" s="126"/>
    </row>
    <row r="2163" spans="1:15" s="4" customFormat="1" ht="25.2">
      <c r="A2163" s="125" t="s">
        <v>1911</v>
      </c>
      <c r="B2163" s="123"/>
      <c r="C2163" s="123"/>
      <c r="D2163" s="123"/>
      <c r="E2163" s="123"/>
      <c r="F2163" s="167"/>
      <c r="G2163" s="167"/>
      <c r="H2163" s="123"/>
      <c r="I2163" s="123"/>
      <c r="J2163" s="123"/>
      <c r="K2163" s="123"/>
      <c r="L2163" s="123"/>
      <c r="M2163" s="123"/>
      <c r="N2163" s="126"/>
    </row>
    <row r="2164" spans="1:15" s="3" customFormat="1" ht="9.9" customHeight="1">
      <c r="A2164" s="125"/>
      <c r="B2164" s="123"/>
      <c r="C2164" s="123"/>
      <c r="D2164" s="123"/>
      <c r="E2164" s="123"/>
      <c r="F2164" s="167"/>
      <c r="G2164" s="167"/>
      <c r="H2164" s="123"/>
      <c r="I2164" s="123"/>
      <c r="J2164" s="123"/>
      <c r="K2164" s="123"/>
      <c r="L2164" s="123"/>
      <c r="M2164" s="123"/>
      <c r="N2164" s="126"/>
    </row>
    <row r="2165" spans="1:15" s="3" customFormat="1" ht="42" customHeight="1">
      <c r="A2165" s="125" t="s">
        <v>1912</v>
      </c>
      <c r="B2165" s="123"/>
      <c r="C2165" s="123"/>
      <c r="D2165" s="123"/>
      <c r="E2165" s="123"/>
      <c r="F2165" s="166" t="s">
        <v>1913</v>
      </c>
      <c r="G2165" s="595" t="s">
        <v>1914</v>
      </c>
      <c r="H2165" s="595"/>
      <c r="I2165" s="595"/>
      <c r="J2165" s="595"/>
      <c r="K2165" s="595"/>
      <c r="L2165" s="595"/>
      <c r="M2165" s="595"/>
      <c r="N2165" s="596"/>
    </row>
    <row r="2166" spans="1:15" s="4" customFormat="1" ht="25.8" thickBot="1">
      <c r="A2166" s="125" t="s">
        <v>1915</v>
      </c>
      <c r="B2166" s="123"/>
      <c r="C2166" s="123"/>
      <c r="D2166" s="123"/>
      <c r="E2166" s="123"/>
      <c r="F2166" s="167"/>
      <c r="G2166" s="167"/>
      <c r="H2166" s="123"/>
      <c r="I2166" s="123"/>
      <c r="J2166" s="123"/>
      <c r="K2166" s="123"/>
      <c r="L2166" s="123"/>
      <c r="M2166" s="123"/>
      <c r="N2166" s="126"/>
    </row>
    <row r="2167" spans="1:15" ht="21" customHeight="1">
      <c r="A2167" s="598" t="s">
        <v>1916</v>
      </c>
      <c r="B2167" s="599"/>
      <c r="C2167" s="599"/>
      <c r="D2167" s="599"/>
      <c r="E2167" s="599"/>
      <c r="F2167" s="599"/>
      <c r="G2167" s="599"/>
      <c r="H2167" s="599"/>
      <c r="I2167" s="599"/>
      <c r="J2167" s="599"/>
      <c r="K2167" s="599"/>
      <c r="L2167" s="599"/>
      <c r="M2167" s="599"/>
      <c r="N2167" s="600"/>
    </row>
    <row r="2168" spans="1:15" ht="25.5" customHeight="1" thickBot="1">
      <c r="A2168" s="601"/>
      <c r="B2168" s="602"/>
      <c r="C2168" s="602"/>
      <c r="D2168" s="602"/>
      <c r="E2168" s="602"/>
      <c r="F2168" s="602"/>
      <c r="G2168" s="602"/>
      <c r="H2168" s="602"/>
      <c r="I2168" s="602"/>
      <c r="J2168" s="602"/>
      <c r="K2168" s="602"/>
      <c r="L2168" s="602"/>
      <c r="M2168" s="602"/>
      <c r="N2168" s="603"/>
    </row>
    <row r="2169" spans="1:15" ht="25.5" customHeight="1">
      <c r="E2169" s="206"/>
      <c r="F2169" s="206"/>
      <c r="G2169" s="206"/>
      <c r="H2169" s="206"/>
      <c r="I2169" s="206"/>
      <c r="J2169" s="206"/>
      <c r="K2169" s="206"/>
    </row>
    <row r="2170" spans="1:15" ht="21.6" thickBot="1"/>
    <row r="2171" spans="1:15" ht="95.25" customHeight="1" thickBot="1">
      <c r="A2171" s="592" t="s">
        <v>1883</v>
      </c>
      <c r="B2171" s="593"/>
      <c r="C2171" s="593"/>
      <c r="D2171" s="593"/>
      <c r="E2171" s="593"/>
      <c r="F2171" s="593"/>
      <c r="G2171" s="593"/>
      <c r="H2171" s="593"/>
      <c r="I2171" s="593"/>
      <c r="J2171" s="593"/>
      <c r="K2171" s="593"/>
      <c r="L2171" s="593"/>
      <c r="M2171" s="593"/>
      <c r="N2171" s="594"/>
    </row>
    <row r="2172" spans="1:15" s="3" customFormat="1" ht="37.5" customHeight="1">
      <c r="A2172" s="134" t="s">
        <v>1884</v>
      </c>
      <c r="B2172" s="166"/>
      <c r="C2172" s="166"/>
      <c r="D2172" s="123"/>
      <c r="E2172" s="123"/>
      <c r="F2172" s="167" t="s">
        <v>1885</v>
      </c>
      <c r="G2172" s="167" t="s">
        <v>1886</v>
      </c>
      <c r="H2172" s="167"/>
      <c r="I2172" s="167"/>
      <c r="J2172" s="167"/>
      <c r="K2172" s="167"/>
      <c r="L2172" s="167"/>
      <c r="M2172" s="167"/>
      <c r="N2172" s="152"/>
      <c r="O2172" s="201"/>
    </row>
    <row r="2173" spans="1:15" s="4" customFormat="1" ht="25.2">
      <c r="A2173" s="125" t="s">
        <v>1887</v>
      </c>
      <c r="B2173" s="123"/>
      <c r="C2173" s="123"/>
      <c r="D2173" s="123"/>
      <c r="E2173" s="123"/>
      <c r="F2173" s="167"/>
      <c r="G2173" s="167" t="s">
        <v>1888</v>
      </c>
      <c r="H2173" s="167"/>
      <c r="I2173" s="167"/>
      <c r="J2173" s="167"/>
      <c r="K2173" s="167"/>
      <c r="L2173" s="167"/>
      <c r="M2173" s="167"/>
      <c r="N2173" s="152"/>
    </row>
    <row r="2174" spans="1:15" s="3" customFormat="1" ht="9.9" customHeight="1">
      <c r="A2174" s="125"/>
      <c r="B2174" s="123"/>
      <c r="C2174" s="123"/>
      <c r="D2174" s="123"/>
      <c r="E2174" s="123"/>
      <c r="F2174" s="167"/>
      <c r="G2174" s="123"/>
      <c r="H2174" s="123"/>
      <c r="I2174" s="123"/>
      <c r="J2174" s="123"/>
      <c r="K2174" s="123"/>
      <c r="L2174" s="123"/>
      <c r="M2174" s="123"/>
      <c r="N2174" s="126"/>
    </row>
    <row r="2175" spans="1:15" s="3" customFormat="1" ht="42.75" customHeight="1">
      <c r="A2175" s="125" t="s">
        <v>1889</v>
      </c>
      <c r="B2175" s="123"/>
      <c r="C2175" s="123"/>
      <c r="D2175" s="123"/>
      <c r="E2175" s="123"/>
      <c r="F2175" s="167" t="s">
        <v>1885</v>
      </c>
      <c r="G2175" s="167" t="str">
        <f>PL!$B$13</f>
        <v>Branch of JSC "Doosan Enerbility" in the Turkestan region</v>
      </c>
      <c r="H2175" s="123"/>
      <c r="I2175" s="123"/>
      <c r="J2175" s="123"/>
      <c r="K2175" s="123"/>
      <c r="L2175" s="123"/>
      <c r="M2175" s="123"/>
      <c r="N2175" s="126"/>
    </row>
    <row r="2176" spans="1:15" s="3" customFormat="1" ht="24" customHeight="1">
      <c r="A2176" s="125" t="s">
        <v>1890</v>
      </c>
      <c r="B2176" s="123"/>
      <c r="C2176" s="123"/>
      <c r="D2176" s="123"/>
      <c r="E2176" s="123"/>
      <c r="F2176" s="168"/>
      <c r="G2176" s="167" t="str">
        <f>PL!$B$14</f>
        <v>321 Tauke Khan Avenue, Turkestan region, Turkestan, Kazakhstan, 161200</v>
      </c>
      <c r="H2176" s="123"/>
      <c r="I2176" s="123"/>
      <c r="J2176" s="123"/>
      <c r="K2176" s="123"/>
      <c r="L2176" s="123"/>
      <c r="M2176" s="123"/>
      <c r="N2176" s="126"/>
    </row>
    <row r="2177" spans="1:14" s="4" customFormat="1" ht="25.2">
      <c r="A2177" s="125"/>
      <c r="B2177" s="123"/>
      <c r="C2177" s="123"/>
      <c r="D2177" s="123"/>
      <c r="E2177" s="123"/>
      <c r="F2177" s="168"/>
      <c r="G2177" s="167" t="str">
        <f>PL!$B$15</f>
        <v>BIN: 230741006561</v>
      </c>
      <c r="H2177" s="123"/>
      <c r="I2177" s="123"/>
      <c r="J2177" s="123"/>
      <c r="K2177" s="123"/>
      <c r="L2177" s="123"/>
      <c r="M2177" s="123"/>
      <c r="N2177" s="126"/>
    </row>
    <row r="2178" spans="1:14" s="3" customFormat="1" ht="9.9" customHeight="1">
      <c r="A2178" s="125"/>
      <c r="B2178" s="123"/>
      <c r="C2178" s="123"/>
      <c r="D2178" s="123"/>
      <c r="E2178" s="123"/>
      <c r="F2178" s="169"/>
      <c r="G2178" s="169"/>
      <c r="H2178" s="123"/>
      <c r="I2178" s="123"/>
      <c r="J2178" s="123"/>
      <c r="K2178" s="123"/>
      <c r="L2178" s="123"/>
      <c r="M2178" s="123"/>
      <c r="N2178" s="126"/>
    </row>
    <row r="2179" spans="1:14" s="3" customFormat="1" ht="25.2">
      <c r="A2179" s="125" t="s">
        <v>1891</v>
      </c>
      <c r="B2179" s="123"/>
      <c r="C2179" s="123"/>
      <c r="D2179" s="123"/>
      <c r="E2179" s="123"/>
      <c r="F2179" s="167" t="s">
        <v>1892</v>
      </c>
      <c r="G2179" s="123"/>
      <c r="H2179" s="123"/>
      <c r="I2179" s="123"/>
      <c r="J2179" s="123"/>
      <c r="K2179" s="123"/>
      <c r="L2179" s="123"/>
      <c r="M2179" s="123"/>
      <c r="N2179" s="126"/>
    </row>
    <row r="2180" spans="1:14" s="4" customFormat="1" ht="25.2">
      <c r="A2180" s="125" t="s">
        <v>1893</v>
      </c>
      <c r="B2180" s="123"/>
      <c r="C2180" s="123"/>
      <c r="D2180" s="123"/>
      <c r="E2180" s="123"/>
      <c r="F2180" s="167" t="s">
        <v>1894</v>
      </c>
      <c r="G2180" s="123"/>
      <c r="H2180" s="123"/>
      <c r="I2180" s="123"/>
      <c r="J2180" s="123"/>
      <c r="K2180" s="123"/>
      <c r="L2180" s="123"/>
      <c r="M2180" s="123"/>
      <c r="N2180" s="126"/>
    </row>
    <row r="2181" spans="1:14" s="3" customFormat="1" ht="9.9" customHeight="1">
      <c r="A2181" s="125"/>
      <c r="B2181" s="123"/>
      <c r="C2181" s="123"/>
      <c r="D2181" s="123"/>
      <c r="E2181" s="123"/>
      <c r="F2181" s="167"/>
      <c r="G2181" s="123"/>
      <c r="H2181" s="123"/>
      <c r="I2181" s="123"/>
      <c r="J2181" s="123"/>
      <c r="K2181" s="123"/>
      <c r="L2181" s="123"/>
      <c r="M2181" s="123"/>
      <c r="N2181" s="126"/>
    </row>
    <row r="2182" spans="1:14" s="3" customFormat="1" ht="25.2">
      <c r="A2182" s="125" t="s">
        <v>1895</v>
      </c>
      <c r="B2182" s="123"/>
      <c r="C2182" s="123"/>
      <c r="D2182" s="123"/>
      <c r="E2182" s="123"/>
      <c r="F2182" s="167" t="s">
        <v>1896</v>
      </c>
      <c r="G2182" s="167" t="str">
        <f>PL!$V$8</f>
        <v>PGU-DE-0139-001</v>
      </c>
      <c r="H2182" s="123"/>
      <c r="I2182" s="123"/>
      <c r="J2182" s="123"/>
      <c r="K2182" s="123"/>
      <c r="L2182" s="123"/>
      <c r="M2182" s="123"/>
      <c r="N2182" s="126"/>
    </row>
    <row r="2183" spans="1:14" s="3" customFormat="1" ht="25.2">
      <c r="A2183" s="125" t="s">
        <v>1897</v>
      </c>
      <c r="B2183" s="123"/>
      <c r="C2183" s="123"/>
      <c r="D2183" s="123"/>
      <c r="E2183" s="123"/>
      <c r="F2183" s="167"/>
      <c r="G2183" s="123"/>
      <c r="H2183" s="123"/>
      <c r="I2183" s="123"/>
      <c r="J2183" s="123"/>
      <c r="K2183" s="123"/>
      <c r="L2183" s="123"/>
      <c r="M2183" s="123"/>
      <c r="N2183" s="126"/>
    </row>
    <row r="2184" spans="1:14" s="3" customFormat="1" ht="9.9" customHeight="1">
      <c r="A2184" s="125"/>
      <c r="B2184" s="123"/>
      <c r="C2184" s="123"/>
      <c r="D2184" s="123"/>
      <c r="E2184" s="123"/>
      <c r="F2184" s="167"/>
      <c r="G2184" s="123"/>
      <c r="H2184" s="123"/>
      <c r="I2184" s="123"/>
      <c r="J2184" s="123"/>
      <c r="K2184" s="123"/>
      <c r="L2184" s="123"/>
      <c r="M2184" s="123"/>
      <c r="N2184" s="126"/>
    </row>
    <row r="2185" spans="1:14" s="3" customFormat="1" ht="31.2" customHeight="1">
      <c r="A2185" s="127" t="s">
        <v>1898</v>
      </c>
      <c r="B2185" s="170"/>
      <c r="C2185" s="170"/>
      <c r="D2185" s="170"/>
      <c r="E2185" s="170"/>
      <c r="F2185" s="171" t="s">
        <v>1885</v>
      </c>
      <c r="G2185" s="597" t="e">
        <f>VLOOKUP(G2188, 'Detail PL'!$B$14:$Q$799,2)</f>
        <v>#N/A</v>
      </c>
      <c r="H2185" s="597"/>
      <c r="I2185" s="597"/>
      <c r="J2185" s="597"/>
      <c r="K2185" s="597"/>
      <c r="L2185" s="597"/>
      <c r="M2185" s="597"/>
      <c r="N2185" s="128"/>
    </row>
    <row r="2186" spans="1:14" s="3" customFormat="1" ht="25.2">
      <c r="A2186" s="127" t="s">
        <v>1899</v>
      </c>
      <c r="B2186" s="170"/>
      <c r="C2186" s="170"/>
      <c r="D2186" s="170"/>
      <c r="E2186" s="170"/>
      <c r="F2186" s="171"/>
      <c r="G2186" s="170"/>
      <c r="H2186" s="170"/>
      <c r="I2186" s="170"/>
      <c r="J2186" s="170"/>
      <c r="K2186" s="170"/>
      <c r="L2186" s="170"/>
      <c r="M2186" s="170"/>
      <c r="N2186" s="128"/>
    </row>
    <row r="2187" spans="1:14" s="3" customFormat="1" ht="9.9" customHeight="1">
      <c r="A2187" s="125"/>
      <c r="B2187" s="123"/>
      <c r="C2187" s="123"/>
      <c r="D2187" s="123"/>
      <c r="E2187" s="123"/>
      <c r="F2187" s="167"/>
      <c r="G2187" s="123"/>
      <c r="H2187" s="123"/>
      <c r="I2187" s="123"/>
      <c r="J2187" s="123"/>
      <c r="K2187" s="123"/>
      <c r="L2187" s="123"/>
      <c r="M2187" s="123"/>
      <c r="N2187" s="126"/>
    </row>
    <row r="2188" spans="1:14" s="3" customFormat="1" ht="25.2">
      <c r="A2188" s="125" t="s">
        <v>1900</v>
      </c>
      <c r="B2188" s="123"/>
      <c r="C2188" s="123"/>
      <c r="D2188" s="123"/>
      <c r="E2188" s="123"/>
      <c r="F2188" s="171" t="s">
        <v>1901</v>
      </c>
      <c r="G2188" s="604">
        <f t="shared" ref="G2188" si="60">G2153+1</f>
        <v>63</v>
      </c>
      <c r="H2188" s="604"/>
      <c r="I2188" s="604"/>
      <c r="J2188" s="604"/>
      <c r="K2188" s="604"/>
      <c r="L2188" s="123"/>
      <c r="M2188" s="123"/>
      <c r="N2188" s="126"/>
    </row>
    <row r="2189" spans="1:14" s="4" customFormat="1" ht="25.2">
      <c r="A2189" s="125" t="s">
        <v>1903</v>
      </c>
      <c r="B2189" s="123"/>
      <c r="C2189" s="123"/>
      <c r="D2189" s="123"/>
      <c r="E2189" s="123"/>
      <c r="F2189" s="167"/>
      <c r="G2189" s="167"/>
      <c r="H2189" s="123"/>
      <c r="I2189" s="123"/>
      <c r="J2189" s="123"/>
      <c r="K2189" s="123"/>
      <c r="L2189" s="123"/>
      <c r="M2189" s="123"/>
      <c r="N2189" s="126"/>
    </row>
    <row r="2190" spans="1:14" s="3" customFormat="1" ht="9.9" customHeight="1">
      <c r="A2190" s="125"/>
      <c r="B2190" s="123"/>
      <c r="C2190" s="123"/>
      <c r="D2190" s="123"/>
      <c r="E2190" s="123"/>
      <c r="F2190" s="167"/>
      <c r="G2190" s="167"/>
      <c r="H2190" s="123"/>
      <c r="I2190" s="123"/>
      <c r="J2190" s="123"/>
      <c r="K2190" s="123"/>
      <c r="L2190" s="123"/>
      <c r="M2190" s="123"/>
      <c r="N2190" s="126"/>
    </row>
    <row r="2191" spans="1:14" s="3" customFormat="1" ht="25.2">
      <c r="A2191" s="125" t="s">
        <v>1904</v>
      </c>
      <c r="B2191" s="123"/>
      <c r="C2191" s="123"/>
      <c r="D2191" s="123"/>
      <c r="E2191" s="123"/>
      <c r="F2191" s="167" t="s">
        <v>1896</v>
      </c>
      <c r="G2191" s="204" t="e">
        <f>VLOOKUP(G2188, 'Detail PL'!$B$14:$Q$799, 10)</f>
        <v>#N/A</v>
      </c>
      <c r="H2191" s="204" t="s">
        <v>1905</v>
      </c>
      <c r="I2191" s="204"/>
      <c r="J2191" s="204"/>
      <c r="K2191" s="123"/>
      <c r="L2191" s="123"/>
      <c r="M2191" s="123"/>
      <c r="N2191" s="126"/>
    </row>
    <row r="2192" spans="1:14" s="4" customFormat="1" ht="25.2">
      <c r="A2192" s="125" t="s">
        <v>1906</v>
      </c>
      <c r="B2192" s="123"/>
      <c r="C2192" s="123"/>
      <c r="D2192" s="123"/>
      <c r="E2192" s="123"/>
      <c r="F2192" s="167"/>
      <c r="G2192" s="167"/>
      <c r="H2192" s="167"/>
      <c r="I2192" s="123"/>
      <c r="J2192" s="123"/>
      <c r="K2192" s="123"/>
      <c r="L2192" s="123"/>
      <c r="M2192" s="123"/>
      <c r="N2192" s="126"/>
    </row>
    <row r="2193" spans="1:15" s="3" customFormat="1" ht="9.9" customHeight="1">
      <c r="A2193" s="125"/>
      <c r="B2193" s="123"/>
      <c r="C2193" s="123"/>
      <c r="D2193" s="123"/>
      <c r="E2193" s="123"/>
      <c r="F2193" s="167"/>
      <c r="G2193" s="167"/>
      <c r="H2193" s="167"/>
      <c r="I2193" s="123"/>
      <c r="J2193" s="123"/>
      <c r="K2193" s="123"/>
      <c r="L2193" s="123"/>
      <c r="M2193" s="123"/>
      <c r="N2193" s="126"/>
    </row>
    <row r="2194" spans="1:15" s="3" customFormat="1" ht="25.2">
      <c r="A2194" s="125" t="s">
        <v>1907</v>
      </c>
      <c r="B2194" s="123"/>
      <c r="C2194" s="123"/>
      <c r="D2194" s="123"/>
      <c r="E2194" s="123"/>
      <c r="F2194" s="167" t="s">
        <v>1896</v>
      </c>
      <c r="G2194" s="204" t="e">
        <f>VLOOKUP(G2188, 'Detail PL'!$B$14:$Q$799, 11)</f>
        <v>#N/A</v>
      </c>
      <c r="H2194" s="204" t="s">
        <v>1905</v>
      </c>
      <c r="I2194" s="204"/>
      <c r="J2194" s="204"/>
      <c r="K2194" s="123"/>
      <c r="L2194" s="123"/>
      <c r="M2194" s="123"/>
      <c r="N2194" s="126"/>
    </row>
    <row r="2195" spans="1:15" s="4" customFormat="1" ht="25.2">
      <c r="A2195" s="125" t="s">
        <v>1908</v>
      </c>
      <c r="B2195" s="123"/>
      <c r="C2195" s="123"/>
      <c r="D2195" s="123"/>
      <c r="E2195" s="123"/>
      <c r="F2195" s="167"/>
      <c r="G2195" s="167"/>
      <c r="H2195" s="123"/>
      <c r="I2195" s="123"/>
      <c r="J2195" s="123"/>
      <c r="K2195" s="123"/>
      <c r="L2195" s="123"/>
      <c r="M2195" s="123"/>
      <c r="N2195" s="126"/>
    </row>
    <row r="2196" spans="1:15" s="3" customFormat="1" ht="9.9" customHeight="1">
      <c r="A2196" s="125"/>
      <c r="B2196" s="123"/>
      <c r="C2196" s="123"/>
      <c r="D2196" s="123"/>
      <c r="E2196" s="123"/>
      <c r="F2196" s="167"/>
      <c r="G2196" s="167"/>
      <c r="H2196" s="123"/>
      <c r="I2196" s="123"/>
      <c r="J2196" s="123"/>
      <c r="K2196" s="123"/>
      <c r="L2196" s="123"/>
      <c r="M2196" s="123"/>
      <c r="N2196" s="126"/>
    </row>
    <row r="2197" spans="1:15" s="3" customFormat="1" ht="25.2">
      <c r="A2197" s="129" t="s">
        <v>1909</v>
      </c>
      <c r="B2197" s="123"/>
      <c r="C2197" s="123"/>
      <c r="D2197" s="123"/>
      <c r="E2197" s="123"/>
      <c r="F2197" s="167" t="s">
        <v>1896</v>
      </c>
      <c r="G2197" s="204" t="e">
        <f>VLOOKUP(G2188, 'Detail PL'!$B$14:$Q$799, 9)</f>
        <v>#N/A</v>
      </c>
      <c r="H2197" s="205" t="s">
        <v>1910</v>
      </c>
      <c r="I2197" s="203"/>
      <c r="J2197" s="203"/>
      <c r="K2197" s="172"/>
      <c r="L2197" s="123"/>
      <c r="M2197" s="123"/>
      <c r="N2197" s="126"/>
    </row>
    <row r="2198" spans="1:15" s="4" customFormat="1" ht="25.2">
      <c r="A2198" s="125" t="s">
        <v>1911</v>
      </c>
      <c r="B2198" s="123"/>
      <c r="C2198" s="123"/>
      <c r="D2198" s="123"/>
      <c r="E2198" s="123"/>
      <c r="F2198" s="167"/>
      <c r="G2198" s="167"/>
      <c r="H2198" s="123"/>
      <c r="I2198" s="123"/>
      <c r="J2198" s="123"/>
      <c r="K2198" s="123"/>
      <c r="L2198" s="123"/>
      <c r="M2198" s="123"/>
      <c r="N2198" s="126"/>
    </row>
    <row r="2199" spans="1:15" s="3" customFormat="1" ht="9.9" customHeight="1">
      <c r="A2199" s="125"/>
      <c r="B2199" s="123"/>
      <c r="C2199" s="123"/>
      <c r="D2199" s="123"/>
      <c r="E2199" s="123"/>
      <c r="F2199" s="167"/>
      <c r="G2199" s="167"/>
      <c r="H2199" s="123"/>
      <c r="I2199" s="123"/>
      <c r="J2199" s="123"/>
      <c r="K2199" s="123"/>
      <c r="L2199" s="123"/>
      <c r="M2199" s="123"/>
      <c r="N2199" s="126"/>
    </row>
    <row r="2200" spans="1:15" s="3" customFormat="1" ht="42" customHeight="1">
      <c r="A2200" s="125" t="s">
        <v>1912</v>
      </c>
      <c r="B2200" s="123"/>
      <c r="C2200" s="123"/>
      <c r="D2200" s="123"/>
      <c r="E2200" s="123"/>
      <c r="F2200" s="166" t="s">
        <v>1913</v>
      </c>
      <c r="G2200" s="595" t="s">
        <v>1914</v>
      </c>
      <c r="H2200" s="595"/>
      <c r="I2200" s="595"/>
      <c r="J2200" s="595"/>
      <c r="K2200" s="595"/>
      <c r="L2200" s="595"/>
      <c r="M2200" s="595"/>
      <c r="N2200" s="596"/>
    </row>
    <row r="2201" spans="1:15" s="4" customFormat="1" ht="25.8" thickBot="1">
      <c r="A2201" s="125" t="s">
        <v>1915</v>
      </c>
      <c r="B2201" s="123"/>
      <c r="C2201" s="123"/>
      <c r="D2201" s="123"/>
      <c r="E2201" s="123"/>
      <c r="F2201" s="167"/>
      <c r="G2201" s="167"/>
      <c r="H2201" s="123"/>
      <c r="I2201" s="123"/>
      <c r="J2201" s="123"/>
      <c r="K2201" s="123"/>
      <c r="L2201" s="123"/>
      <c r="M2201" s="123"/>
      <c r="N2201" s="126"/>
    </row>
    <row r="2202" spans="1:15" ht="21" customHeight="1">
      <c r="A2202" s="598" t="s">
        <v>1916</v>
      </c>
      <c r="B2202" s="599"/>
      <c r="C2202" s="599"/>
      <c r="D2202" s="599"/>
      <c r="E2202" s="599"/>
      <c r="F2202" s="599"/>
      <c r="G2202" s="599"/>
      <c r="H2202" s="599"/>
      <c r="I2202" s="599"/>
      <c r="J2202" s="599"/>
      <c r="K2202" s="599"/>
      <c r="L2202" s="599"/>
      <c r="M2202" s="599"/>
      <c r="N2202" s="600"/>
    </row>
    <row r="2203" spans="1:15" ht="25.5" customHeight="1" thickBot="1">
      <c r="A2203" s="601"/>
      <c r="B2203" s="602"/>
      <c r="C2203" s="602"/>
      <c r="D2203" s="602"/>
      <c r="E2203" s="602"/>
      <c r="F2203" s="602"/>
      <c r="G2203" s="602"/>
      <c r="H2203" s="602"/>
      <c r="I2203" s="602"/>
      <c r="J2203" s="602"/>
      <c r="K2203" s="602"/>
      <c r="L2203" s="602"/>
      <c r="M2203" s="602"/>
      <c r="N2203" s="603"/>
    </row>
    <row r="2204" spans="1:15" ht="25.5" customHeight="1">
      <c r="E2204" s="206"/>
      <c r="F2204" s="206"/>
      <c r="G2204" s="206"/>
      <c r="H2204" s="206"/>
      <c r="I2204" s="206"/>
      <c r="J2204" s="206"/>
      <c r="K2204" s="206"/>
    </row>
    <row r="2205" spans="1:15" ht="21.6" thickBot="1"/>
    <row r="2206" spans="1:15" ht="95.25" customHeight="1" thickBot="1">
      <c r="A2206" s="592" t="s">
        <v>1883</v>
      </c>
      <c r="B2206" s="593"/>
      <c r="C2206" s="593"/>
      <c r="D2206" s="593"/>
      <c r="E2206" s="593"/>
      <c r="F2206" s="593"/>
      <c r="G2206" s="593"/>
      <c r="H2206" s="593"/>
      <c r="I2206" s="593"/>
      <c r="J2206" s="593"/>
      <c r="K2206" s="593"/>
      <c r="L2206" s="593"/>
      <c r="M2206" s="593"/>
      <c r="N2206" s="594"/>
    </row>
    <row r="2207" spans="1:15" s="3" customFormat="1" ht="37.5" customHeight="1">
      <c r="A2207" s="134" t="s">
        <v>1884</v>
      </c>
      <c r="B2207" s="166"/>
      <c r="C2207" s="166"/>
      <c r="D2207" s="123"/>
      <c r="E2207" s="123"/>
      <c r="F2207" s="167" t="s">
        <v>1885</v>
      </c>
      <c r="G2207" s="167" t="s">
        <v>1886</v>
      </c>
      <c r="H2207" s="167"/>
      <c r="I2207" s="167"/>
      <c r="J2207" s="167"/>
      <c r="K2207" s="167"/>
      <c r="L2207" s="167"/>
      <c r="M2207" s="167"/>
      <c r="N2207" s="152"/>
      <c r="O2207" s="201"/>
    </row>
    <row r="2208" spans="1:15" s="4" customFormat="1" ht="25.2">
      <c r="A2208" s="125" t="s">
        <v>1887</v>
      </c>
      <c r="B2208" s="123"/>
      <c r="C2208" s="123"/>
      <c r="D2208" s="123"/>
      <c r="E2208" s="123"/>
      <c r="F2208" s="167"/>
      <c r="G2208" s="167" t="s">
        <v>1888</v>
      </c>
      <c r="H2208" s="167"/>
      <c r="I2208" s="167"/>
      <c r="J2208" s="167"/>
      <c r="K2208" s="167"/>
      <c r="L2208" s="167"/>
      <c r="M2208" s="167"/>
      <c r="N2208" s="152"/>
    </row>
    <row r="2209" spans="1:14" s="3" customFormat="1" ht="9.9" customHeight="1">
      <c r="A2209" s="125"/>
      <c r="B2209" s="123"/>
      <c r="C2209" s="123"/>
      <c r="D2209" s="123"/>
      <c r="E2209" s="123"/>
      <c r="F2209" s="167"/>
      <c r="G2209" s="123"/>
      <c r="H2209" s="123"/>
      <c r="I2209" s="123"/>
      <c r="J2209" s="123"/>
      <c r="K2209" s="123"/>
      <c r="L2209" s="123"/>
      <c r="M2209" s="123"/>
      <c r="N2209" s="126"/>
    </row>
    <row r="2210" spans="1:14" s="3" customFormat="1" ht="42.75" customHeight="1">
      <c r="A2210" s="125" t="s">
        <v>1889</v>
      </c>
      <c r="B2210" s="123"/>
      <c r="C2210" s="123"/>
      <c r="D2210" s="123"/>
      <c r="E2210" s="123"/>
      <c r="F2210" s="167" t="s">
        <v>1885</v>
      </c>
      <c r="G2210" s="167" t="str">
        <f>PL!$B$13</f>
        <v>Branch of JSC "Doosan Enerbility" in the Turkestan region</v>
      </c>
      <c r="H2210" s="123"/>
      <c r="I2210" s="123"/>
      <c r="J2210" s="123"/>
      <c r="K2210" s="123"/>
      <c r="L2210" s="123"/>
      <c r="M2210" s="123"/>
      <c r="N2210" s="126"/>
    </row>
    <row r="2211" spans="1:14" s="3" customFormat="1" ht="24" customHeight="1">
      <c r="A2211" s="125" t="s">
        <v>1890</v>
      </c>
      <c r="B2211" s="123"/>
      <c r="C2211" s="123"/>
      <c r="D2211" s="123"/>
      <c r="E2211" s="123"/>
      <c r="F2211" s="168"/>
      <c r="G2211" s="167" t="str">
        <f>PL!$B$14</f>
        <v>321 Tauke Khan Avenue, Turkestan region, Turkestan, Kazakhstan, 161200</v>
      </c>
      <c r="H2211" s="123"/>
      <c r="I2211" s="123"/>
      <c r="J2211" s="123"/>
      <c r="K2211" s="123"/>
      <c r="L2211" s="123"/>
      <c r="M2211" s="123"/>
      <c r="N2211" s="126"/>
    </row>
    <row r="2212" spans="1:14" s="4" customFormat="1" ht="25.2">
      <c r="A2212" s="125"/>
      <c r="B2212" s="123"/>
      <c r="C2212" s="123"/>
      <c r="D2212" s="123"/>
      <c r="E2212" s="123"/>
      <c r="F2212" s="168"/>
      <c r="G2212" s="167" t="str">
        <f>PL!$B$15</f>
        <v>BIN: 230741006561</v>
      </c>
      <c r="H2212" s="123"/>
      <c r="I2212" s="123"/>
      <c r="J2212" s="123"/>
      <c r="K2212" s="123"/>
      <c r="L2212" s="123"/>
      <c r="M2212" s="123"/>
      <c r="N2212" s="126"/>
    </row>
    <row r="2213" spans="1:14" s="3" customFormat="1" ht="9.9" customHeight="1">
      <c r="A2213" s="125"/>
      <c r="B2213" s="123"/>
      <c r="C2213" s="123"/>
      <c r="D2213" s="123"/>
      <c r="E2213" s="123"/>
      <c r="F2213" s="169"/>
      <c r="G2213" s="169"/>
      <c r="H2213" s="123"/>
      <c r="I2213" s="123"/>
      <c r="J2213" s="123"/>
      <c r="K2213" s="123"/>
      <c r="L2213" s="123"/>
      <c r="M2213" s="123"/>
      <c r="N2213" s="126"/>
    </row>
    <row r="2214" spans="1:14" s="3" customFormat="1" ht="25.2">
      <c r="A2214" s="125" t="s">
        <v>1891</v>
      </c>
      <c r="B2214" s="123"/>
      <c r="C2214" s="123"/>
      <c r="D2214" s="123"/>
      <c r="E2214" s="123"/>
      <c r="F2214" s="167" t="s">
        <v>1892</v>
      </c>
      <c r="G2214" s="123"/>
      <c r="H2214" s="123"/>
      <c r="I2214" s="123"/>
      <c r="J2214" s="123"/>
      <c r="K2214" s="123"/>
      <c r="L2214" s="123"/>
      <c r="M2214" s="123"/>
      <c r="N2214" s="126"/>
    </row>
    <row r="2215" spans="1:14" s="4" customFormat="1" ht="25.2">
      <c r="A2215" s="125" t="s">
        <v>1893</v>
      </c>
      <c r="B2215" s="123"/>
      <c r="C2215" s="123"/>
      <c r="D2215" s="123"/>
      <c r="E2215" s="123"/>
      <c r="F2215" s="167" t="s">
        <v>1894</v>
      </c>
      <c r="G2215" s="123"/>
      <c r="H2215" s="123"/>
      <c r="I2215" s="123"/>
      <c r="J2215" s="123"/>
      <c r="K2215" s="123"/>
      <c r="L2215" s="123"/>
      <c r="M2215" s="123"/>
      <c r="N2215" s="126"/>
    </row>
    <row r="2216" spans="1:14" s="3" customFormat="1" ht="9.9" customHeight="1">
      <c r="A2216" s="125"/>
      <c r="B2216" s="123"/>
      <c r="C2216" s="123"/>
      <c r="D2216" s="123"/>
      <c r="E2216" s="123"/>
      <c r="F2216" s="167"/>
      <c r="G2216" s="123"/>
      <c r="H2216" s="123"/>
      <c r="I2216" s="123"/>
      <c r="J2216" s="123"/>
      <c r="K2216" s="123"/>
      <c r="L2216" s="123"/>
      <c r="M2216" s="123"/>
      <c r="N2216" s="126"/>
    </row>
    <row r="2217" spans="1:14" s="3" customFormat="1" ht="25.2">
      <c r="A2217" s="125" t="s">
        <v>1895</v>
      </c>
      <c r="B2217" s="123"/>
      <c r="C2217" s="123"/>
      <c r="D2217" s="123"/>
      <c r="E2217" s="123"/>
      <c r="F2217" s="167" t="s">
        <v>1896</v>
      </c>
      <c r="G2217" s="167" t="str">
        <f>PL!$V$8</f>
        <v>PGU-DE-0139-001</v>
      </c>
      <c r="H2217" s="123"/>
      <c r="I2217" s="123"/>
      <c r="J2217" s="123"/>
      <c r="K2217" s="123"/>
      <c r="L2217" s="123"/>
      <c r="M2217" s="123"/>
      <c r="N2217" s="126"/>
    </row>
    <row r="2218" spans="1:14" s="3" customFormat="1" ht="25.2">
      <c r="A2218" s="125" t="s">
        <v>1897</v>
      </c>
      <c r="B2218" s="123"/>
      <c r="C2218" s="123"/>
      <c r="D2218" s="123"/>
      <c r="E2218" s="123"/>
      <c r="F2218" s="167"/>
      <c r="G2218" s="123"/>
      <c r="H2218" s="123"/>
      <c r="I2218" s="123"/>
      <c r="J2218" s="123"/>
      <c r="K2218" s="123"/>
      <c r="L2218" s="123"/>
      <c r="M2218" s="123"/>
      <c r="N2218" s="126"/>
    </row>
    <row r="2219" spans="1:14" s="3" customFormat="1" ht="9.9" customHeight="1">
      <c r="A2219" s="125"/>
      <c r="B2219" s="123"/>
      <c r="C2219" s="123"/>
      <c r="D2219" s="123"/>
      <c r="E2219" s="123"/>
      <c r="F2219" s="167"/>
      <c r="G2219" s="123"/>
      <c r="H2219" s="123"/>
      <c r="I2219" s="123"/>
      <c r="J2219" s="123"/>
      <c r="K2219" s="123"/>
      <c r="L2219" s="123"/>
      <c r="M2219" s="123"/>
      <c r="N2219" s="126"/>
    </row>
    <row r="2220" spans="1:14" s="3" customFormat="1" ht="31.2" customHeight="1">
      <c r="A2220" s="127" t="s">
        <v>1898</v>
      </c>
      <c r="B2220" s="170"/>
      <c r="C2220" s="170"/>
      <c r="D2220" s="170"/>
      <c r="E2220" s="170"/>
      <c r="F2220" s="171" t="s">
        <v>1885</v>
      </c>
      <c r="G2220" s="597" t="e">
        <f>VLOOKUP(G2223, 'Detail PL'!$B$14:$Q$799,2)</f>
        <v>#N/A</v>
      </c>
      <c r="H2220" s="597"/>
      <c r="I2220" s="597"/>
      <c r="J2220" s="597"/>
      <c r="K2220" s="597"/>
      <c r="L2220" s="597"/>
      <c r="M2220" s="597"/>
      <c r="N2220" s="128"/>
    </row>
    <row r="2221" spans="1:14" s="3" customFormat="1" ht="25.2">
      <c r="A2221" s="127" t="s">
        <v>1899</v>
      </c>
      <c r="B2221" s="170"/>
      <c r="C2221" s="170"/>
      <c r="D2221" s="170"/>
      <c r="E2221" s="170"/>
      <c r="F2221" s="171"/>
      <c r="G2221" s="170"/>
      <c r="H2221" s="170"/>
      <c r="I2221" s="170"/>
      <c r="J2221" s="170"/>
      <c r="K2221" s="170"/>
      <c r="L2221" s="170"/>
      <c r="M2221" s="170"/>
      <c r="N2221" s="128"/>
    </row>
    <row r="2222" spans="1:14" s="3" customFormat="1" ht="9.9" customHeight="1">
      <c r="A2222" s="125"/>
      <c r="B2222" s="123"/>
      <c r="C2222" s="123"/>
      <c r="D2222" s="123"/>
      <c r="E2222" s="123"/>
      <c r="F2222" s="167"/>
      <c r="G2222" s="123"/>
      <c r="H2222" s="123"/>
      <c r="I2222" s="123"/>
      <c r="J2222" s="123"/>
      <c r="K2222" s="123"/>
      <c r="L2222" s="123"/>
      <c r="M2222" s="123"/>
      <c r="N2222" s="126"/>
    </row>
    <row r="2223" spans="1:14" s="3" customFormat="1" ht="25.2">
      <c r="A2223" s="125" t="s">
        <v>1900</v>
      </c>
      <c r="B2223" s="123"/>
      <c r="C2223" s="123"/>
      <c r="D2223" s="123"/>
      <c r="E2223" s="123"/>
      <c r="F2223" s="171" t="s">
        <v>1901</v>
      </c>
      <c r="G2223" s="604">
        <f t="shared" ref="G2223" si="61">G2188+1</f>
        <v>64</v>
      </c>
      <c r="H2223" s="604"/>
      <c r="I2223" s="604"/>
      <c r="J2223" s="604"/>
      <c r="K2223" s="604"/>
      <c r="L2223" s="123"/>
      <c r="M2223" s="123"/>
      <c r="N2223" s="126"/>
    </row>
    <row r="2224" spans="1:14" s="4" customFormat="1" ht="25.2">
      <c r="A2224" s="125" t="s">
        <v>1903</v>
      </c>
      <c r="B2224" s="123"/>
      <c r="C2224" s="123"/>
      <c r="D2224" s="123"/>
      <c r="E2224" s="123"/>
      <c r="F2224" s="167"/>
      <c r="G2224" s="167"/>
      <c r="H2224" s="123"/>
      <c r="I2224" s="123"/>
      <c r="J2224" s="123"/>
      <c r="K2224" s="123"/>
      <c r="L2224" s="123"/>
      <c r="M2224" s="123"/>
      <c r="N2224" s="126"/>
    </row>
    <row r="2225" spans="1:14" s="3" customFormat="1" ht="9.9" customHeight="1">
      <c r="A2225" s="125"/>
      <c r="B2225" s="123"/>
      <c r="C2225" s="123"/>
      <c r="D2225" s="123"/>
      <c r="E2225" s="123"/>
      <c r="F2225" s="167"/>
      <c r="G2225" s="167"/>
      <c r="H2225" s="123"/>
      <c r="I2225" s="123"/>
      <c r="J2225" s="123"/>
      <c r="K2225" s="123"/>
      <c r="L2225" s="123"/>
      <c r="M2225" s="123"/>
      <c r="N2225" s="126"/>
    </row>
    <row r="2226" spans="1:14" s="3" customFormat="1" ht="25.2">
      <c r="A2226" s="125" t="s">
        <v>1904</v>
      </c>
      <c r="B2226" s="123"/>
      <c r="C2226" s="123"/>
      <c r="D2226" s="123"/>
      <c r="E2226" s="123"/>
      <c r="F2226" s="167" t="s">
        <v>1896</v>
      </c>
      <c r="G2226" s="204" t="e">
        <f>VLOOKUP(G2223, 'Detail PL'!$B$14:$Q$799, 10)</f>
        <v>#N/A</v>
      </c>
      <c r="H2226" s="204" t="s">
        <v>1905</v>
      </c>
      <c r="I2226" s="204"/>
      <c r="J2226" s="204"/>
      <c r="K2226" s="123"/>
      <c r="L2226" s="123"/>
      <c r="M2226" s="123"/>
      <c r="N2226" s="126"/>
    </row>
    <row r="2227" spans="1:14" s="4" customFormat="1" ht="25.2">
      <c r="A2227" s="125" t="s">
        <v>1906</v>
      </c>
      <c r="B2227" s="123"/>
      <c r="C2227" s="123"/>
      <c r="D2227" s="123"/>
      <c r="E2227" s="123"/>
      <c r="F2227" s="167"/>
      <c r="G2227" s="167"/>
      <c r="H2227" s="167"/>
      <c r="I2227" s="123"/>
      <c r="J2227" s="123"/>
      <c r="K2227" s="123"/>
      <c r="L2227" s="123"/>
      <c r="M2227" s="123"/>
      <c r="N2227" s="126"/>
    </row>
    <row r="2228" spans="1:14" s="3" customFormat="1" ht="9.9" customHeight="1">
      <c r="A2228" s="125"/>
      <c r="B2228" s="123"/>
      <c r="C2228" s="123"/>
      <c r="D2228" s="123"/>
      <c r="E2228" s="123"/>
      <c r="F2228" s="167"/>
      <c r="G2228" s="167"/>
      <c r="H2228" s="167"/>
      <c r="I2228" s="123"/>
      <c r="J2228" s="123"/>
      <c r="K2228" s="123"/>
      <c r="L2228" s="123"/>
      <c r="M2228" s="123"/>
      <c r="N2228" s="126"/>
    </row>
    <row r="2229" spans="1:14" s="3" customFormat="1" ht="25.2">
      <c r="A2229" s="125" t="s">
        <v>1907</v>
      </c>
      <c r="B2229" s="123"/>
      <c r="C2229" s="123"/>
      <c r="D2229" s="123"/>
      <c r="E2229" s="123"/>
      <c r="F2229" s="167" t="s">
        <v>1896</v>
      </c>
      <c r="G2229" s="204" t="e">
        <f>VLOOKUP(G2223, 'Detail PL'!$B$14:$Q$799, 11)</f>
        <v>#N/A</v>
      </c>
      <c r="H2229" s="204" t="s">
        <v>1905</v>
      </c>
      <c r="I2229" s="204"/>
      <c r="J2229" s="204"/>
      <c r="K2229" s="123"/>
      <c r="L2229" s="123"/>
      <c r="M2229" s="123"/>
      <c r="N2229" s="126"/>
    </row>
    <row r="2230" spans="1:14" s="4" customFormat="1" ht="25.2">
      <c r="A2230" s="125" t="s">
        <v>1908</v>
      </c>
      <c r="B2230" s="123"/>
      <c r="C2230" s="123"/>
      <c r="D2230" s="123"/>
      <c r="E2230" s="123"/>
      <c r="F2230" s="167"/>
      <c r="G2230" s="167"/>
      <c r="H2230" s="123"/>
      <c r="I2230" s="123"/>
      <c r="J2230" s="123"/>
      <c r="K2230" s="123"/>
      <c r="L2230" s="123"/>
      <c r="M2230" s="123"/>
      <c r="N2230" s="126"/>
    </row>
    <row r="2231" spans="1:14" s="3" customFormat="1" ht="9.9" customHeight="1">
      <c r="A2231" s="125"/>
      <c r="B2231" s="123"/>
      <c r="C2231" s="123"/>
      <c r="D2231" s="123"/>
      <c r="E2231" s="123"/>
      <c r="F2231" s="167"/>
      <c r="G2231" s="167"/>
      <c r="H2231" s="123"/>
      <c r="I2231" s="123"/>
      <c r="J2231" s="123"/>
      <c r="K2231" s="123"/>
      <c r="L2231" s="123"/>
      <c r="M2231" s="123"/>
      <c r="N2231" s="126"/>
    </row>
    <row r="2232" spans="1:14" s="3" customFormat="1" ht="25.2">
      <c r="A2232" s="129" t="s">
        <v>1909</v>
      </c>
      <c r="B2232" s="123"/>
      <c r="C2232" s="123"/>
      <c r="D2232" s="123"/>
      <c r="E2232" s="123"/>
      <c r="F2232" s="167" t="s">
        <v>1896</v>
      </c>
      <c r="G2232" s="204" t="e">
        <f>VLOOKUP(G2223, 'Detail PL'!$B$14:$Q$799, 9)</f>
        <v>#N/A</v>
      </c>
      <c r="H2232" s="205" t="s">
        <v>1910</v>
      </c>
      <c r="I2232" s="203"/>
      <c r="J2232" s="203"/>
      <c r="K2232" s="172"/>
      <c r="L2232" s="123"/>
      <c r="M2232" s="123"/>
      <c r="N2232" s="126"/>
    </row>
    <row r="2233" spans="1:14" s="4" customFormat="1" ht="25.2">
      <c r="A2233" s="125" t="s">
        <v>1911</v>
      </c>
      <c r="B2233" s="123"/>
      <c r="C2233" s="123"/>
      <c r="D2233" s="123"/>
      <c r="E2233" s="123"/>
      <c r="F2233" s="167"/>
      <c r="G2233" s="167"/>
      <c r="H2233" s="123"/>
      <c r="I2233" s="123"/>
      <c r="J2233" s="123"/>
      <c r="K2233" s="123"/>
      <c r="L2233" s="123"/>
      <c r="M2233" s="123"/>
      <c r="N2233" s="126"/>
    </row>
    <row r="2234" spans="1:14" s="3" customFormat="1" ht="9.9" customHeight="1">
      <c r="A2234" s="125"/>
      <c r="B2234" s="123"/>
      <c r="C2234" s="123"/>
      <c r="D2234" s="123"/>
      <c r="E2234" s="123"/>
      <c r="F2234" s="167"/>
      <c r="G2234" s="167"/>
      <c r="H2234" s="123"/>
      <c r="I2234" s="123"/>
      <c r="J2234" s="123"/>
      <c r="K2234" s="123"/>
      <c r="L2234" s="123"/>
      <c r="M2234" s="123"/>
      <c r="N2234" s="126"/>
    </row>
    <row r="2235" spans="1:14" s="3" customFormat="1" ht="42" customHeight="1">
      <c r="A2235" s="125" t="s">
        <v>1912</v>
      </c>
      <c r="B2235" s="123"/>
      <c r="C2235" s="123"/>
      <c r="D2235" s="123"/>
      <c r="E2235" s="123"/>
      <c r="F2235" s="166" t="s">
        <v>1913</v>
      </c>
      <c r="G2235" s="595" t="s">
        <v>1914</v>
      </c>
      <c r="H2235" s="595"/>
      <c r="I2235" s="595"/>
      <c r="J2235" s="595"/>
      <c r="K2235" s="595"/>
      <c r="L2235" s="595"/>
      <c r="M2235" s="595"/>
      <c r="N2235" s="596"/>
    </row>
    <row r="2236" spans="1:14" s="4" customFormat="1" ht="25.8" thickBot="1">
      <c r="A2236" s="125" t="s">
        <v>1915</v>
      </c>
      <c r="B2236" s="123"/>
      <c r="C2236" s="123"/>
      <c r="D2236" s="123"/>
      <c r="E2236" s="123"/>
      <c r="F2236" s="167"/>
      <c r="G2236" s="167"/>
      <c r="H2236" s="123"/>
      <c r="I2236" s="123"/>
      <c r="J2236" s="123"/>
      <c r="K2236" s="123"/>
      <c r="L2236" s="123"/>
      <c r="M2236" s="123"/>
      <c r="N2236" s="126"/>
    </row>
    <row r="2237" spans="1:14" ht="21" customHeight="1">
      <c r="A2237" s="598" t="s">
        <v>1916</v>
      </c>
      <c r="B2237" s="599"/>
      <c r="C2237" s="599"/>
      <c r="D2237" s="599"/>
      <c r="E2237" s="599"/>
      <c r="F2237" s="599"/>
      <c r="G2237" s="599"/>
      <c r="H2237" s="599"/>
      <c r="I2237" s="599"/>
      <c r="J2237" s="599"/>
      <c r="K2237" s="599"/>
      <c r="L2237" s="599"/>
      <c r="M2237" s="599"/>
      <c r="N2237" s="600"/>
    </row>
    <row r="2238" spans="1:14" ht="25.5" customHeight="1" thickBot="1">
      <c r="A2238" s="601"/>
      <c r="B2238" s="602"/>
      <c r="C2238" s="602"/>
      <c r="D2238" s="602"/>
      <c r="E2238" s="602"/>
      <c r="F2238" s="602"/>
      <c r="G2238" s="602"/>
      <c r="H2238" s="602"/>
      <c r="I2238" s="602"/>
      <c r="J2238" s="602"/>
      <c r="K2238" s="602"/>
      <c r="L2238" s="602"/>
      <c r="M2238" s="602"/>
      <c r="N2238" s="603"/>
    </row>
    <row r="2239" spans="1:14" ht="25.5" customHeight="1">
      <c r="E2239" s="206"/>
      <c r="F2239" s="206"/>
      <c r="G2239" s="206"/>
      <c r="H2239" s="206"/>
      <c r="I2239" s="206"/>
      <c r="J2239" s="206"/>
      <c r="K2239" s="206"/>
    </row>
    <row r="2240" spans="1:14" ht="21.6" thickBot="1"/>
    <row r="2241" spans="1:15" ht="95.25" customHeight="1" thickBot="1">
      <c r="A2241" s="592" t="s">
        <v>1883</v>
      </c>
      <c r="B2241" s="593"/>
      <c r="C2241" s="593"/>
      <c r="D2241" s="593"/>
      <c r="E2241" s="593"/>
      <c r="F2241" s="593"/>
      <c r="G2241" s="593"/>
      <c r="H2241" s="593"/>
      <c r="I2241" s="593"/>
      <c r="J2241" s="593"/>
      <c r="K2241" s="593"/>
      <c r="L2241" s="593"/>
      <c r="M2241" s="593"/>
      <c r="N2241" s="594"/>
    </row>
    <row r="2242" spans="1:15" s="3" customFormat="1" ht="37.5" customHeight="1">
      <c r="A2242" s="134" t="s">
        <v>1884</v>
      </c>
      <c r="B2242" s="166"/>
      <c r="C2242" s="166"/>
      <c r="D2242" s="123"/>
      <c r="E2242" s="123"/>
      <c r="F2242" s="167" t="s">
        <v>1885</v>
      </c>
      <c r="G2242" s="167" t="s">
        <v>1886</v>
      </c>
      <c r="H2242" s="167"/>
      <c r="I2242" s="167"/>
      <c r="J2242" s="167"/>
      <c r="K2242" s="167"/>
      <c r="L2242" s="167"/>
      <c r="M2242" s="167"/>
      <c r="N2242" s="152"/>
      <c r="O2242" s="201"/>
    </row>
    <row r="2243" spans="1:15" s="4" customFormat="1" ht="25.2">
      <c r="A2243" s="125" t="s">
        <v>1887</v>
      </c>
      <c r="B2243" s="123"/>
      <c r="C2243" s="123"/>
      <c r="D2243" s="123"/>
      <c r="E2243" s="123"/>
      <c r="F2243" s="167"/>
      <c r="G2243" s="167" t="s">
        <v>1888</v>
      </c>
      <c r="H2243" s="167"/>
      <c r="I2243" s="167"/>
      <c r="J2243" s="167"/>
      <c r="K2243" s="167"/>
      <c r="L2243" s="167"/>
      <c r="M2243" s="167"/>
      <c r="N2243" s="152"/>
    </row>
    <row r="2244" spans="1:15" s="3" customFormat="1" ht="9.9" customHeight="1">
      <c r="A2244" s="125"/>
      <c r="B2244" s="123"/>
      <c r="C2244" s="123"/>
      <c r="D2244" s="123"/>
      <c r="E2244" s="123"/>
      <c r="F2244" s="167"/>
      <c r="G2244" s="123"/>
      <c r="H2244" s="123"/>
      <c r="I2244" s="123"/>
      <c r="J2244" s="123"/>
      <c r="K2244" s="123"/>
      <c r="L2244" s="123"/>
      <c r="M2244" s="123"/>
      <c r="N2244" s="126"/>
    </row>
    <row r="2245" spans="1:15" s="3" customFormat="1" ht="42.75" customHeight="1">
      <c r="A2245" s="125" t="s">
        <v>1889</v>
      </c>
      <c r="B2245" s="123"/>
      <c r="C2245" s="123"/>
      <c r="D2245" s="123"/>
      <c r="E2245" s="123"/>
      <c r="F2245" s="167" t="s">
        <v>1885</v>
      </c>
      <c r="G2245" s="167" t="str">
        <f>PL!$B$13</f>
        <v>Branch of JSC "Doosan Enerbility" in the Turkestan region</v>
      </c>
      <c r="H2245" s="123"/>
      <c r="I2245" s="123"/>
      <c r="J2245" s="123"/>
      <c r="K2245" s="123"/>
      <c r="L2245" s="123"/>
      <c r="M2245" s="123"/>
      <c r="N2245" s="126"/>
    </row>
    <row r="2246" spans="1:15" s="3" customFormat="1" ht="24" customHeight="1">
      <c r="A2246" s="125" t="s">
        <v>1890</v>
      </c>
      <c r="B2246" s="123"/>
      <c r="C2246" s="123"/>
      <c r="D2246" s="123"/>
      <c r="E2246" s="123"/>
      <c r="F2246" s="168"/>
      <c r="G2246" s="167" t="str">
        <f>PL!$B$14</f>
        <v>321 Tauke Khan Avenue, Turkestan region, Turkestan, Kazakhstan, 161200</v>
      </c>
      <c r="H2246" s="123"/>
      <c r="I2246" s="123"/>
      <c r="J2246" s="123"/>
      <c r="K2246" s="123"/>
      <c r="L2246" s="123"/>
      <c r="M2246" s="123"/>
      <c r="N2246" s="126"/>
    </row>
    <row r="2247" spans="1:15" s="4" customFormat="1" ht="25.2">
      <c r="A2247" s="125"/>
      <c r="B2247" s="123"/>
      <c r="C2247" s="123"/>
      <c r="D2247" s="123"/>
      <c r="E2247" s="123"/>
      <c r="F2247" s="168"/>
      <c r="G2247" s="167" t="str">
        <f>PL!$B$15</f>
        <v>BIN: 230741006561</v>
      </c>
      <c r="H2247" s="123"/>
      <c r="I2247" s="123"/>
      <c r="J2247" s="123"/>
      <c r="K2247" s="123"/>
      <c r="L2247" s="123"/>
      <c r="M2247" s="123"/>
      <c r="N2247" s="126"/>
    </row>
    <row r="2248" spans="1:15" s="3" customFormat="1" ht="9.9" customHeight="1">
      <c r="A2248" s="125"/>
      <c r="B2248" s="123"/>
      <c r="C2248" s="123"/>
      <c r="D2248" s="123"/>
      <c r="E2248" s="123"/>
      <c r="F2248" s="169"/>
      <c r="G2248" s="169"/>
      <c r="H2248" s="123"/>
      <c r="I2248" s="123"/>
      <c r="J2248" s="123"/>
      <c r="K2248" s="123"/>
      <c r="L2248" s="123"/>
      <c r="M2248" s="123"/>
      <c r="N2248" s="126"/>
    </row>
    <row r="2249" spans="1:15" s="3" customFormat="1" ht="25.2">
      <c r="A2249" s="125" t="s">
        <v>1891</v>
      </c>
      <c r="B2249" s="123"/>
      <c r="C2249" s="123"/>
      <c r="D2249" s="123"/>
      <c r="E2249" s="123"/>
      <c r="F2249" s="167" t="s">
        <v>1892</v>
      </c>
      <c r="G2249" s="123"/>
      <c r="H2249" s="123"/>
      <c r="I2249" s="123"/>
      <c r="J2249" s="123"/>
      <c r="K2249" s="123"/>
      <c r="L2249" s="123"/>
      <c r="M2249" s="123"/>
      <c r="N2249" s="126"/>
    </row>
    <row r="2250" spans="1:15" s="4" customFormat="1" ht="25.2">
      <c r="A2250" s="125" t="s">
        <v>1893</v>
      </c>
      <c r="B2250" s="123"/>
      <c r="C2250" s="123"/>
      <c r="D2250" s="123"/>
      <c r="E2250" s="123"/>
      <c r="F2250" s="167" t="s">
        <v>1894</v>
      </c>
      <c r="G2250" s="123"/>
      <c r="H2250" s="123"/>
      <c r="I2250" s="123"/>
      <c r="J2250" s="123"/>
      <c r="K2250" s="123"/>
      <c r="L2250" s="123"/>
      <c r="M2250" s="123"/>
      <c r="N2250" s="126"/>
    </row>
    <row r="2251" spans="1:15" s="3" customFormat="1" ht="9.9" customHeight="1">
      <c r="A2251" s="125"/>
      <c r="B2251" s="123"/>
      <c r="C2251" s="123"/>
      <c r="D2251" s="123"/>
      <c r="E2251" s="123"/>
      <c r="F2251" s="167"/>
      <c r="G2251" s="123"/>
      <c r="H2251" s="123"/>
      <c r="I2251" s="123"/>
      <c r="J2251" s="123"/>
      <c r="K2251" s="123"/>
      <c r="L2251" s="123"/>
      <c r="M2251" s="123"/>
      <c r="N2251" s="126"/>
    </row>
    <row r="2252" spans="1:15" s="3" customFormat="1" ht="25.2">
      <c r="A2252" s="125" t="s">
        <v>1895</v>
      </c>
      <c r="B2252" s="123"/>
      <c r="C2252" s="123"/>
      <c r="D2252" s="123"/>
      <c r="E2252" s="123"/>
      <c r="F2252" s="167" t="s">
        <v>1896</v>
      </c>
      <c r="G2252" s="167" t="str">
        <f>PL!$V$8</f>
        <v>PGU-DE-0139-001</v>
      </c>
      <c r="H2252" s="123"/>
      <c r="I2252" s="123"/>
      <c r="J2252" s="123"/>
      <c r="K2252" s="123"/>
      <c r="L2252" s="123"/>
      <c r="M2252" s="123"/>
      <c r="N2252" s="126"/>
    </row>
    <row r="2253" spans="1:15" s="3" customFormat="1" ht="25.2">
      <c r="A2253" s="125" t="s">
        <v>1897</v>
      </c>
      <c r="B2253" s="123"/>
      <c r="C2253" s="123"/>
      <c r="D2253" s="123"/>
      <c r="E2253" s="123"/>
      <c r="F2253" s="167"/>
      <c r="G2253" s="123"/>
      <c r="H2253" s="123"/>
      <c r="I2253" s="123"/>
      <c r="J2253" s="123"/>
      <c r="K2253" s="123"/>
      <c r="L2253" s="123"/>
      <c r="M2253" s="123"/>
      <c r="N2253" s="126"/>
    </row>
    <row r="2254" spans="1:15" s="3" customFormat="1" ht="9.9" customHeight="1">
      <c r="A2254" s="125"/>
      <c r="B2254" s="123"/>
      <c r="C2254" s="123"/>
      <c r="D2254" s="123"/>
      <c r="E2254" s="123"/>
      <c r="F2254" s="167"/>
      <c r="G2254" s="123"/>
      <c r="H2254" s="123"/>
      <c r="I2254" s="123"/>
      <c r="J2254" s="123"/>
      <c r="K2254" s="123"/>
      <c r="L2254" s="123"/>
      <c r="M2254" s="123"/>
      <c r="N2254" s="126"/>
    </row>
    <row r="2255" spans="1:15" s="3" customFormat="1" ht="31.2" customHeight="1">
      <c r="A2255" s="127" t="s">
        <v>1898</v>
      </c>
      <c r="B2255" s="170"/>
      <c r="C2255" s="170"/>
      <c r="D2255" s="170"/>
      <c r="E2255" s="170"/>
      <c r="F2255" s="171" t="s">
        <v>1885</v>
      </c>
      <c r="G2255" s="597" t="e">
        <f>VLOOKUP(G2258, 'Detail PL'!$B$14:$Q$799,2)</f>
        <v>#N/A</v>
      </c>
      <c r="H2255" s="597"/>
      <c r="I2255" s="597"/>
      <c r="J2255" s="597"/>
      <c r="K2255" s="597"/>
      <c r="L2255" s="597"/>
      <c r="M2255" s="597"/>
      <c r="N2255" s="128"/>
    </row>
    <row r="2256" spans="1:15" s="3" customFormat="1" ht="25.2">
      <c r="A2256" s="127" t="s">
        <v>1899</v>
      </c>
      <c r="B2256" s="170"/>
      <c r="C2256" s="170"/>
      <c r="D2256" s="170"/>
      <c r="E2256" s="170"/>
      <c r="F2256" s="171"/>
      <c r="G2256" s="170"/>
      <c r="H2256" s="170"/>
      <c r="I2256" s="170"/>
      <c r="J2256" s="170"/>
      <c r="K2256" s="170"/>
      <c r="L2256" s="170"/>
      <c r="M2256" s="170"/>
      <c r="N2256" s="128"/>
    </row>
    <row r="2257" spans="1:14" s="3" customFormat="1" ht="9.9" customHeight="1">
      <c r="A2257" s="125"/>
      <c r="B2257" s="123"/>
      <c r="C2257" s="123"/>
      <c r="D2257" s="123"/>
      <c r="E2257" s="123"/>
      <c r="F2257" s="167"/>
      <c r="G2257" s="123"/>
      <c r="H2257" s="123"/>
      <c r="I2257" s="123"/>
      <c r="J2257" s="123"/>
      <c r="K2257" s="123"/>
      <c r="L2257" s="123"/>
      <c r="M2257" s="123"/>
      <c r="N2257" s="126"/>
    </row>
    <row r="2258" spans="1:14" s="3" customFormat="1" ht="25.2">
      <c r="A2258" s="125" t="s">
        <v>1900</v>
      </c>
      <c r="B2258" s="123"/>
      <c r="C2258" s="123"/>
      <c r="D2258" s="123"/>
      <c r="E2258" s="123"/>
      <c r="F2258" s="171" t="s">
        <v>1901</v>
      </c>
      <c r="G2258" s="604">
        <f t="shared" ref="G2258" si="62">G2223+1</f>
        <v>65</v>
      </c>
      <c r="H2258" s="604"/>
      <c r="I2258" s="604"/>
      <c r="J2258" s="604"/>
      <c r="K2258" s="604"/>
      <c r="L2258" s="123"/>
      <c r="M2258" s="123"/>
      <c r="N2258" s="126"/>
    </row>
    <row r="2259" spans="1:14" s="4" customFormat="1" ht="25.2">
      <c r="A2259" s="125" t="s">
        <v>1903</v>
      </c>
      <c r="B2259" s="123"/>
      <c r="C2259" s="123"/>
      <c r="D2259" s="123"/>
      <c r="E2259" s="123"/>
      <c r="F2259" s="167"/>
      <c r="G2259" s="167"/>
      <c r="H2259" s="123"/>
      <c r="I2259" s="123"/>
      <c r="J2259" s="123"/>
      <c r="K2259" s="123"/>
      <c r="L2259" s="123"/>
      <c r="M2259" s="123"/>
      <c r="N2259" s="126"/>
    </row>
    <row r="2260" spans="1:14" s="3" customFormat="1" ht="9.9" customHeight="1">
      <c r="A2260" s="125"/>
      <c r="B2260" s="123"/>
      <c r="C2260" s="123"/>
      <c r="D2260" s="123"/>
      <c r="E2260" s="123"/>
      <c r="F2260" s="167"/>
      <c r="G2260" s="167"/>
      <c r="H2260" s="123"/>
      <c r="I2260" s="123"/>
      <c r="J2260" s="123"/>
      <c r="K2260" s="123"/>
      <c r="L2260" s="123"/>
      <c r="M2260" s="123"/>
      <c r="N2260" s="126"/>
    </row>
    <row r="2261" spans="1:14" s="3" customFormat="1" ht="25.2">
      <c r="A2261" s="125" t="s">
        <v>1904</v>
      </c>
      <c r="B2261" s="123"/>
      <c r="C2261" s="123"/>
      <c r="D2261" s="123"/>
      <c r="E2261" s="123"/>
      <c r="F2261" s="167" t="s">
        <v>1896</v>
      </c>
      <c r="G2261" s="204" t="e">
        <f>VLOOKUP(G2258, 'Detail PL'!$B$14:$Q$799, 10)</f>
        <v>#N/A</v>
      </c>
      <c r="H2261" s="204" t="s">
        <v>1905</v>
      </c>
      <c r="I2261" s="204"/>
      <c r="J2261" s="204"/>
      <c r="K2261" s="123"/>
      <c r="L2261" s="123"/>
      <c r="M2261" s="123"/>
      <c r="N2261" s="126"/>
    </row>
    <row r="2262" spans="1:14" s="4" customFormat="1" ht="25.2">
      <c r="A2262" s="125" t="s">
        <v>1906</v>
      </c>
      <c r="B2262" s="123"/>
      <c r="C2262" s="123"/>
      <c r="D2262" s="123"/>
      <c r="E2262" s="123"/>
      <c r="F2262" s="167"/>
      <c r="G2262" s="167"/>
      <c r="H2262" s="167"/>
      <c r="I2262" s="123"/>
      <c r="J2262" s="123"/>
      <c r="K2262" s="123"/>
      <c r="L2262" s="123"/>
      <c r="M2262" s="123"/>
      <c r="N2262" s="126"/>
    </row>
    <row r="2263" spans="1:14" s="3" customFormat="1" ht="9.9" customHeight="1">
      <c r="A2263" s="125"/>
      <c r="B2263" s="123"/>
      <c r="C2263" s="123"/>
      <c r="D2263" s="123"/>
      <c r="E2263" s="123"/>
      <c r="F2263" s="167"/>
      <c r="G2263" s="167"/>
      <c r="H2263" s="167"/>
      <c r="I2263" s="123"/>
      <c r="J2263" s="123"/>
      <c r="K2263" s="123"/>
      <c r="L2263" s="123"/>
      <c r="M2263" s="123"/>
      <c r="N2263" s="126"/>
    </row>
    <row r="2264" spans="1:14" s="3" customFormat="1" ht="25.2">
      <c r="A2264" s="125" t="s">
        <v>1907</v>
      </c>
      <c r="B2264" s="123"/>
      <c r="C2264" s="123"/>
      <c r="D2264" s="123"/>
      <c r="E2264" s="123"/>
      <c r="F2264" s="167" t="s">
        <v>1896</v>
      </c>
      <c r="G2264" s="204" t="e">
        <f>VLOOKUP(G2258, 'Detail PL'!$B$14:$Q$799, 11)</f>
        <v>#N/A</v>
      </c>
      <c r="H2264" s="204" t="s">
        <v>1905</v>
      </c>
      <c r="I2264" s="204"/>
      <c r="J2264" s="204"/>
      <c r="K2264" s="123"/>
      <c r="L2264" s="123"/>
      <c r="M2264" s="123"/>
      <c r="N2264" s="126"/>
    </row>
    <row r="2265" spans="1:14" s="4" customFormat="1" ht="25.2">
      <c r="A2265" s="125" t="s">
        <v>1908</v>
      </c>
      <c r="B2265" s="123"/>
      <c r="C2265" s="123"/>
      <c r="D2265" s="123"/>
      <c r="E2265" s="123"/>
      <c r="F2265" s="167"/>
      <c r="G2265" s="167"/>
      <c r="H2265" s="123"/>
      <c r="I2265" s="123"/>
      <c r="J2265" s="123"/>
      <c r="K2265" s="123"/>
      <c r="L2265" s="123"/>
      <c r="M2265" s="123"/>
      <c r="N2265" s="126"/>
    </row>
    <row r="2266" spans="1:14" s="3" customFormat="1" ht="9.9" customHeight="1">
      <c r="A2266" s="125"/>
      <c r="B2266" s="123"/>
      <c r="C2266" s="123"/>
      <c r="D2266" s="123"/>
      <c r="E2266" s="123"/>
      <c r="F2266" s="167"/>
      <c r="G2266" s="167"/>
      <c r="H2266" s="123"/>
      <c r="I2266" s="123"/>
      <c r="J2266" s="123"/>
      <c r="K2266" s="123"/>
      <c r="L2266" s="123"/>
      <c r="M2266" s="123"/>
      <c r="N2266" s="126"/>
    </row>
    <row r="2267" spans="1:14" s="3" customFormat="1" ht="25.2">
      <c r="A2267" s="129" t="s">
        <v>1909</v>
      </c>
      <c r="B2267" s="123"/>
      <c r="C2267" s="123"/>
      <c r="D2267" s="123"/>
      <c r="E2267" s="123"/>
      <c r="F2267" s="167" t="s">
        <v>1896</v>
      </c>
      <c r="G2267" s="204" t="e">
        <f>VLOOKUP(G2258, 'Detail PL'!$B$14:$Q$799, 9)</f>
        <v>#N/A</v>
      </c>
      <c r="H2267" s="205" t="s">
        <v>1910</v>
      </c>
      <c r="I2267" s="203"/>
      <c r="J2267" s="203"/>
      <c r="K2267" s="172"/>
      <c r="L2267" s="123"/>
      <c r="M2267" s="123"/>
      <c r="N2267" s="126"/>
    </row>
    <row r="2268" spans="1:14" s="4" customFormat="1" ht="25.2">
      <c r="A2268" s="125" t="s">
        <v>1911</v>
      </c>
      <c r="B2268" s="123"/>
      <c r="C2268" s="123"/>
      <c r="D2268" s="123"/>
      <c r="E2268" s="123"/>
      <c r="F2268" s="167"/>
      <c r="G2268" s="167"/>
      <c r="H2268" s="123"/>
      <c r="I2268" s="123"/>
      <c r="J2268" s="123"/>
      <c r="K2268" s="123"/>
      <c r="L2268" s="123"/>
      <c r="M2268" s="123"/>
      <c r="N2268" s="126"/>
    </row>
    <row r="2269" spans="1:14" s="3" customFormat="1" ht="9.9" customHeight="1">
      <c r="A2269" s="125"/>
      <c r="B2269" s="123"/>
      <c r="C2269" s="123"/>
      <c r="D2269" s="123"/>
      <c r="E2269" s="123"/>
      <c r="F2269" s="167"/>
      <c r="G2269" s="167"/>
      <c r="H2269" s="123"/>
      <c r="I2269" s="123"/>
      <c r="J2269" s="123"/>
      <c r="K2269" s="123"/>
      <c r="L2269" s="123"/>
      <c r="M2269" s="123"/>
      <c r="N2269" s="126"/>
    </row>
    <row r="2270" spans="1:14" s="3" customFormat="1" ht="42" customHeight="1">
      <c r="A2270" s="125" t="s">
        <v>1912</v>
      </c>
      <c r="B2270" s="123"/>
      <c r="C2270" s="123"/>
      <c r="D2270" s="123"/>
      <c r="E2270" s="123"/>
      <c r="F2270" s="166" t="s">
        <v>1913</v>
      </c>
      <c r="G2270" s="595" t="s">
        <v>1914</v>
      </c>
      <c r="H2270" s="595"/>
      <c r="I2270" s="595"/>
      <c r="J2270" s="595"/>
      <c r="K2270" s="595"/>
      <c r="L2270" s="595"/>
      <c r="M2270" s="595"/>
      <c r="N2270" s="596"/>
    </row>
    <row r="2271" spans="1:14" s="4" customFormat="1" ht="25.8" thickBot="1">
      <c r="A2271" s="125" t="s">
        <v>1915</v>
      </c>
      <c r="B2271" s="123"/>
      <c r="C2271" s="123"/>
      <c r="D2271" s="123"/>
      <c r="E2271" s="123"/>
      <c r="F2271" s="167"/>
      <c r="G2271" s="167"/>
      <c r="H2271" s="123"/>
      <c r="I2271" s="123"/>
      <c r="J2271" s="123"/>
      <c r="K2271" s="123"/>
      <c r="L2271" s="123"/>
      <c r="M2271" s="123"/>
      <c r="N2271" s="126"/>
    </row>
    <row r="2272" spans="1:14" ht="21" customHeight="1">
      <c r="A2272" s="598" t="s">
        <v>1916</v>
      </c>
      <c r="B2272" s="599"/>
      <c r="C2272" s="599"/>
      <c r="D2272" s="599"/>
      <c r="E2272" s="599"/>
      <c r="F2272" s="599"/>
      <c r="G2272" s="599"/>
      <c r="H2272" s="599"/>
      <c r="I2272" s="599"/>
      <c r="J2272" s="599"/>
      <c r="K2272" s="599"/>
      <c r="L2272" s="599"/>
      <c r="M2272" s="599"/>
      <c r="N2272" s="600"/>
    </row>
    <row r="2273" spans="1:15" ht="25.5" customHeight="1" thickBot="1">
      <c r="A2273" s="601"/>
      <c r="B2273" s="602"/>
      <c r="C2273" s="602"/>
      <c r="D2273" s="602"/>
      <c r="E2273" s="602"/>
      <c r="F2273" s="602"/>
      <c r="G2273" s="602"/>
      <c r="H2273" s="602"/>
      <c r="I2273" s="602"/>
      <c r="J2273" s="602"/>
      <c r="K2273" s="602"/>
      <c r="L2273" s="602"/>
      <c r="M2273" s="602"/>
      <c r="N2273" s="603"/>
    </row>
    <row r="2274" spans="1:15" ht="25.5" customHeight="1">
      <c r="E2274" s="206"/>
      <c r="F2274" s="206"/>
      <c r="G2274" s="206"/>
      <c r="H2274" s="206"/>
      <c r="I2274" s="206"/>
      <c r="J2274" s="206"/>
      <c r="K2274" s="206"/>
    </row>
    <row r="2275" spans="1:15" ht="21.6" thickBot="1"/>
    <row r="2276" spans="1:15" ht="95.25" customHeight="1" thickBot="1">
      <c r="A2276" s="592" t="s">
        <v>1883</v>
      </c>
      <c r="B2276" s="593"/>
      <c r="C2276" s="593"/>
      <c r="D2276" s="593"/>
      <c r="E2276" s="593"/>
      <c r="F2276" s="593"/>
      <c r="G2276" s="593"/>
      <c r="H2276" s="593"/>
      <c r="I2276" s="593"/>
      <c r="J2276" s="593"/>
      <c r="K2276" s="593"/>
      <c r="L2276" s="593"/>
      <c r="M2276" s="593"/>
      <c r="N2276" s="594"/>
    </row>
    <row r="2277" spans="1:15" s="3" customFormat="1" ht="37.5" customHeight="1">
      <c r="A2277" s="134" t="s">
        <v>1884</v>
      </c>
      <c r="B2277" s="166"/>
      <c r="C2277" s="166"/>
      <c r="D2277" s="123"/>
      <c r="E2277" s="123"/>
      <c r="F2277" s="167" t="s">
        <v>1885</v>
      </c>
      <c r="G2277" s="167" t="s">
        <v>1886</v>
      </c>
      <c r="H2277" s="167"/>
      <c r="I2277" s="167"/>
      <c r="J2277" s="167"/>
      <c r="K2277" s="167"/>
      <c r="L2277" s="167"/>
      <c r="M2277" s="167"/>
      <c r="N2277" s="152"/>
      <c r="O2277" s="201"/>
    </row>
    <row r="2278" spans="1:15" s="4" customFormat="1" ht="25.2">
      <c r="A2278" s="125" t="s">
        <v>1887</v>
      </c>
      <c r="B2278" s="123"/>
      <c r="C2278" s="123"/>
      <c r="D2278" s="123"/>
      <c r="E2278" s="123"/>
      <c r="F2278" s="167"/>
      <c r="G2278" s="167" t="s">
        <v>1888</v>
      </c>
      <c r="H2278" s="167"/>
      <c r="I2278" s="167"/>
      <c r="J2278" s="167"/>
      <c r="K2278" s="167"/>
      <c r="L2278" s="167"/>
      <c r="M2278" s="167"/>
      <c r="N2278" s="152"/>
    </row>
    <row r="2279" spans="1:15" s="3" customFormat="1" ht="9.9" customHeight="1">
      <c r="A2279" s="125"/>
      <c r="B2279" s="123"/>
      <c r="C2279" s="123"/>
      <c r="D2279" s="123"/>
      <c r="E2279" s="123"/>
      <c r="F2279" s="167"/>
      <c r="G2279" s="123"/>
      <c r="H2279" s="123"/>
      <c r="I2279" s="123"/>
      <c r="J2279" s="123"/>
      <c r="K2279" s="123"/>
      <c r="L2279" s="123"/>
      <c r="M2279" s="123"/>
      <c r="N2279" s="126"/>
    </row>
    <row r="2280" spans="1:15" s="3" customFormat="1" ht="42.75" customHeight="1">
      <c r="A2280" s="125" t="s">
        <v>1889</v>
      </c>
      <c r="B2280" s="123"/>
      <c r="C2280" s="123"/>
      <c r="D2280" s="123"/>
      <c r="E2280" s="123"/>
      <c r="F2280" s="167" t="s">
        <v>1885</v>
      </c>
      <c r="G2280" s="167" t="str">
        <f>PL!$B$13</f>
        <v>Branch of JSC "Doosan Enerbility" in the Turkestan region</v>
      </c>
      <c r="H2280" s="123"/>
      <c r="I2280" s="123"/>
      <c r="J2280" s="123"/>
      <c r="K2280" s="123"/>
      <c r="L2280" s="123"/>
      <c r="M2280" s="123"/>
      <c r="N2280" s="126"/>
    </row>
    <row r="2281" spans="1:15" s="3" customFormat="1" ht="24" customHeight="1">
      <c r="A2281" s="125" t="s">
        <v>1890</v>
      </c>
      <c r="B2281" s="123"/>
      <c r="C2281" s="123"/>
      <c r="D2281" s="123"/>
      <c r="E2281" s="123"/>
      <c r="F2281" s="168"/>
      <c r="G2281" s="167" t="str">
        <f>PL!$B$14</f>
        <v>321 Tauke Khan Avenue, Turkestan region, Turkestan, Kazakhstan, 161200</v>
      </c>
      <c r="H2281" s="123"/>
      <c r="I2281" s="123"/>
      <c r="J2281" s="123"/>
      <c r="K2281" s="123"/>
      <c r="L2281" s="123"/>
      <c r="M2281" s="123"/>
      <c r="N2281" s="126"/>
    </row>
    <row r="2282" spans="1:15" s="4" customFormat="1" ht="25.2">
      <c r="A2282" s="125"/>
      <c r="B2282" s="123"/>
      <c r="C2282" s="123"/>
      <c r="D2282" s="123"/>
      <c r="E2282" s="123"/>
      <c r="F2282" s="168"/>
      <c r="G2282" s="167" t="str">
        <f>PL!$B$15</f>
        <v>BIN: 230741006561</v>
      </c>
      <c r="H2282" s="123"/>
      <c r="I2282" s="123"/>
      <c r="J2282" s="123"/>
      <c r="K2282" s="123"/>
      <c r="L2282" s="123"/>
      <c r="M2282" s="123"/>
      <c r="N2282" s="126"/>
    </row>
    <row r="2283" spans="1:15" s="3" customFormat="1" ht="9.9" customHeight="1">
      <c r="A2283" s="125"/>
      <c r="B2283" s="123"/>
      <c r="C2283" s="123"/>
      <c r="D2283" s="123"/>
      <c r="E2283" s="123"/>
      <c r="F2283" s="169"/>
      <c r="G2283" s="169"/>
      <c r="H2283" s="123"/>
      <c r="I2283" s="123"/>
      <c r="J2283" s="123"/>
      <c r="K2283" s="123"/>
      <c r="L2283" s="123"/>
      <c r="M2283" s="123"/>
      <c r="N2283" s="126"/>
    </row>
    <row r="2284" spans="1:15" s="3" customFormat="1" ht="25.2">
      <c r="A2284" s="125" t="s">
        <v>1891</v>
      </c>
      <c r="B2284" s="123"/>
      <c r="C2284" s="123"/>
      <c r="D2284" s="123"/>
      <c r="E2284" s="123"/>
      <c r="F2284" s="167" t="s">
        <v>1892</v>
      </c>
      <c r="G2284" s="123"/>
      <c r="H2284" s="123"/>
      <c r="I2284" s="123"/>
      <c r="J2284" s="123"/>
      <c r="K2284" s="123"/>
      <c r="L2284" s="123"/>
      <c r="M2284" s="123"/>
      <c r="N2284" s="126"/>
    </row>
    <row r="2285" spans="1:15" s="4" customFormat="1" ht="25.2">
      <c r="A2285" s="125" t="s">
        <v>1893</v>
      </c>
      <c r="B2285" s="123"/>
      <c r="C2285" s="123"/>
      <c r="D2285" s="123"/>
      <c r="E2285" s="123"/>
      <c r="F2285" s="167" t="s">
        <v>1894</v>
      </c>
      <c r="G2285" s="123"/>
      <c r="H2285" s="123"/>
      <c r="I2285" s="123"/>
      <c r="J2285" s="123"/>
      <c r="K2285" s="123"/>
      <c r="L2285" s="123"/>
      <c r="M2285" s="123"/>
      <c r="N2285" s="126"/>
    </row>
    <row r="2286" spans="1:15" s="3" customFormat="1" ht="9.9" customHeight="1">
      <c r="A2286" s="125"/>
      <c r="B2286" s="123"/>
      <c r="C2286" s="123"/>
      <c r="D2286" s="123"/>
      <c r="E2286" s="123"/>
      <c r="F2286" s="167"/>
      <c r="G2286" s="123"/>
      <c r="H2286" s="123"/>
      <c r="I2286" s="123"/>
      <c r="J2286" s="123"/>
      <c r="K2286" s="123"/>
      <c r="L2286" s="123"/>
      <c r="M2286" s="123"/>
      <c r="N2286" s="126"/>
    </row>
    <row r="2287" spans="1:15" s="3" customFormat="1" ht="25.2">
      <c r="A2287" s="125" t="s">
        <v>1895</v>
      </c>
      <c r="B2287" s="123"/>
      <c r="C2287" s="123"/>
      <c r="D2287" s="123"/>
      <c r="E2287" s="123"/>
      <c r="F2287" s="167" t="s">
        <v>1896</v>
      </c>
      <c r="G2287" s="167" t="str">
        <f>PL!$V$8</f>
        <v>PGU-DE-0139-001</v>
      </c>
      <c r="H2287" s="123"/>
      <c r="I2287" s="123"/>
      <c r="J2287" s="123"/>
      <c r="K2287" s="123"/>
      <c r="L2287" s="123"/>
      <c r="M2287" s="123"/>
      <c r="N2287" s="126"/>
    </row>
    <row r="2288" spans="1:15" s="3" customFormat="1" ht="25.2">
      <c r="A2288" s="125" t="s">
        <v>1897</v>
      </c>
      <c r="B2288" s="123"/>
      <c r="C2288" s="123"/>
      <c r="D2288" s="123"/>
      <c r="E2288" s="123"/>
      <c r="F2288" s="167"/>
      <c r="G2288" s="123"/>
      <c r="H2288" s="123"/>
      <c r="I2288" s="123"/>
      <c r="J2288" s="123"/>
      <c r="K2288" s="123"/>
      <c r="L2288" s="123"/>
      <c r="M2288" s="123"/>
      <c r="N2288" s="126"/>
    </row>
    <row r="2289" spans="1:14" s="3" customFormat="1" ht="9.9" customHeight="1">
      <c r="A2289" s="125"/>
      <c r="B2289" s="123"/>
      <c r="C2289" s="123"/>
      <c r="D2289" s="123"/>
      <c r="E2289" s="123"/>
      <c r="F2289" s="167"/>
      <c r="G2289" s="123"/>
      <c r="H2289" s="123"/>
      <c r="I2289" s="123"/>
      <c r="J2289" s="123"/>
      <c r="K2289" s="123"/>
      <c r="L2289" s="123"/>
      <c r="M2289" s="123"/>
      <c r="N2289" s="126"/>
    </row>
    <row r="2290" spans="1:14" s="3" customFormat="1" ht="31.2" customHeight="1">
      <c r="A2290" s="127" t="s">
        <v>1898</v>
      </c>
      <c r="B2290" s="170"/>
      <c r="C2290" s="170"/>
      <c r="D2290" s="170"/>
      <c r="E2290" s="170"/>
      <c r="F2290" s="171" t="s">
        <v>1885</v>
      </c>
      <c r="G2290" s="597" t="e">
        <f>VLOOKUP(G2293, 'Detail PL'!$B$14:$Q$799,2)</f>
        <v>#N/A</v>
      </c>
      <c r="H2290" s="597"/>
      <c r="I2290" s="597"/>
      <c r="J2290" s="597"/>
      <c r="K2290" s="597"/>
      <c r="L2290" s="597"/>
      <c r="M2290" s="597"/>
      <c r="N2290" s="128"/>
    </row>
    <row r="2291" spans="1:14" s="3" customFormat="1" ht="25.2">
      <c r="A2291" s="127" t="s">
        <v>1899</v>
      </c>
      <c r="B2291" s="170"/>
      <c r="C2291" s="170"/>
      <c r="D2291" s="170"/>
      <c r="E2291" s="170"/>
      <c r="F2291" s="171"/>
      <c r="G2291" s="170"/>
      <c r="H2291" s="170"/>
      <c r="I2291" s="170"/>
      <c r="J2291" s="170"/>
      <c r="K2291" s="170"/>
      <c r="L2291" s="170"/>
      <c r="M2291" s="170"/>
      <c r="N2291" s="128"/>
    </row>
    <row r="2292" spans="1:14" s="3" customFormat="1" ht="9.9" customHeight="1">
      <c r="A2292" s="125"/>
      <c r="B2292" s="123"/>
      <c r="C2292" s="123"/>
      <c r="D2292" s="123"/>
      <c r="E2292" s="123"/>
      <c r="F2292" s="167"/>
      <c r="G2292" s="123"/>
      <c r="H2292" s="123"/>
      <c r="I2292" s="123"/>
      <c r="J2292" s="123"/>
      <c r="K2292" s="123"/>
      <c r="L2292" s="123"/>
      <c r="M2292" s="123"/>
      <c r="N2292" s="126"/>
    </row>
    <row r="2293" spans="1:14" s="3" customFormat="1" ht="25.2">
      <c r="A2293" s="125" t="s">
        <v>1900</v>
      </c>
      <c r="B2293" s="123"/>
      <c r="C2293" s="123"/>
      <c r="D2293" s="123"/>
      <c r="E2293" s="123"/>
      <c r="F2293" s="171" t="s">
        <v>1901</v>
      </c>
      <c r="G2293" s="604">
        <f t="shared" ref="G2293" si="63">G2258+1</f>
        <v>66</v>
      </c>
      <c r="H2293" s="604"/>
      <c r="I2293" s="604"/>
      <c r="J2293" s="604"/>
      <c r="K2293" s="604"/>
      <c r="L2293" s="123"/>
      <c r="M2293" s="123"/>
      <c r="N2293" s="126"/>
    </row>
    <row r="2294" spans="1:14" s="4" customFormat="1" ht="25.2">
      <c r="A2294" s="125" t="s">
        <v>1903</v>
      </c>
      <c r="B2294" s="123"/>
      <c r="C2294" s="123"/>
      <c r="D2294" s="123"/>
      <c r="E2294" s="123"/>
      <c r="F2294" s="167"/>
      <c r="G2294" s="167"/>
      <c r="H2294" s="123"/>
      <c r="I2294" s="123"/>
      <c r="J2294" s="123"/>
      <c r="K2294" s="123"/>
      <c r="L2294" s="123"/>
      <c r="M2294" s="123"/>
      <c r="N2294" s="126"/>
    </row>
    <row r="2295" spans="1:14" s="3" customFormat="1" ht="9.9" customHeight="1">
      <c r="A2295" s="125"/>
      <c r="B2295" s="123"/>
      <c r="C2295" s="123"/>
      <c r="D2295" s="123"/>
      <c r="E2295" s="123"/>
      <c r="F2295" s="167"/>
      <c r="G2295" s="167"/>
      <c r="H2295" s="123"/>
      <c r="I2295" s="123"/>
      <c r="J2295" s="123"/>
      <c r="K2295" s="123"/>
      <c r="L2295" s="123"/>
      <c r="M2295" s="123"/>
      <c r="N2295" s="126"/>
    </row>
    <row r="2296" spans="1:14" s="3" customFormat="1" ht="25.2">
      <c r="A2296" s="125" t="s">
        <v>1904</v>
      </c>
      <c r="B2296" s="123"/>
      <c r="C2296" s="123"/>
      <c r="D2296" s="123"/>
      <c r="E2296" s="123"/>
      <c r="F2296" s="167" t="s">
        <v>1896</v>
      </c>
      <c r="G2296" s="204" t="e">
        <f>VLOOKUP(G2293, 'Detail PL'!$B$14:$Q$799, 10)</f>
        <v>#N/A</v>
      </c>
      <c r="H2296" s="204" t="s">
        <v>1905</v>
      </c>
      <c r="I2296" s="204"/>
      <c r="J2296" s="204"/>
      <c r="K2296" s="123"/>
      <c r="L2296" s="123"/>
      <c r="M2296" s="123"/>
      <c r="N2296" s="126"/>
    </row>
    <row r="2297" spans="1:14" s="4" customFormat="1" ht="25.2">
      <c r="A2297" s="125" t="s">
        <v>1906</v>
      </c>
      <c r="B2297" s="123"/>
      <c r="C2297" s="123"/>
      <c r="D2297" s="123"/>
      <c r="E2297" s="123"/>
      <c r="F2297" s="167"/>
      <c r="G2297" s="167"/>
      <c r="H2297" s="167"/>
      <c r="I2297" s="123"/>
      <c r="J2297" s="123"/>
      <c r="K2297" s="123"/>
      <c r="L2297" s="123"/>
      <c r="M2297" s="123"/>
      <c r="N2297" s="126"/>
    </row>
    <row r="2298" spans="1:14" s="3" customFormat="1" ht="9.9" customHeight="1">
      <c r="A2298" s="125"/>
      <c r="B2298" s="123"/>
      <c r="C2298" s="123"/>
      <c r="D2298" s="123"/>
      <c r="E2298" s="123"/>
      <c r="F2298" s="167"/>
      <c r="G2298" s="167"/>
      <c r="H2298" s="167"/>
      <c r="I2298" s="123"/>
      <c r="J2298" s="123"/>
      <c r="K2298" s="123"/>
      <c r="L2298" s="123"/>
      <c r="M2298" s="123"/>
      <c r="N2298" s="126"/>
    </row>
    <row r="2299" spans="1:14" s="3" customFormat="1" ht="25.2">
      <c r="A2299" s="125" t="s">
        <v>1907</v>
      </c>
      <c r="B2299" s="123"/>
      <c r="C2299" s="123"/>
      <c r="D2299" s="123"/>
      <c r="E2299" s="123"/>
      <c r="F2299" s="167" t="s">
        <v>1896</v>
      </c>
      <c r="G2299" s="204" t="e">
        <f>VLOOKUP(G2293, 'Detail PL'!$B$14:$Q$799, 11)</f>
        <v>#N/A</v>
      </c>
      <c r="H2299" s="204" t="s">
        <v>1905</v>
      </c>
      <c r="I2299" s="204"/>
      <c r="J2299" s="204"/>
      <c r="K2299" s="123"/>
      <c r="L2299" s="123"/>
      <c r="M2299" s="123"/>
      <c r="N2299" s="126"/>
    </row>
    <row r="2300" spans="1:14" s="4" customFormat="1" ht="25.2">
      <c r="A2300" s="125" t="s">
        <v>1908</v>
      </c>
      <c r="B2300" s="123"/>
      <c r="C2300" s="123"/>
      <c r="D2300" s="123"/>
      <c r="E2300" s="123"/>
      <c r="F2300" s="167"/>
      <c r="G2300" s="167"/>
      <c r="H2300" s="123"/>
      <c r="I2300" s="123"/>
      <c r="J2300" s="123"/>
      <c r="K2300" s="123"/>
      <c r="L2300" s="123"/>
      <c r="M2300" s="123"/>
      <c r="N2300" s="126"/>
    </row>
    <row r="2301" spans="1:14" s="3" customFormat="1" ht="9.9" customHeight="1">
      <c r="A2301" s="125"/>
      <c r="B2301" s="123"/>
      <c r="C2301" s="123"/>
      <c r="D2301" s="123"/>
      <c r="E2301" s="123"/>
      <c r="F2301" s="167"/>
      <c r="G2301" s="167"/>
      <c r="H2301" s="123"/>
      <c r="I2301" s="123"/>
      <c r="J2301" s="123"/>
      <c r="K2301" s="123"/>
      <c r="L2301" s="123"/>
      <c r="M2301" s="123"/>
      <c r="N2301" s="126"/>
    </row>
    <row r="2302" spans="1:14" s="3" customFormat="1" ht="25.2">
      <c r="A2302" s="129" t="s">
        <v>1909</v>
      </c>
      <c r="B2302" s="123"/>
      <c r="C2302" s="123"/>
      <c r="D2302" s="123"/>
      <c r="E2302" s="123"/>
      <c r="F2302" s="167" t="s">
        <v>1896</v>
      </c>
      <c r="G2302" s="204" t="e">
        <f>VLOOKUP(G2293, 'Detail PL'!$B$14:$Q$799, 9)</f>
        <v>#N/A</v>
      </c>
      <c r="H2302" s="205" t="s">
        <v>1910</v>
      </c>
      <c r="I2302" s="203"/>
      <c r="J2302" s="203"/>
      <c r="K2302" s="172"/>
      <c r="L2302" s="123"/>
      <c r="M2302" s="123"/>
      <c r="N2302" s="126"/>
    </row>
    <row r="2303" spans="1:14" s="4" customFormat="1" ht="25.2">
      <c r="A2303" s="125" t="s">
        <v>1911</v>
      </c>
      <c r="B2303" s="123"/>
      <c r="C2303" s="123"/>
      <c r="D2303" s="123"/>
      <c r="E2303" s="123"/>
      <c r="F2303" s="167"/>
      <c r="G2303" s="167"/>
      <c r="H2303" s="123"/>
      <c r="I2303" s="123"/>
      <c r="J2303" s="123"/>
      <c r="K2303" s="123"/>
      <c r="L2303" s="123"/>
      <c r="M2303" s="123"/>
      <c r="N2303" s="126"/>
    </row>
    <row r="2304" spans="1:14" s="3" customFormat="1" ht="9.9" customHeight="1">
      <c r="A2304" s="125"/>
      <c r="B2304" s="123"/>
      <c r="C2304" s="123"/>
      <c r="D2304" s="123"/>
      <c r="E2304" s="123"/>
      <c r="F2304" s="167"/>
      <c r="G2304" s="167"/>
      <c r="H2304" s="123"/>
      <c r="I2304" s="123"/>
      <c r="J2304" s="123"/>
      <c r="K2304" s="123"/>
      <c r="L2304" s="123"/>
      <c r="M2304" s="123"/>
      <c r="N2304" s="126"/>
    </row>
    <row r="2305" spans="1:15" s="3" customFormat="1" ht="42" customHeight="1">
      <c r="A2305" s="125" t="s">
        <v>1912</v>
      </c>
      <c r="B2305" s="123"/>
      <c r="C2305" s="123"/>
      <c r="D2305" s="123"/>
      <c r="E2305" s="123"/>
      <c r="F2305" s="166" t="s">
        <v>1913</v>
      </c>
      <c r="G2305" s="595" t="s">
        <v>1914</v>
      </c>
      <c r="H2305" s="595"/>
      <c r="I2305" s="595"/>
      <c r="J2305" s="595"/>
      <c r="K2305" s="595"/>
      <c r="L2305" s="595"/>
      <c r="M2305" s="595"/>
      <c r="N2305" s="596"/>
    </row>
    <row r="2306" spans="1:15" s="4" customFormat="1" ht="25.8" thickBot="1">
      <c r="A2306" s="125" t="s">
        <v>1915</v>
      </c>
      <c r="B2306" s="123"/>
      <c r="C2306" s="123"/>
      <c r="D2306" s="123"/>
      <c r="E2306" s="123"/>
      <c r="F2306" s="167"/>
      <c r="G2306" s="167"/>
      <c r="H2306" s="123"/>
      <c r="I2306" s="123"/>
      <c r="J2306" s="123"/>
      <c r="K2306" s="123"/>
      <c r="L2306" s="123"/>
      <c r="M2306" s="123"/>
      <c r="N2306" s="126"/>
    </row>
    <row r="2307" spans="1:15" ht="21" customHeight="1">
      <c r="A2307" s="598" t="s">
        <v>1916</v>
      </c>
      <c r="B2307" s="599"/>
      <c r="C2307" s="599"/>
      <c r="D2307" s="599"/>
      <c r="E2307" s="599"/>
      <c r="F2307" s="599"/>
      <c r="G2307" s="599"/>
      <c r="H2307" s="599"/>
      <c r="I2307" s="599"/>
      <c r="J2307" s="599"/>
      <c r="K2307" s="599"/>
      <c r="L2307" s="599"/>
      <c r="M2307" s="599"/>
      <c r="N2307" s="600"/>
    </row>
    <row r="2308" spans="1:15" ht="25.5" customHeight="1" thickBot="1">
      <c r="A2308" s="601"/>
      <c r="B2308" s="602"/>
      <c r="C2308" s="602"/>
      <c r="D2308" s="602"/>
      <c r="E2308" s="602"/>
      <c r="F2308" s="602"/>
      <c r="G2308" s="602"/>
      <c r="H2308" s="602"/>
      <c r="I2308" s="602"/>
      <c r="J2308" s="602"/>
      <c r="K2308" s="602"/>
      <c r="L2308" s="602"/>
      <c r="M2308" s="602"/>
      <c r="N2308" s="603"/>
    </row>
    <row r="2309" spans="1:15" ht="25.5" customHeight="1">
      <c r="E2309" s="206"/>
      <c r="F2309" s="206"/>
      <c r="G2309" s="206"/>
      <c r="H2309" s="206"/>
      <c r="I2309" s="206"/>
      <c r="J2309" s="206"/>
      <c r="K2309" s="206"/>
    </row>
    <row r="2310" spans="1:15" ht="21.6" thickBot="1"/>
    <row r="2311" spans="1:15" ht="95.25" customHeight="1" thickBot="1">
      <c r="A2311" s="592" t="s">
        <v>1883</v>
      </c>
      <c r="B2311" s="593"/>
      <c r="C2311" s="593"/>
      <c r="D2311" s="593"/>
      <c r="E2311" s="593"/>
      <c r="F2311" s="593"/>
      <c r="G2311" s="593"/>
      <c r="H2311" s="593"/>
      <c r="I2311" s="593"/>
      <c r="J2311" s="593"/>
      <c r="K2311" s="593"/>
      <c r="L2311" s="593"/>
      <c r="M2311" s="593"/>
      <c r="N2311" s="594"/>
    </row>
    <row r="2312" spans="1:15" s="3" customFormat="1" ht="37.5" customHeight="1">
      <c r="A2312" s="134" t="s">
        <v>1884</v>
      </c>
      <c r="B2312" s="166"/>
      <c r="C2312" s="166"/>
      <c r="D2312" s="123"/>
      <c r="E2312" s="123"/>
      <c r="F2312" s="167" t="s">
        <v>1885</v>
      </c>
      <c r="G2312" s="167" t="s">
        <v>1886</v>
      </c>
      <c r="H2312" s="167"/>
      <c r="I2312" s="167"/>
      <c r="J2312" s="167"/>
      <c r="K2312" s="167"/>
      <c r="L2312" s="167"/>
      <c r="M2312" s="167"/>
      <c r="N2312" s="152"/>
      <c r="O2312" s="201"/>
    </row>
    <row r="2313" spans="1:15" s="4" customFormat="1" ht="25.2">
      <c r="A2313" s="125" t="s">
        <v>1887</v>
      </c>
      <c r="B2313" s="123"/>
      <c r="C2313" s="123"/>
      <c r="D2313" s="123"/>
      <c r="E2313" s="123"/>
      <c r="F2313" s="167"/>
      <c r="G2313" s="167" t="s">
        <v>1888</v>
      </c>
      <c r="H2313" s="167"/>
      <c r="I2313" s="167"/>
      <c r="J2313" s="167"/>
      <c r="K2313" s="167"/>
      <c r="L2313" s="167"/>
      <c r="M2313" s="167"/>
      <c r="N2313" s="152"/>
    </row>
    <row r="2314" spans="1:15" s="3" customFormat="1" ht="9.9" customHeight="1">
      <c r="A2314" s="125"/>
      <c r="B2314" s="123"/>
      <c r="C2314" s="123"/>
      <c r="D2314" s="123"/>
      <c r="E2314" s="123"/>
      <c r="F2314" s="167"/>
      <c r="G2314" s="123"/>
      <c r="H2314" s="123"/>
      <c r="I2314" s="123"/>
      <c r="J2314" s="123"/>
      <c r="K2314" s="123"/>
      <c r="L2314" s="123"/>
      <c r="M2314" s="123"/>
      <c r="N2314" s="126"/>
    </row>
    <row r="2315" spans="1:15" s="3" customFormat="1" ht="42.75" customHeight="1">
      <c r="A2315" s="125" t="s">
        <v>1889</v>
      </c>
      <c r="B2315" s="123"/>
      <c r="C2315" s="123"/>
      <c r="D2315" s="123"/>
      <c r="E2315" s="123"/>
      <c r="F2315" s="167" t="s">
        <v>1885</v>
      </c>
      <c r="G2315" s="167" t="str">
        <f>PL!$B$13</f>
        <v>Branch of JSC "Doosan Enerbility" in the Turkestan region</v>
      </c>
      <c r="H2315" s="123"/>
      <c r="I2315" s="123"/>
      <c r="J2315" s="123"/>
      <c r="K2315" s="123"/>
      <c r="L2315" s="123"/>
      <c r="M2315" s="123"/>
      <c r="N2315" s="126"/>
    </row>
    <row r="2316" spans="1:15" s="3" customFormat="1" ht="24" customHeight="1">
      <c r="A2316" s="125" t="s">
        <v>1890</v>
      </c>
      <c r="B2316" s="123"/>
      <c r="C2316" s="123"/>
      <c r="D2316" s="123"/>
      <c r="E2316" s="123"/>
      <c r="F2316" s="168"/>
      <c r="G2316" s="167" t="str">
        <f>PL!$B$14</f>
        <v>321 Tauke Khan Avenue, Turkestan region, Turkestan, Kazakhstan, 161200</v>
      </c>
      <c r="H2316" s="123"/>
      <c r="I2316" s="123"/>
      <c r="J2316" s="123"/>
      <c r="K2316" s="123"/>
      <c r="L2316" s="123"/>
      <c r="M2316" s="123"/>
      <c r="N2316" s="126"/>
    </row>
    <row r="2317" spans="1:15" s="4" customFormat="1" ht="25.2">
      <c r="A2317" s="125"/>
      <c r="B2317" s="123"/>
      <c r="C2317" s="123"/>
      <c r="D2317" s="123"/>
      <c r="E2317" s="123"/>
      <c r="F2317" s="168"/>
      <c r="G2317" s="167" t="str">
        <f>PL!$B$15</f>
        <v>BIN: 230741006561</v>
      </c>
      <c r="H2317" s="123"/>
      <c r="I2317" s="123"/>
      <c r="J2317" s="123"/>
      <c r="K2317" s="123"/>
      <c r="L2317" s="123"/>
      <c r="M2317" s="123"/>
      <c r="N2317" s="126"/>
    </row>
    <row r="2318" spans="1:15" s="3" customFormat="1" ht="9.9" customHeight="1">
      <c r="A2318" s="125"/>
      <c r="B2318" s="123"/>
      <c r="C2318" s="123"/>
      <c r="D2318" s="123"/>
      <c r="E2318" s="123"/>
      <c r="F2318" s="169"/>
      <c r="G2318" s="169"/>
      <c r="H2318" s="123"/>
      <c r="I2318" s="123"/>
      <c r="J2318" s="123"/>
      <c r="K2318" s="123"/>
      <c r="L2318" s="123"/>
      <c r="M2318" s="123"/>
      <c r="N2318" s="126"/>
    </row>
    <row r="2319" spans="1:15" s="3" customFormat="1" ht="25.2">
      <c r="A2319" s="125" t="s">
        <v>1891</v>
      </c>
      <c r="B2319" s="123"/>
      <c r="C2319" s="123"/>
      <c r="D2319" s="123"/>
      <c r="E2319" s="123"/>
      <c r="F2319" s="167" t="s">
        <v>1892</v>
      </c>
      <c r="G2319" s="123"/>
      <c r="H2319" s="123"/>
      <c r="I2319" s="123"/>
      <c r="J2319" s="123"/>
      <c r="K2319" s="123"/>
      <c r="L2319" s="123"/>
      <c r="M2319" s="123"/>
      <c r="N2319" s="126"/>
    </row>
    <row r="2320" spans="1:15" s="4" customFormat="1" ht="25.2">
      <c r="A2320" s="125" t="s">
        <v>1893</v>
      </c>
      <c r="B2320" s="123"/>
      <c r="C2320" s="123"/>
      <c r="D2320" s="123"/>
      <c r="E2320" s="123"/>
      <c r="F2320" s="167" t="s">
        <v>1894</v>
      </c>
      <c r="G2320" s="123"/>
      <c r="H2320" s="123"/>
      <c r="I2320" s="123"/>
      <c r="J2320" s="123"/>
      <c r="K2320" s="123"/>
      <c r="L2320" s="123"/>
      <c r="M2320" s="123"/>
      <c r="N2320" s="126"/>
    </row>
    <row r="2321" spans="1:14" s="3" customFormat="1" ht="9.9" customHeight="1">
      <c r="A2321" s="125"/>
      <c r="B2321" s="123"/>
      <c r="C2321" s="123"/>
      <c r="D2321" s="123"/>
      <c r="E2321" s="123"/>
      <c r="F2321" s="167"/>
      <c r="G2321" s="123"/>
      <c r="H2321" s="123"/>
      <c r="I2321" s="123"/>
      <c r="J2321" s="123"/>
      <c r="K2321" s="123"/>
      <c r="L2321" s="123"/>
      <c r="M2321" s="123"/>
      <c r="N2321" s="126"/>
    </row>
    <row r="2322" spans="1:14" s="3" customFormat="1" ht="25.2">
      <c r="A2322" s="125" t="s">
        <v>1895</v>
      </c>
      <c r="B2322" s="123"/>
      <c r="C2322" s="123"/>
      <c r="D2322" s="123"/>
      <c r="E2322" s="123"/>
      <c r="F2322" s="167" t="s">
        <v>1896</v>
      </c>
      <c r="G2322" s="167" t="str">
        <f>PL!$V$8</f>
        <v>PGU-DE-0139-001</v>
      </c>
      <c r="H2322" s="123"/>
      <c r="I2322" s="123"/>
      <c r="J2322" s="123"/>
      <c r="K2322" s="123"/>
      <c r="L2322" s="123"/>
      <c r="M2322" s="123"/>
      <c r="N2322" s="126"/>
    </row>
    <row r="2323" spans="1:14" s="3" customFormat="1" ht="25.2">
      <c r="A2323" s="125" t="s">
        <v>1897</v>
      </c>
      <c r="B2323" s="123"/>
      <c r="C2323" s="123"/>
      <c r="D2323" s="123"/>
      <c r="E2323" s="123"/>
      <c r="F2323" s="167"/>
      <c r="G2323" s="123"/>
      <c r="H2323" s="123"/>
      <c r="I2323" s="123"/>
      <c r="J2323" s="123"/>
      <c r="K2323" s="123"/>
      <c r="L2323" s="123"/>
      <c r="M2323" s="123"/>
      <c r="N2323" s="126"/>
    </row>
    <row r="2324" spans="1:14" s="3" customFormat="1" ht="9.9" customHeight="1">
      <c r="A2324" s="125"/>
      <c r="B2324" s="123"/>
      <c r="C2324" s="123"/>
      <c r="D2324" s="123"/>
      <c r="E2324" s="123"/>
      <c r="F2324" s="167"/>
      <c r="G2324" s="123"/>
      <c r="H2324" s="123"/>
      <c r="I2324" s="123"/>
      <c r="J2324" s="123"/>
      <c r="K2324" s="123"/>
      <c r="L2324" s="123"/>
      <c r="M2324" s="123"/>
      <c r="N2324" s="126"/>
    </row>
    <row r="2325" spans="1:14" s="3" customFormat="1" ht="31.2" customHeight="1">
      <c r="A2325" s="127" t="s">
        <v>1898</v>
      </c>
      <c r="B2325" s="170"/>
      <c r="C2325" s="170"/>
      <c r="D2325" s="170"/>
      <c r="E2325" s="170"/>
      <c r="F2325" s="171" t="s">
        <v>1885</v>
      </c>
      <c r="G2325" s="597" t="e">
        <f>VLOOKUP(G2328, 'Detail PL'!$B$14:$Q$799,2)</f>
        <v>#N/A</v>
      </c>
      <c r="H2325" s="597"/>
      <c r="I2325" s="597"/>
      <c r="J2325" s="597"/>
      <c r="K2325" s="597"/>
      <c r="L2325" s="597"/>
      <c r="M2325" s="597"/>
      <c r="N2325" s="128"/>
    </row>
    <row r="2326" spans="1:14" s="3" customFormat="1" ht="25.2">
      <c r="A2326" s="127" t="s">
        <v>1899</v>
      </c>
      <c r="B2326" s="170"/>
      <c r="C2326" s="170"/>
      <c r="D2326" s="170"/>
      <c r="E2326" s="170"/>
      <c r="F2326" s="171"/>
      <c r="G2326" s="170"/>
      <c r="H2326" s="170"/>
      <c r="I2326" s="170"/>
      <c r="J2326" s="170"/>
      <c r="K2326" s="170"/>
      <c r="L2326" s="170"/>
      <c r="M2326" s="170"/>
      <c r="N2326" s="128"/>
    </row>
    <row r="2327" spans="1:14" s="3" customFormat="1" ht="9.9" customHeight="1">
      <c r="A2327" s="125"/>
      <c r="B2327" s="123"/>
      <c r="C2327" s="123"/>
      <c r="D2327" s="123"/>
      <c r="E2327" s="123"/>
      <c r="F2327" s="167"/>
      <c r="G2327" s="123"/>
      <c r="H2327" s="123"/>
      <c r="I2327" s="123"/>
      <c r="J2327" s="123"/>
      <c r="K2327" s="123"/>
      <c r="L2327" s="123"/>
      <c r="M2327" s="123"/>
      <c r="N2327" s="126"/>
    </row>
    <row r="2328" spans="1:14" s="3" customFormat="1" ht="25.2">
      <c r="A2328" s="125" t="s">
        <v>1900</v>
      </c>
      <c r="B2328" s="123"/>
      <c r="C2328" s="123"/>
      <c r="D2328" s="123"/>
      <c r="E2328" s="123"/>
      <c r="F2328" s="171" t="s">
        <v>1901</v>
      </c>
      <c r="G2328" s="604">
        <f t="shared" ref="G2328" si="64">G2293+1</f>
        <v>67</v>
      </c>
      <c r="H2328" s="604"/>
      <c r="I2328" s="604"/>
      <c r="J2328" s="604"/>
      <c r="K2328" s="604"/>
      <c r="L2328" s="123"/>
      <c r="M2328" s="123"/>
      <c r="N2328" s="126"/>
    </row>
    <row r="2329" spans="1:14" s="4" customFormat="1" ht="25.2">
      <c r="A2329" s="125" t="s">
        <v>1903</v>
      </c>
      <c r="B2329" s="123"/>
      <c r="C2329" s="123"/>
      <c r="D2329" s="123"/>
      <c r="E2329" s="123"/>
      <c r="F2329" s="167"/>
      <c r="G2329" s="167"/>
      <c r="H2329" s="123"/>
      <c r="I2329" s="123"/>
      <c r="J2329" s="123"/>
      <c r="K2329" s="123"/>
      <c r="L2329" s="123"/>
      <c r="M2329" s="123"/>
      <c r="N2329" s="126"/>
    </row>
    <row r="2330" spans="1:14" s="3" customFormat="1" ht="9.9" customHeight="1">
      <c r="A2330" s="125"/>
      <c r="B2330" s="123"/>
      <c r="C2330" s="123"/>
      <c r="D2330" s="123"/>
      <c r="E2330" s="123"/>
      <c r="F2330" s="167"/>
      <c r="G2330" s="167"/>
      <c r="H2330" s="123"/>
      <c r="I2330" s="123"/>
      <c r="J2330" s="123"/>
      <c r="K2330" s="123"/>
      <c r="L2330" s="123"/>
      <c r="M2330" s="123"/>
      <c r="N2330" s="126"/>
    </row>
    <row r="2331" spans="1:14" s="3" customFormat="1" ht="25.2">
      <c r="A2331" s="125" t="s">
        <v>1904</v>
      </c>
      <c r="B2331" s="123"/>
      <c r="C2331" s="123"/>
      <c r="D2331" s="123"/>
      <c r="E2331" s="123"/>
      <c r="F2331" s="167" t="s">
        <v>1896</v>
      </c>
      <c r="G2331" s="204" t="e">
        <f>VLOOKUP(G2328, 'Detail PL'!$B$14:$Q$799, 10)</f>
        <v>#N/A</v>
      </c>
      <c r="H2331" s="204" t="s">
        <v>1905</v>
      </c>
      <c r="I2331" s="204"/>
      <c r="J2331" s="204"/>
      <c r="K2331" s="123"/>
      <c r="L2331" s="123"/>
      <c r="M2331" s="123"/>
      <c r="N2331" s="126"/>
    </row>
    <row r="2332" spans="1:14" s="4" customFormat="1" ht="25.2">
      <c r="A2332" s="125" t="s">
        <v>1906</v>
      </c>
      <c r="B2332" s="123"/>
      <c r="C2332" s="123"/>
      <c r="D2332" s="123"/>
      <c r="E2332" s="123"/>
      <c r="F2332" s="167"/>
      <c r="G2332" s="167"/>
      <c r="H2332" s="167"/>
      <c r="I2332" s="123"/>
      <c r="J2332" s="123"/>
      <c r="K2332" s="123"/>
      <c r="L2332" s="123"/>
      <c r="M2332" s="123"/>
      <c r="N2332" s="126"/>
    </row>
    <row r="2333" spans="1:14" s="3" customFormat="1" ht="9.9" customHeight="1">
      <c r="A2333" s="125"/>
      <c r="B2333" s="123"/>
      <c r="C2333" s="123"/>
      <c r="D2333" s="123"/>
      <c r="E2333" s="123"/>
      <c r="F2333" s="167"/>
      <c r="G2333" s="167"/>
      <c r="H2333" s="167"/>
      <c r="I2333" s="123"/>
      <c r="J2333" s="123"/>
      <c r="K2333" s="123"/>
      <c r="L2333" s="123"/>
      <c r="M2333" s="123"/>
      <c r="N2333" s="126"/>
    </row>
    <row r="2334" spans="1:14" s="3" customFormat="1" ht="25.2">
      <c r="A2334" s="125" t="s">
        <v>1907</v>
      </c>
      <c r="B2334" s="123"/>
      <c r="C2334" s="123"/>
      <c r="D2334" s="123"/>
      <c r="E2334" s="123"/>
      <c r="F2334" s="167" t="s">
        <v>1896</v>
      </c>
      <c r="G2334" s="204" t="e">
        <f>VLOOKUP(G2328, 'Detail PL'!$B$14:$Q$799, 11)</f>
        <v>#N/A</v>
      </c>
      <c r="H2334" s="204" t="s">
        <v>1905</v>
      </c>
      <c r="I2334" s="204"/>
      <c r="J2334" s="204"/>
      <c r="K2334" s="123"/>
      <c r="L2334" s="123"/>
      <c r="M2334" s="123"/>
      <c r="N2334" s="126"/>
    </row>
    <row r="2335" spans="1:14" s="4" customFormat="1" ht="25.2">
      <c r="A2335" s="125" t="s">
        <v>1908</v>
      </c>
      <c r="B2335" s="123"/>
      <c r="C2335" s="123"/>
      <c r="D2335" s="123"/>
      <c r="E2335" s="123"/>
      <c r="F2335" s="167"/>
      <c r="G2335" s="167"/>
      <c r="H2335" s="123"/>
      <c r="I2335" s="123"/>
      <c r="J2335" s="123"/>
      <c r="K2335" s="123"/>
      <c r="L2335" s="123"/>
      <c r="M2335" s="123"/>
      <c r="N2335" s="126"/>
    </row>
    <row r="2336" spans="1:14" s="3" customFormat="1" ht="9.9" customHeight="1">
      <c r="A2336" s="125"/>
      <c r="B2336" s="123"/>
      <c r="C2336" s="123"/>
      <c r="D2336" s="123"/>
      <c r="E2336" s="123"/>
      <c r="F2336" s="167"/>
      <c r="G2336" s="167"/>
      <c r="H2336" s="123"/>
      <c r="I2336" s="123"/>
      <c r="J2336" s="123"/>
      <c r="K2336" s="123"/>
      <c r="L2336" s="123"/>
      <c r="M2336" s="123"/>
      <c r="N2336" s="126"/>
    </row>
    <row r="2337" spans="1:15" s="3" customFormat="1" ht="25.2">
      <c r="A2337" s="129" t="s">
        <v>1909</v>
      </c>
      <c r="B2337" s="123"/>
      <c r="C2337" s="123"/>
      <c r="D2337" s="123"/>
      <c r="E2337" s="123"/>
      <c r="F2337" s="167" t="s">
        <v>1896</v>
      </c>
      <c r="G2337" s="204" t="e">
        <f>VLOOKUP(G2328, 'Detail PL'!$B$14:$Q$799, 9)</f>
        <v>#N/A</v>
      </c>
      <c r="H2337" s="205" t="s">
        <v>1910</v>
      </c>
      <c r="I2337" s="203"/>
      <c r="J2337" s="203"/>
      <c r="K2337" s="172"/>
      <c r="L2337" s="123"/>
      <c r="M2337" s="123"/>
      <c r="N2337" s="126"/>
    </row>
    <row r="2338" spans="1:15" s="4" customFormat="1" ht="25.2">
      <c r="A2338" s="125" t="s">
        <v>1911</v>
      </c>
      <c r="B2338" s="123"/>
      <c r="C2338" s="123"/>
      <c r="D2338" s="123"/>
      <c r="E2338" s="123"/>
      <c r="F2338" s="167"/>
      <c r="G2338" s="167"/>
      <c r="H2338" s="123"/>
      <c r="I2338" s="123"/>
      <c r="J2338" s="123"/>
      <c r="K2338" s="123"/>
      <c r="L2338" s="123"/>
      <c r="M2338" s="123"/>
      <c r="N2338" s="126"/>
    </row>
    <row r="2339" spans="1:15" s="3" customFormat="1" ht="9.9" customHeight="1">
      <c r="A2339" s="125"/>
      <c r="B2339" s="123"/>
      <c r="C2339" s="123"/>
      <c r="D2339" s="123"/>
      <c r="E2339" s="123"/>
      <c r="F2339" s="167"/>
      <c r="G2339" s="167"/>
      <c r="H2339" s="123"/>
      <c r="I2339" s="123"/>
      <c r="J2339" s="123"/>
      <c r="K2339" s="123"/>
      <c r="L2339" s="123"/>
      <c r="M2339" s="123"/>
      <c r="N2339" s="126"/>
    </row>
    <row r="2340" spans="1:15" s="3" customFormat="1" ht="42" customHeight="1">
      <c r="A2340" s="125" t="s">
        <v>1912</v>
      </c>
      <c r="B2340" s="123"/>
      <c r="C2340" s="123"/>
      <c r="D2340" s="123"/>
      <c r="E2340" s="123"/>
      <c r="F2340" s="166" t="s">
        <v>1913</v>
      </c>
      <c r="G2340" s="595" t="s">
        <v>1914</v>
      </c>
      <c r="H2340" s="595"/>
      <c r="I2340" s="595"/>
      <c r="J2340" s="595"/>
      <c r="K2340" s="595"/>
      <c r="L2340" s="595"/>
      <c r="M2340" s="595"/>
      <c r="N2340" s="596"/>
    </row>
    <row r="2341" spans="1:15" s="4" customFormat="1" ht="25.8" thickBot="1">
      <c r="A2341" s="125" t="s">
        <v>1915</v>
      </c>
      <c r="B2341" s="123"/>
      <c r="C2341" s="123"/>
      <c r="D2341" s="123"/>
      <c r="E2341" s="123"/>
      <c r="F2341" s="167"/>
      <c r="G2341" s="167"/>
      <c r="H2341" s="123"/>
      <c r="I2341" s="123"/>
      <c r="J2341" s="123"/>
      <c r="K2341" s="123"/>
      <c r="L2341" s="123"/>
      <c r="M2341" s="123"/>
      <c r="N2341" s="126"/>
    </row>
    <row r="2342" spans="1:15" ht="21" customHeight="1">
      <c r="A2342" s="598" t="s">
        <v>1916</v>
      </c>
      <c r="B2342" s="599"/>
      <c r="C2342" s="599"/>
      <c r="D2342" s="599"/>
      <c r="E2342" s="599"/>
      <c r="F2342" s="599"/>
      <c r="G2342" s="599"/>
      <c r="H2342" s="599"/>
      <c r="I2342" s="599"/>
      <c r="J2342" s="599"/>
      <c r="K2342" s="599"/>
      <c r="L2342" s="599"/>
      <c r="M2342" s="599"/>
      <c r="N2342" s="600"/>
    </row>
    <row r="2343" spans="1:15" ht="25.5" customHeight="1" thickBot="1">
      <c r="A2343" s="601"/>
      <c r="B2343" s="602"/>
      <c r="C2343" s="602"/>
      <c r="D2343" s="602"/>
      <c r="E2343" s="602"/>
      <c r="F2343" s="602"/>
      <c r="G2343" s="602"/>
      <c r="H2343" s="602"/>
      <c r="I2343" s="602"/>
      <c r="J2343" s="602"/>
      <c r="K2343" s="602"/>
      <c r="L2343" s="602"/>
      <c r="M2343" s="602"/>
      <c r="N2343" s="603"/>
    </row>
    <row r="2344" spans="1:15" ht="25.5" customHeight="1">
      <c r="E2344" s="206"/>
      <c r="F2344" s="206"/>
      <c r="G2344" s="206"/>
      <c r="H2344" s="206"/>
      <c r="I2344" s="206"/>
      <c r="J2344" s="206"/>
      <c r="K2344" s="206"/>
    </row>
    <row r="2345" spans="1:15" ht="21.6" thickBot="1"/>
    <row r="2346" spans="1:15" ht="95.25" customHeight="1" thickBot="1">
      <c r="A2346" s="592" t="s">
        <v>1883</v>
      </c>
      <c r="B2346" s="593"/>
      <c r="C2346" s="593"/>
      <c r="D2346" s="593"/>
      <c r="E2346" s="593"/>
      <c r="F2346" s="593"/>
      <c r="G2346" s="593"/>
      <c r="H2346" s="593"/>
      <c r="I2346" s="593"/>
      <c r="J2346" s="593"/>
      <c r="K2346" s="593"/>
      <c r="L2346" s="593"/>
      <c r="M2346" s="593"/>
      <c r="N2346" s="594"/>
    </row>
    <row r="2347" spans="1:15" s="3" customFormat="1" ht="37.5" customHeight="1">
      <c r="A2347" s="134" t="s">
        <v>1884</v>
      </c>
      <c r="B2347" s="166"/>
      <c r="C2347" s="166"/>
      <c r="D2347" s="123"/>
      <c r="E2347" s="123"/>
      <c r="F2347" s="167" t="s">
        <v>1885</v>
      </c>
      <c r="G2347" s="167" t="s">
        <v>1886</v>
      </c>
      <c r="H2347" s="167"/>
      <c r="I2347" s="167"/>
      <c r="J2347" s="167"/>
      <c r="K2347" s="167"/>
      <c r="L2347" s="167"/>
      <c r="M2347" s="167"/>
      <c r="N2347" s="152"/>
      <c r="O2347" s="201"/>
    </row>
    <row r="2348" spans="1:15" s="4" customFormat="1" ht="25.2">
      <c r="A2348" s="125" t="s">
        <v>1887</v>
      </c>
      <c r="B2348" s="123"/>
      <c r="C2348" s="123"/>
      <c r="D2348" s="123"/>
      <c r="E2348" s="123"/>
      <c r="F2348" s="167"/>
      <c r="G2348" s="167" t="s">
        <v>1888</v>
      </c>
      <c r="H2348" s="167"/>
      <c r="I2348" s="167"/>
      <c r="J2348" s="167"/>
      <c r="K2348" s="167"/>
      <c r="L2348" s="167"/>
      <c r="M2348" s="167"/>
      <c r="N2348" s="152"/>
    </row>
    <row r="2349" spans="1:15" s="3" customFormat="1" ht="9.9" customHeight="1">
      <c r="A2349" s="125"/>
      <c r="B2349" s="123"/>
      <c r="C2349" s="123"/>
      <c r="D2349" s="123"/>
      <c r="E2349" s="123"/>
      <c r="F2349" s="167"/>
      <c r="G2349" s="123"/>
      <c r="H2349" s="123"/>
      <c r="I2349" s="123"/>
      <c r="J2349" s="123"/>
      <c r="K2349" s="123"/>
      <c r="L2349" s="123"/>
      <c r="M2349" s="123"/>
      <c r="N2349" s="126"/>
    </row>
    <row r="2350" spans="1:15" s="3" customFormat="1" ht="42.75" customHeight="1">
      <c r="A2350" s="125" t="s">
        <v>1889</v>
      </c>
      <c r="B2350" s="123"/>
      <c r="C2350" s="123"/>
      <c r="D2350" s="123"/>
      <c r="E2350" s="123"/>
      <c r="F2350" s="167" t="s">
        <v>1885</v>
      </c>
      <c r="G2350" s="167" t="str">
        <f>PL!$B$13</f>
        <v>Branch of JSC "Doosan Enerbility" in the Turkestan region</v>
      </c>
      <c r="H2350" s="123"/>
      <c r="I2350" s="123"/>
      <c r="J2350" s="123"/>
      <c r="K2350" s="123"/>
      <c r="L2350" s="123"/>
      <c r="M2350" s="123"/>
      <c r="N2350" s="126"/>
    </row>
    <row r="2351" spans="1:15" s="3" customFormat="1" ht="24" customHeight="1">
      <c r="A2351" s="125" t="s">
        <v>1890</v>
      </c>
      <c r="B2351" s="123"/>
      <c r="C2351" s="123"/>
      <c r="D2351" s="123"/>
      <c r="E2351" s="123"/>
      <c r="F2351" s="168"/>
      <c r="G2351" s="167" t="str">
        <f>PL!$B$14</f>
        <v>321 Tauke Khan Avenue, Turkestan region, Turkestan, Kazakhstan, 161200</v>
      </c>
      <c r="H2351" s="123"/>
      <c r="I2351" s="123"/>
      <c r="J2351" s="123"/>
      <c r="K2351" s="123"/>
      <c r="L2351" s="123"/>
      <c r="M2351" s="123"/>
      <c r="N2351" s="126"/>
    </row>
    <row r="2352" spans="1:15" s="4" customFormat="1" ht="25.2">
      <c r="A2352" s="125"/>
      <c r="B2352" s="123"/>
      <c r="C2352" s="123"/>
      <c r="D2352" s="123"/>
      <c r="E2352" s="123"/>
      <c r="F2352" s="168"/>
      <c r="G2352" s="167" t="str">
        <f>PL!$B$15</f>
        <v>BIN: 230741006561</v>
      </c>
      <c r="H2352" s="123"/>
      <c r="I2352" s="123"/>
      <c r="J2352" s="123"/>
      <c r="K2352" s="123"/>
      <c r="L2352" s="123"/>
      <c r="M2352" s="123"/>
      <c r="N2352" s="126"/>
    </row>
    <row r="2353" spans="1:14" s="3" customFormat="1" ht="9.9" customHeight="1">
      <c r="A2353" s="125"/>
      <c r="B2353" s="123"/>
      <c r="C2353" s="123"/>
      <c r="D2353" s="123"/>
      <c r="E2353" s="123"/>
      <c r="F2353" s="169"/>
      <c r="G2353" s="169"/>
      <c r="H2353" s="123"/>
      <c r="I2353" s="123"/>
      <c r="J2353" s="123"/>
      <c r="K2353" s="123"/>
      <c r="L2353" s="123"/>
      <c r="M2353" s="123"/>
      <c r="N2353" s="126"/>
    </row>
    <row r="2354" spans="1:14" s="3" customFormat="1" ht="25.2">
      <c r="A2354" s="125" t="s">
        <v>1891</v>
      </c>
      <c r="B2354" s="123"/>
      <c r="C2354" s="123"/>
      <c r="D2354" s="123"/>
      <c r="E2354" s="123"/>
      <c r="F2354" s="167" t="s">
        <v>1892</v>
      </c>
      <c r="G2354" s="123"/>
      <c r="H2354" s="123"/>
      <c r="I2354" s="123"/>
      <c r="J2354" s="123"/>
      <c r="K2354" s="123"/>
      <c r="L2354" s="123"/>
      <c r="M2354" s="123"/>
      <c r="N2354" s="126"/>
    </row>
    <row r="2355" spans="1:14" s="4" customFormat="1" ht="25.2">
      <c r="A2355" s="125" t="s">
        <v>1893</v>
      </c>
      <c r="B2355" s="123"/>
      <c r="C2355" s="123"/>
      <c r="D2355" s="123"/>
      <c r="E2355" s="123"/>
      <c r="F2355" s="167" t="s">
        <v>1894</v>
      </c>
      <c r="G2355" s="123"/>
      <c r="H2355" s="123"/>
      <c r="I2355" s="123"/>
      <c r="J2355" s="123"/>
      <c r="K2355" s="123"/>
      <c r="L2355" s="123"/>
      <c r="M2355" s="123"/>
      <c r="N2355" s="126"/>
    </row>
    <row r="2356" spans="1:14" s="3" customFormat="1" ht="9.9" customHeight="1">
      <c r="A2356" s="125"/>
      <c r="B2356" s="123"/>
      <c r="C2356" s="123"/>
      <c r="D2356" s="123"/>
      <c r="E2356" s="123"/>
      <c r="F2356" s="167"/>
      <c r="G2356" s="123"/>
      <c r="H2356" s="123"/>
      <c r="I2356" s="123"/>
      <c r="J2356" s="123"/>
      <c r="K2356" s="123"/>
      <c r="L2356" s="123"/>
      <c r="M2356" s="123"/>
      <c r="N2356" s="126"/>
    </row>
    <row r="2357" spans="1:14" s="3" customFormat="1" ht="25.2">
      <c r="A2357" s="125" t="s">
        <v>1895</v>
      </c>
      <c r="B2357" s="123"/>
      <c r="C2357" s="123"/>
      <c r="D2357" s="123"/>
      <c r="E2357" s="123"/>
      <c r="F2357" s="167" t="s">
        <v>1896</v>
      </c>
      <c r="G2357" s="167" t="str">
        <f>PL!$V$8</f>
        <v>PGU-DE-0139-001</v>
      </c>
      <c r="H2357" s="123"/>
      <c r="I2357" s="123"/>
      <c r="J2357" s="123"/>
      <c r="K2357" s="123"/>
      <c r="L2357" s="123"/>
      <c r="M2357" s="123"/>
      <c r="N2357" s="126"/>
    </row>
    <row r="2358" spans="1:14" s="3" customFormat="1" ht="25.2">
      <c r="A2358" s="125" t="s">
        <v>1897</v>
      </c>
      <c r="B2358" s="123"/>
      <c r="C2358" s="123"/>
      <c r="D2358" s="123"/>
      <c r="E2358" s="123"/>
      <c r="F2358" s="167"/>
      <c r="G2358" s="123"/>
      <c r="H2358" s="123"/>
      <c r="I2358" s="123"/>
      <c r="J2358" s="123"/>
      <c r="K2358" s="123"/>
      <c r="L2358" s="123"/>
      <c r="M2358" s="123"/>
      <c r="N2358" s="126"/>
    </row>
    <row r="2359" spans="1:14" s="3" customFormat="1" ht="9.9" customHeight="1">
      <c r="A2359" s="125"/>
      <c r="B2359" s="123"/>
      <c r="C2359" s="123"/>
      <c r="D2359" s="123"/>
      <c r="E2359" s="123"/>
      <c r="F2359" s="167"/>
      <c r="G2359" s="123"/>
      <c r="H2359" s="123"/>
      <c r="I2359" s="123"/>
      <c r="J2359" s="123"/>
      <c r="K2359" s="123"/>
      <c r="L2359" s="123"/>
      <c r="M2359" s="123"/>
      <c r="N2359" s="126"/>
    </row>
    <row r="2360" spans="1:14" s="3" customFormat="1" ht="31.2" customHeight="1">
      <c r="A2360" s="127" t="s">
        <v>1898</v>
      </c>
      <c r="B2360" s="170"/>
      <c r="C2360" s="170"/>
      <c r="D2360" s="170"/>
      <c r="E2360" s="170"/>
      <c r="F2360" s="171" t="s">
        <v>1885</v>
      </c>
      <c r="G2360" s="597" t="e">
        <f>VLOOKUP(G2363, 'Detail PL'!$B$14:$Q$799,2)</f>
        <v>#N/A</v>
      </c>
      <c r="H2360" s="597"/>
      <c r="I2360" s="597"/>
      <c r="J2360" s="597"/>
      <c r="K2360" s="597"/>
      <c r="L2360" s="597"/>
      <c r="M2360" s="597"/>
      <c r="N2360" s="128"/>
    </row>
    <row r="2361" spans="1:14" s="3" customFormat="1" ht="25.2">
      <c r="A2361" s="127" t="s">
        <v>1899</v>
      </c>
      <c r="B2361" s="170"/>
      <c r="C2361" s="170"/>
      <c r="D2361" s="170"/>
      <c r="E2361" s="170"/>
      <c r="F2361" s="171"/>
      <c r="G2361" s="170"/>
      <c r="H2361" s="170"/>
      <c r="I2361" s="170"/>
      <c r="J2361" s="170"/>
      <c r="K2361" s="170"/>
      <c r="L2361" s="170"/>
      <c r="M2361" s="170"/>
      <c r="N2361" s="128"/>
    </row>
    <row r="2362" spans="1:14" s="3" customFormat="1" ht="9.9" customHeight="1">
      <c r="A2362" s="125"/>
      <c r="B2362" s="123"/>
      <c r="C2362" s="123"/>
      <c r="D2362" s="123"/>
      <c r="E2362" s="123"/>
      <c r="F2362" s="167"/>
      <c r="G2362" s="123"/>
      <c r="H2362" s="123"/>
      <c r="I2362" s="123"/>
      <c r="J2362" s="123"/>
      <c r="K2362" s="123"/>
      <c r="L2362" s="123"/>
      <c r="M2362" s="123"/>
      <c r="N2362" s="126"/>
    </row>
    <row r="2363" spans="1:14" s="3" customFormat="1" ht="25.2">
      <c r="A2363" s="125" t="s">
        <v>1900</v>
      </c>
      <c r="B2363" s="123"/>
      <c r="C2363" s="123"/>
      <c r="D2363" s="123"/>
      <c r="E2363" s="123"/>
      <c r="F2363" s="171" t="s">
        <v>1901</v>
      </c>
      <c r="G2363" s="604">
        <f t="shared" ref="G2363" si="65">G2328+1</f>
        <v>68</v>
      </c>
      <c r="H2363" s="604"/>
      <c r="I2363" s="604"/>
      <c r="J2363" s="604"/>
      <c r="K2363" s="604"/>
      <c r="L2363" s="123"/>
      <c r="M2363" s="123"/>
      <c r="N2363" s="126"/>
    </row>
    <row r="2364" spans="1:14" s="4" customFormat="1" ht="25.2">
      <c r="A2364" s="125" t="s">
        <v>1903</v>
      </c>
      <c r="B2364" s="123"/>
      <c r="C2364" s="123"/>
      <c r="D2364" s="123"/>
      <c r="E2364" s="123"/>
      <c r="F2364" s="167"/>
      <c r="G2364" s="167"/>
      <c r="H2364" s="123"/>
      <c r="I2364" s="123"/>
      <c r="J2364" s="123"/>
      <c r="K2364" s="123"/>
      <c r="L2364" s="123"/>
      <c r="M2364" s="123"/>
      <c r="N2364" s="126"/>
    </row>
    <row r="2365" spans="1:14" s="3" customFormat="1" ht="9.9" customHeight="1">
      <c r="A2365" s="125"/>
      <c r="B2365" s="123"/>
      <c r="C2365" s="123"/>
      <c r="D2365" s="123"/>
      <c r="E2365" s="123"/>
      <c r="F2365" s="167"/>
      <c r="G2365" s="167"/>
      <c r="H2365" s="123"/>
      <c r="I2365" s="123"/>
      <c r="J2365" s="123"/>
      <c r="K2365" s="123"/>
      <c r="L2365" s="123"/>
      <c r="M2365" s="123"/>
      <c r="N2365" s="126"/>
    </row>
    <row r="2366" spans="1:14" s="3" customFormat="1" ht="25.2">
      <c r="A2366" s="125" t="s">
        <v>1904</v>
      </c>
      <c r="B2366" s="123"/>
      <c r="C2366" s="123"/>
      <c r="D2366" s="123"/>
      <c r="E2366" s="123"/>
      <c r="F2366" s="167" t="s">
        <v>1896</v>
      </c>
      <c r="G2366" s="204" t="e">
        <f>VLOOKUP(G2363, 'Detail PL'!$B$14:$Q$799, 10)</f>
        <v>#N/A</v>
      </c>
      <c r="H2366" s="204" t="s">
        <v>1905</v>
      </c>
      <c r="I2366" s="204"/>
      <c r="J2366" s="204"/>
      <c r="K2366" s="123"/>
      <c r="L2366" s="123"/>
      <c r="M2366" s="123"/>
      <c r="N2366" s="126"/>
    </row>
    <row r="2367" spans="1:14" s="4" customFormat="1" ht="25.2">
      <c r="A2367" s="125" t="s">
        <v>1906</v>
      </c>
      <c r="B2367" s="123"/>
      <c r="C2367" s="123"/>
      <c r="D2367" s="123"/>
      <c r="E2367" s="123"/>
      <c r="F2367" s="167"/>
      <c r="G2367" s="167"/>
      <c r="H2367" s="167"/>
      <c r="I2367" s="123"/>
      <c r="J2367" s="123"/>
      <c r="K2367" s="123"/>
      <c r="L2367" s="123"/>
      <c r="M2367" s="123"/>
      <c r="N2367" s="126"/>
    </row>
    <row r="2368" spans="1:14" s="3" customFormat="1" ht="9.9" customHeight="1">
      <c r="A2368" s="125"/>
      <c r="B2368" s="123"/>
      <c r="C2368" s="123"/>
      <c r="D2368" s="123"/>
      <c r="E2368" s="123"/>
      <c r="F2368" s="167"/>
      <c r="G2368" s="167"/>
      <c r="H2368" s="167"/>
      <c r="I2368" s="123"/>
      <c r="J2368" s="123"/>
      <c r="K2368" s="123"/>
      <c r="L2368" s="123"/>
      <c r="M2368" s="123"/>
      <c r="N2368" s="126"/>
    </row>
    <row r="2369" spans="1:15" s="3" customFormat="1" ht="25.2">
      <c r="A2369" s="125" t="s">
        <v>1907</v>
      </c>
      <c r="B2369" s="123"/>
      <c r="C2369" s="123"/>
      <c r="D2369" s="123"/>
      <c r="E2369" s="123"/>
      <c r="F2369" s="167" t="s">
        <v>1896</v>
      </c>
      <c r="G2369" s="204" t="e">
        <f>VLOOKUP(G2363, 'Detail PL'!$B$14:$Q$799, 11)</f>
        <v>#N/A</v>
      </c>
      <c r="H2369" s="204" t="s">
        <v>1905</v>
      </c>
      <c r="I2369" s="204"/>
      <c r="J2369" s="204"/>
      <c r="K2369" s="123"/>
      <c r="L2369" s="123"/>
      <c r="M2369" s="123"/>
      <c r="N2369" s="126"/>
    </row>
    <row r="2370" spans="1:15" s="4" customFormat="1" ht="25.2">
      <c r="A2370" s="125" t="s">
        <v>1908</v>
      </c>
      <c r="B2370" s="123"/>
      <c r="C2370" s="123"/>
      <c r="D2370" s="123"/>
      <c r="E2370" s="123"/>
      <c r="F2370" s="167"/>
      <c r="G2370" s="167"/>
      <c r="H2370" s="123"/>
      <c r="I2370" s="123"/>
      <c r="J2370" s="123"/>
      <c r="K2370" s="123"/>
      <c r="L2370" s="123"/>
      <c r="M2370" s="123"/>
      <c r="N2370" s="126"/>
    </row>
    <row r="2371" spans="1:15" s="3" customFormat="1" ht="9.9" customHeight="1">
      <c r="A2371" s="125"/>
      <c r="B2371" s="123"/>
      <c r="C2371" s="123"/>
      <c r="D2371" s="123"/>
      <c r="E2371" s="123"/>
      <c r="F2371" s="167"/>
      <c r="G2371" s="167"/>
      <c r="H2371" s="123"/>
      <c r="I2371" s="123"/>
      <c r="J2371" s="123"/>
      <c r="K2371" s="123"/>
      <c r="L2371" s="123"/>
      <c r="M2371" s="123"/>
      <c r="N2371" s="126"/>
    </row>
    <row r="2372" spans="1:15" s="3" customFormat="1" ht="25.2">
      <c r="A2372" s="129" t="s">
        <v>1909</v>
      </c>
      <c r="B2372" s="123"/>
      <c r="C2372" s="123"/>
      <c r="D2372" s="123"/>
      <c r="E2372" s="123"/>
      <c r="F2372" s="167" t="s">
        <v>1896</v>
      </c>
      <c r="G2372" s="204" t="e">
        <f>VLOOKUP(G2363, 'Detail PL'!$B$14:$Q$799, 9)</f>
        <v>#N/A</v>
      </c>
      <c r="H2372" s="205" t="s">
        <v>1910</v>
      </c>
      <c r="I2372" s="203"/>
      <c r="J2372" s="203"/>
      <c r="K2372" s="172"/>
      <c r="L2372" s="123"/>
      <c r="M2372" s="123"/>
      <c r="N2372" s="126"/>
    </row>
    <row r="2373" spans="1:15" s="4" customFormat="1" ht="25.2">
      <c r="A2373" s="125" t="s">
        <v>1911</v>
      </c>
      <c r="B2373" s="123"/>
      <c r="C2373" s="123"/>
      <c r="D2373" s="123"/>
      <c r="E2373" s="123"/>
      <c r="F2373" s="167"/>
      <c r="G2373" s="167"/>
      <c r="H2373" s="123"/>
      <c r="I2373" s="123"/>
      <c r="J2373" s="123"/>
      <c r="K2373" s="123"/>
      <c r="L2373" s="123"/>
      <c r="M2373" s="123"/>
      <c r="N2373" s="126"/>
    </row>
    <row r="2374" spans="1:15" s="3" customFormat="1" ht="9.9" customHeight="1">
      <c r="A2374" s="125"/>
      <c r="B2374" s="123"/>
      <c r="C2374" s="123"/>
      <c r="D2374" s="123"/>
      <c r="E2374" s="123"/>
      <c r="F2374" s="167"/>
      <c r="G2374" s="167"/>
      <c r="H2374" s="123"/>
      <c r="I2374" s="123"/>
      <c r="J2374" s="123"/>
      <c r="K2374" s="123"/>
      <c r="L2374" s="123"/>
      <c r="M2374" s="123"/>
      <c r="N2374" s="126"/>
    </row>
    <row r="2375" spans="1:15" s="3" customFormat="1" ht="42" customHeight="1">
      <c r="A2375" s="125" t="s">
        <v>1912</v>
      </c>
      <c r="B2375" s="123"/>
      <c r="C2375" s="123"/>
      <c r="D2375" s="123"/>
      <c r="E2375" s="123"/>
      <c r="F2375" s="166" t="s">
        <v>1913</v>
      </c>
      <c r="G2375" s="595" t="s">
        <v>1914</v>
      </c>
      <c r="H2375" s="595"/>
      <c r="I2375" s="595"/>
      <c r="J2375" s="595"/>
      <c r="K2375" s="595"/>
      <c r="L2375" s="595"/>
      <c r="M2375" s="595"/>
      <c r="N2375" s="596"/>
    </row>
    <row r="2376" spans="1:15" s="4" customFormat="1" ht="25.8" thickBot="1">
      <c r="A2376" s="125" t="s">
        <v>1915</v>
      </c>
      <c r="B2376" s="123"/>
      <c r="C2376" s="123"/>
      <c r="D2376" s="123"/>
      <c r="E2376" s="123"/>
      <c r="F2376" s="167"/>
      <c r="G2376" s="167"/>
      <c r="H2376" s="123"/>
      <c r="I2376" s="123"/>
      <c r="J2376" s="123"/>
      <c r="K2376" s="123"/>
      <c r="L2376" s="123"/>
      <c r="M2376" s="123"/>
      <c r="N2376" s="126"/>
    </row>
    <row r="2377" spans="1:15" ht="21" customHeight="1">
      <c r="A2377" s="598" t="s">
        <v>1916</v>
      </c>
      <c r="B2377" s="599"/>
      <c r="C2377" s="599"/>
      <c r="D2377" s="599"/>
      <c r="E2377" s="599"/>
      <c r="F2377" s="599"/>
      <c r="G2377" s="599"/>
      <c r="H2377" s="599"/>
      <c r="I2377" s="599"/>
      <c r="J2377" s="599"/>
      <c r="K2377" s="599"/>
      <c r="L2377" s="599"/>
      <c r="M2377" s="599"/>
      <c r="N2377" s="600"/>
    </row>
    <row r="2378" spans="1:15" ht="25.5" customHeight="1" thickBot="1">
      <c r="A2378" s="601"/>
      <c r="B2378" s="602"/>
      <c r="C2378" s="602"/>
      <c r="D2378" s="602"/>
      <c r="E2378" s="602"/>
      <c r="F2378" s="602"/>
      <c r="G2378" s="602"/>
      <c r="H2378" s="602"/>
      <c r="I2378" s="602"/>
      <c r="J2378" s="602"/>
      <c r="K2378" s="602"/>
      <c r="L2378" s="602"/>
      <c r="M2378" s="602"/>
      <c r="N2378" s="603"/>
    </row>
    <row r="2379" spans="1:15" ht="25.5" customHeight="1">
      <c r="E2379" s="206"/>
      <c r="F2379" s="206"/>
      <c r="G2379" s="206"/>
      <c r="H2379" s="206"/>
      <c r="I2379" s="206"/>
      <c r="J2379" s="206"/>
      <c r="K2379" s="206"/>
    </row>
    <row r="2380" spans="1:15" ht="21.6" thickBot="1"/>
    <row r="2381" spans="1:15" ht="95.25" customHeight="1" thickBot="1">
      <c r="A2381" s="592" t="s">
        <v>1883</v>
      </c>
      <c r="B2381" s="593"/>
      <c r="C2381" s="593"/>
      <c r="D2381" s="593"/>
      <c r="E2381" s="593"/>
      <c r="F2381" s="593"/>
      <c r="G2381" s="593"/>
      <c r="H2381" s="593"/>
      <c r="I2381" s="593"/>
      <c r="J2381" s="593"/>
      <c r="K2381" s="593"/>
      <c r="L2381" s="593"/>
      <c r="M2381" s="593"/>
      <c r="N2381" s="594"/>
    </row>
    <row r="2382" spans="1:15" s="3" customFormat="1" ht="37.5" customHeight="1">
      <c r="A2382" s="134" t="s">
        <v>1884</v>
      </c>
      <c r="B2382" s="166"/>
      <c r="C2382" s="166"/>
      <c r="D2382" s="123"/>
      <c r="E2382" s="123"/>
      <c r="F2382" s="167" t="s">
        <v>1885</v>
      </c>
      <c r="G2382" s="167" t="s">
        <v>1886</v>
      </c>
      <c r="H2382" s="167"/>
      <c r="I2382" s="167"/>
      <c r="J2382" s="167"/>
      <c r="K2382" s="167"/>
      <c r="L2382" s="167"/>
      <c r="M2382" s="167"/>
      <c r="N2382" s="152"/>
      <c r="O2382" s="201"/>
    </row>
    <row r="2383" spans="1:15" s="4" customFormat="1" ht="25.2">
      <c r="A2383" s="125" t="s">
        <v>1887</v>
      </c>
      <c r="B2383" s="123"/>
      <c r="C2383" s="123"/>
      <c r="D2383" s="123"/>
      <c r="E2383" s="123"/>
      <c r="F2383" s="167"/>
      <c r="G2383" s="167" t="s">
        <v>1888</v>
      </c>
      <c r="H2383" s="167"/>
      <c r="I2383" s="167"/>
      <c r="J2383" s="167"/>
      <c r="K2383" s="167"/>
      <c r="L2383" s="167"/>
      <c r="M2383" s="167"/>
      <c r="N2383" s="152"/>
    </row>
    <row r="2384" spans="1:15" s="3" customFormat="1" ht="9.9" customHeight="1">
      <c r="A2384" s="125"/>
      <c r="B2384" s="123"/>
      <c r="C2384" s="123"/>
      <c r="D2384" s="123"/>
      <c r="E2384" s="123"/>
      <c r="F2384" s="167"/>
      <c r="G2384" s="123"/>
      <c r="H2384" s="123"/>
      <c r="I2384" s="123"/>
      <c r="J2384" s="123"/>
      <c r="K2384" s="123"/>
      <c r="L2384" s="123"/>
      <c r="M2384" s="123"/>
      <c r="N2384" s="126"/>
    </row>
    <row r="2385" spans="1:14" s="3" customFormat="1" ht="42.75" customHeight="1">
      <c r="A2385" s="125" t="s">
        <v>1889</v>
      </c>
      <c r="B2385" s="123"/>
      <c r="C2385" s="123"/>
      <c r="D2385" s="123"/>
      <c r="E2385" s="123"/>
      <c r="F2385" s="167" t="s">
        <v>1885</v>
      </c>
      <c r="G2385" s="167" t="str">
        <f>PL!$B$13</f>
        <v>Branch of JSC "Doosan Enerbility" in the Turkestan region</v>
      </c>
      <c r="H2385" s="123"/>
      <c r="I2385" s="123"/>
      <c r="J2385" s="123"/>
      <c r="K2385" s="123"/>
      <c r="L2385" s="123"/>
      <c r="M2385" s="123"/>
      <c r="N2385" s="126"/>
    </row>
    <row r="2386" spans="1:14" s="3" customFormat="1" ht="24" customHeight="1">
      <c r="A2386" s="125" t="s">
        <v>1890</v>
      </c>
      <c r="B2386" s="123"/>
      <c r="C2386" s="123"/>
      <c r="D2386" s="123"/>
      <c r="E2386" s="123"/>
      <c r="F2386" s="168"/>
      <c r="G2386" s="167" t="str">
        <f>PL!$B$14</f>
        <v>321 Tauke Khan Avenue, Turkestan region, Turkestan, Kazakhstan, 161200</v>
      </c>
      <c r="H2386" s="123"/>
      <c r="I2386" s="123"/>
      <c r="J2386" s="123"/>
      <c r="K2386" s="123"/>
      <c r="L2386" s="123"/>
      <c r="M2386" s="123"/>
      <c r="N2386" s="126"/>
    </row>
    <row r="2387" spans="1:14" s="4" customFormat="1" ht="25.2">
      <c r="A2387" s="125"/>
      <c r="B2387" s="123"/>
      <c r="C2387" s="123"/>
      <c r="D2387" s="123"/>
      <c r="E2387" s="123"/>
      <c r="F2387" s="168"/>
      <c r="G2387" s="167" t="str">
        <f>PL!$B$15</f>
        <v>BIN: 230741006561</v>
      </c>
      <c r="H2387" s="123"/>
      <c r="I2387" s="123"/>
      <c r="J2387" s="123"/>
      <c r="K2387" s="123"/>
      <c r="L2387" s="123"/>
      <c r="M2387" s="123"/>
      <c r="N2387" s="126"/>
    </row>
    <row r="2388" spans="1:14" s="3" customFormat="1" ht="9.9" customHeight="1">
      <c r="A2388" s="125"/>
      <c r="B2388" s="123"/>
      <c r="C2388" s="123"/>
      <c r="D2388" s="123"/>
      <c r="E2388" s="123"/>
      <c r="F2388" s="169"/>
      <c r="G2388" s="169"/>
      <c r="H2388" s="123"/>
      <c r="I2388" s="123"/>
      <c r="J2388" s="123"/>
      <c r="K2388" s="123"/>
      <c r="L2388" s="123"/>
      <c r="M2388" s="123"/>
      <c r="N2388" s="126"/>
    </row>
    <row r="2389" spans="1:14" s="3" customFormat="1" ht="25.2">
      <c r="A2389" s="125" t="s">
        <v>1891</v>
      </c>
      <c r="B2389" s="123"/>
      <c r="C2389" s="123"/>
      <c r="D2389" s="123"/>
      <c r="E2389" s="123"/>
      <c r="F2389" s="167" t="s">
        <v>1892</v>
      </c>
      <c r="G2389" s="123"/>
      <c r="H2389" s="123"/>
      <c r="I2389" s="123"/>
      <c r="J2389" s="123"/>
      <c r="K2389" s="123"/>
      <c r="L2389" s="123"/>
      <c r="M2389" s="123"/>
      <c r="N2389" s="126"/>
    </row>
    <row r="2390" spans="1:14" s="4" customFormat="1" ht="25.2">
      <c r="A2390" s="125" t="s">
        <v>1893</v>
      </c>
      <c r="B2390" s="123"/>
      <c r="C2390" s="123"/>
      <c r="D2390" s="123"/>
      <c r="E2390" s="123"/>
      <c r="F2390" s="167" t="s">
        <v>1894</v>
      </c>
      <c r="G2390" s="123"/>
      <c r="H2390" s="123"/>
      <c r="I2390" s="123"/>
      <c r="J2390" s="123"/>
      <c r="K2390" s="123"/>
      <c r="L2390" s="123"/>
      <c r="M2390" s="123"/>
      <c r="N2390" s="126"/>
    </row>
    <row r="2391" spans="1:14" s="3" customFormat="1" ht="9.9" customHeight="1">
      <c r="A2391" s="125"/>
      <c r="B2391" s="123"/>
      <c r="C2391" s="123"/>
      <c r="D2391" s="123"/>
      <c r="E2391" s="123"/>
      <c r="F2391" s="167"/>
      <c r="G2391" s="123"/>
      <c r="H2391" s="123"/>
      <c r="I2391" s="123"/>
      <c r="J2391" s="123"/>
      <c r="K2391" s="123"/>
      <c r="L2391" s="123"/>
      <c r="M2391" s="123"/>
      <c r="N2391" s="126"/>
    </row>
    <row r="2392" spans="1:14" s="3" customFormat="1" ht="25.2">
      <c r="A2392" s="125" t="s">
        <v>1895</v>
      </c>
      <c r="B2392" s="123"/>
      <c r="C2392" s="123"/>
      <c r="D2392" s="123"/>
      <c r="E2392" s="123"/>
      <c r="F2392" s="167" t="s">
        <v>1896</v>
      </c>
      <c r="G2392" s="167" t="str">
        <f>PL!$V$8</f>
        <v>PGU-DE-0139-001</v>
      </c>
      <c r="H2392" s="123"/>
      <c r="I2392" s="123"/>
      <c r="J2392" s="123"/>
      <c r="K2392" s="123"/>
      <c r="L2392" s="123"/>
      <c r="M2392" s="123"/>
      <c r="N2392" s="126"/>
    </row>
    <row r="2393" spans="1:14" s="3" customFormat="1" ht="25.2">
      <c r="A2393" s="125" t="s">
        <v>1897</v>
      </c>
      <c r="B2393" s="123"/>
      <c r="C2393" s="123"/>
      <c r="D2393" s="123"/>
      <c r="E2393" s="123"/>
      <c r="F2393" s="167"/>
      <c r="G2393" s="123"/>
      <c r="H2393" s="123"/>
      <c r="I2393" s="123"/>
      <c r="J2393" s="123"/>
      <c r="K2393" s="123"/>
      <c r="L2393" s="123"/>
      <c r="M2393" s="123"/>
      <c r="N2393" s="126"/>
    </row>
    <row r="2394" spans="1:14" s="3" customFormat="1" ht="9.9" customHeight="1">
      <c r="A2394" s="125"/>
      <c r="B2394" s="123"/>
      <c r="C2394" s="123"/>
      <c r="D2394" s="123"/>
      <c r="E2394" s="123"/>
      <c r="F2394" s="167"/>
      <c r="G2394" s="123"/>
      <c r="H2394" s="123"/>
      <c r="I2394" s="123"/>
      <c r="J2394" s="123"/>
      <c r="K2394" s="123"/>
      <c r="L2394" s="123"/>
      <c r="M2394" s="123"/>
      <c r="N2394" s="126"/>
    </row>
    <row r="2395" spans="1:14" s="3" customFormat="1" ht="31.2" customHeight="1">
      <c r="A2395" s="127" t="s">
        <v>1898</v>
      </c>
      <c r="B2395" s="170"/>
      <c r="C2395" s="170"/>
      <c r="D2395" s="170"/>
      <c r="E2395" s="170"/>
      <c r="F2395" s="171" t="s">
        <v>1885</v>
      </c>
      <c r="G2395" s="597" t="e">
        <f>VLOOKUP(G2398, 'Detail PL'!$B$14:$Q$799,2)</f>
        <v>#N/A</v>
      </c>
      <c r="H2395" s="597"/>
      <c r="I2395" s="597"/>
      <c r="J2395" s="597"/>
      <c r="K2395" s="597"/>
      <c r="L2395" s="597"/>
      <c r="M2395" s="597"/>
      <c r="N2395" s="128"/>
    </row>
    <row r="2396" spans="1:14" s="3" customFormat="1" ht="25.2">
      <c r="A2396" s="127" t="s">
        <v>1899</v>
      </c>
      <c r="B2396" s="170"/>
      <c r="C2396" s="170"/>
      <c r="D2396" s="170"/>
      <c r="E2396" s="170"/>
      <c r="F2396" s="171"/>
      <c r="G2396" s="170"/>
      <c r="H2396" s="170"/>
      <c r="I2396" s="170"/>
      <c r="J2396" s="170"/>
      <c r="K2396" s="170"/>
      <c r="L2396" s="170"/>
      <c r="M2396" s="170"/>
      <c r="N2396" s="128"/>
    </row>
    <row r="2397" spans="1:14" s="3" customFormat="1" ht="9.9" customHeight="1">
      <c r="A2397" s="125"/>
      <c r="B2397" s="123"/>
      <c r="C2397" s="123"/>
      <c r="D2397" s="123"/>
      <c r="E2397" s="123"/>
      <c r="F2397" s="167"/>
      <c r="G2397" s="123"/>
      <c r="H2397" s="123"/>
      <c r="I2397" s="123"/>
      <c r="J2397" s="123"/>
      <c r="K2397" s="123"/>
      <c r="L2397" s="123"/>
      <c r="M2397" s="123"/>
      <c r="N2397" s="126"/>
    </row>
    <row r="2398" spans="1:14" s="3" customFormat="1" ht="25.2">
      <c r="A2398" s="125" t="s">
        <v>1900</v>
      </c>
      <c r="B2398" s="123"/>
      <c r="C2398" s="123"/>
      <c r="D2398" s="123"/>
      <c r="E2398" s="123"/>
      <c r="F2398" s="171" t="s">
        <v>1901</v>
      </c>
      <c r="G2398" s="604">
        <f t="shared" ref="G2398" si="66">G2363+1</f>
        <v>69</v>
      </c>
      <c r="H2398" s="604"/>
      <c r="I2398" s="604"/>
      <c r="J2398" s="604"/>
      <c r="K2398" s="604"/>
      <c r="L2398" s="123"/>
      <c r="M2398" s="123"/>
      <c r="N2398" s="126"/>
    </row>
    <row r="2399" spans="1:14" s="4" customFormat="1" ht="25.2">
      <c r="A2399" s="125" t="s">
        <v>1903</v>
      </c>
      <c r="B2399" s="123"/>
      <c r="C2399" s="123"/>
      <c r="D2399" s="123"/>
      <c r="E2399" s="123"/>
      <c r="F2399" s="167"/>
      <c r="G2399" s="167"/>
      <c r="H2399" s="123"/>
      <c r="I2399" s="123"/>
      <c r="J2399" s="123"/>
      <c r="K2399" s="123"/>
      <c r="L2399" s="123"/>
      <c r="M2399" s="123"/>
      <c r="N2399" s="126"/>
    </row>
    <row r="2400" spans="1:14" s="3" customFormat="1" ht="9.9" customHeight="1">
      <c r="A2400" s="125"/>
      <c r="B2400" s="123"/>
      <c r="C2400" s="123"/>
      <c r="D2400" s="123"/>
      <c r="E2400" s="123"/>
      <c r="F2400" s="167"/>
      <c r="G2400" s="167"/>
      <c r="H2400" s="123"/>
      <c r="I2400" s="123"/>
      <c r="J2400" s="123"/>
      <c r="K2400" s="123"/>
      <c r="L2400" s="123"/>
      <c r="M2400" s="123"/>
      <c r="N2400" s="126"/>
    </row>
    <row r="2401" spans="1:14" s="3" customFormat="1" ht="25.2">
      <c r="A2401" s="125" t="s">
        <v>1904</v>
      </c>
      <c r="B2401" s="123"/>
      <c r="C2401" s="123"/>
      <c r="D2401" s="123"/>
      <c r="E2401" s="123"/>
      <c r="F2401" s="167" t="s">
        <v>1896</v>
      </c>
      <c r="G2401" s="204" t="e">
        <f>VLOOKUP(G2398, 'Detail PL'!$B$14:$Q$799, 10)</f>
        <v>#N/A</v>
      </c>
      <c r="H2401" s="204" t="s">
        <v>1905</v>
      </c>
      <c r="I2401" s="204"/>
      <c r="J2401" s="204"/>
      <c r="K2401" s="123"/>
      <c r="L2401" s="123"/>
      <c r="M2401" s="123"/>
      <c r="N2401" s="126"/>
    </row>
    <row r="2402" spans="1:14" s="4" customFormat="1" ht="25.2">
      <c r="A2402" s="125" t="s">
        <v>1906</v>
      </c>
      <c r="B2402" s="123"/>
      <c r="C2402" s="123"/>
      <c r="D2402" s="123"/>
      <c r="E2402" s="123"/>
      <c r="F2402" s="167"/>
      <c r="G2402" s="167"/>
      <c r="H2402" s="167"/>
      <c r="I2402" s="123"/>
      <c r="J2402" s="123"/>
      <c r="K2402" s="123"/>
      <c r="L2402" s="123"/>
      <c r="M2402" s="123"/>
      <c r="N2402" s="126"/>
    </row>
    <row r="2403" spans="1:14" s="3" customFormat="1" ht="9.9" customHeight="1">
      <c r="A2403" s="125"/>
      <c r="B2403" s="123"/>
      <c r="C2403" s="123"/>
      <c r="D2403" s="123"/>
      <c r="E2403" s="123"/>
      <c r="F2403" s="167"/>
      <c r="G2403" s="167"/>
      <c r="H2403" s="167"/>
      <c r="I2403" s="123"/>
      <c r="J2403" s="123"/>
      <c r="K2403" s="123"/>
      <c r="L2403" s="123"/>
      <c r="M2403" s="123"/>
      <c r="N2403" s="126"/>
    </row>
    <row r="2404" spans="1:14" s="3" customFormat="1" ht="25.2">
      <c r="A2404" s="125" t="s">
        <v>1907</v>
      </c>
      <c r="B2404" s="123"/>
      <c r="C2404" s="123"/>
      <c r="D2404" s="123"/>
      <c r="E2404" s="123"/>
      <c r="F2404" s="167" t="s">
        <v>1896</v>
      </c>
      <c r="G2404" s="204" t="e">
        <f>VLOOKUP(G2398, 'Detail PL'!$B$14:$Q$799, 11)</f>
        <v>#N/A</v>
      </c>
      <c r="H2404" s="204" t="s">
        <v>1905</v>
      </c>
      <c r="I2404" s="204"/>
      <c r="J2404" s="204"/>
      <c r="K2404" s="123"/>
      <c r="L2404" s="123"/>
      <c r="M2404" s="123"/>
      <c r="N2404" s="126"/>
    </row>
    <row r="2405" spans="1:14" s="4" customFormat="1" ht="25.2">
      <c r="A2405" s="125" t="s">
        <v>1908</v>
      </c>
      <c r="B2405" s="123"/>
      <c r="C2405" s="123"/>
      <c r="D2405" s="123"/>
      <c r="E2405" s="123"/>
      <c r="F2405" s="167"/>
      <c r="G2405" s="167"/>
      <c r="H2405" s="123"/>
      <c r="I2405" s="123"/>
      <c r="J2405" s="123"/>
      <c r="K2405" s="123"/>
      <c r="L2405" s="123"/>
      <c r="M2405" s="123"/>
      <c r="N2405" s="126"/>
    </row>
    <row r="2406" spans="1:14" s="3" customFormat="1" ht="9.9" customHeight="1">
      <c r="A2406" s="125"/>
      <c r="B2406" s="123"/>
      <c r="C2406" s="123"/>
      <c r="D2406" s="123"/>
      <c r="E2406" s="123"/>
      <c r="F2406" s="167"/>
      <c r="G2406" s="167"/>
      <c r="H2406" s="123"/>
      <c r="I2406" s="123"/>
      <c r="J2406" s="123"/>
      <c r="K2406" s="123"/>
      <c r="L2406" s="123"/>
      <c r="M2406" s="123"/>
      <c r="N2406" s="126"/>
    </row>
    <row r="2407" spans="1:14" s="3" customFormat="1" ht="25.2">
      <c r="A2407" s="129" t="s">
        <v>1909</v>
      </c>
      <c r="B2407" s="123"/>
      <c r="C2407" s="123"/>
      <c r="D2407" s="123"/>
      <c r="E2407" s="123"/>
      <c r="F2407" s="167" t="s">
        <v>1896</v>
      </c>
      <c r="G2407" s="204" t="e">
        <f>VLOOKUP(G2398, 'Detail PL'!$B$14:$Q$799, 9)</f>
        <v>#N/A</v>
      </c>
      <c r="H2407" s="205" t="s">
        <v>1910</v>
      </c>
      <c r="I2407" s="203"/>
      <c r="J2407" s="203"/>
      <c r="K2407" s="172"/>
      <c r="L2407" s="123"/>
      <c r="M2407" s="123"/>
      <c r="N2407" s="126"/>
    </row>
    <row r="2408" spans="1:14" s="4" customFormat="1" ht="25.2">
      <c r="A2408" s="125" t="s">
        <v>1911</v>
      </c>
      <c r="B2408" s="123"/>
      <c r="C2408" s="123"/>
      <c r="D2408" s="123"/>
      <c r="E2408" s="123"/>
      <c r="F2408" s="167"/>
      <c r="G2408" s="167"/>
      <c r="H2408" s="123"/>
      <c r="I2408" s="123"/>
      <c r="J2408" s="123"/>
      <c r="K2408" s="123"/>
      <c r="L2408" s="123"/>
      <c r="M2408" s="123"/>
      <c r="N2408" s="126"/>
    </row>
    <row r="2409" spans="1:14" s="3" customFormat="1" ht="9.9" customHeight="1">
      <c r="A2409" s="125"/>
      <c r="B2409" s="123"/>
      <c r="C2409" s="123"/>
      <c r="D2409" s="123"/>
      <c r="E2409" s="123"/>
      <c r="F2409" s="167"/>
      <c r="G2409" s="167"/>
      <c r="H2409" s="123"/>
      <c r="I2409" s="123"/>
      <c r="J2409" s="123"/>
      <c r="K2409" s="123"/>
      <c r="L2409" s="123"/>
      <c r="M2409" s="123"/>
      <c r="N2409" s="126"/>
    </row>
    <row r="2410" spans="1:14" s="3" customFormat="1" ht="42" customHeight="1">
      <c r="A2410" s="125" t="s">
        <v>1912</v>
      </c>
      <c r="B2410" s="123"/>
      <c r="C2410" s="123"/>
      <c r="D2410" s="123"/>
      <c r="E2410" s="123"/>
      <c r="F2410" s="166" t="s">
        <v>1913</v>
      </c>
      <c r="G2410" s="595" t="s">
        <v>1914</v>
      </c>
      <c r="H2410" s="595"/>
      <c r="I2410" s="595"/>
      <c r="J2410" s="595"/>
      <c r="K2410" s="595"/>
      <c r="L2410" s="595"/>
      <c r="M2410" s="595"/>
      <c r="N2410" s="596"/>
    </row>
    <row r="2411" spans="1:14" s="4" customFormat="1" ht="25.8" thickBot="1">
      <c r="A2411" s="125" t="s">
        <v>1915</v>
      </c>
      <c r="B2411" s="123"/>
      <c r="C2411" s="123"/>
      <c r="D2411" s="123"/>
      <c r="E2411" s="123"/>
      <c r="F2411" s="167"/>
      <c r="G2411" s="167"/>
      <c r="H2411" s="123"/>
      <c r="I2411" s="123"/>
      <c r="J2411" s="123"/>
      <c r="K2411" s="123"/>
      <c r="L2411" s="123"/>
      <c r="M2411" s="123"/>
      <c r="N2411" s="126"/>
    </row>
    <row r="2412" spans="1:14" ht="21" customHeight="1">
      <c r="A2412" s="598" t="s">
        <v>1916</v>
      </c>
      <c r="B2412" s="599"/>
      <c r="C2412" s="599"/>
      <c r="D2412" s="599"/>
      <c r="E2412" s="599"/>
      <c r="F2412" s="599"/>
      <c r="G2412" s="599"/>
      <c r="H2412" s="599"/>
      <c r="I2412" s="599"/>
      <c r="J2412" s="599"/>
      <c r="K2412" s="599"/>
      <c r="L2412" s="599"/>
      <c r="M2412" s="599"/>
      <c r="N2412" s="600"/>
    </row>
    <row r="2413" spans="1:14" ht="25.5" customHeight="1" thickBot="1">
      <c r="A2413" s="601"/>
      <c r="B2413" s="602"/>
      <c r="C2413" s="602"/>
      <c r="D2413" s="602"/>
      <c r="E2413" s="602"/>
      <c r="F2413" s="602"/>
      <c r="G2413" s="602"/>
      <c r="H2413" s="602"/>
      <c r="I2413" s="602"/>
      <c r="J2413" s="602"/>
      <c r="K2413" s="602"/>
      <c r="L2413" s="602"/>
      <c r="M2413" s="602"/>
      <c r="N2413" s="603"/>
    </row>
    <row r="2414" spans="1:14" ht="25.5" customHeight="1">
      <c r="E2414" s="206"/>
      <c r="F2414" s="206"/>
      <c r="G2414" s="206"/>
      <c r="H2414" s="206"/>
      <c r="I2414" s="206"/>
      <c r="J2414" s="206"/>
      <c r="K2414" s="206"/>
    </row>
    <row r="2415" spans="1:14" ht="21.6" thickBot="1"/>
    <row r="2416" spans="1:14" ht="95.25" customHeight="1" thickBot="1">
      <c r="A2416" s="592" t="s">
        <v>1883</v>
      </c>
      <c r="B2416" s="593"/>
      <c r="C2416" s="593"/>
      <c r="D2416" s="593"/>
      <c r="E2416" s="593"/>
      <c r="F2416" s="593"/>
      <c r="G2416" s="593"/>
      <c r="H2416" s="593"/>
      <c r="I2416" s="593"/>
      <c r="J2416" s="593"/>
      <c r="K2416" s="593"/>
      <c r="L2416" s="593"/>
      <c r="M2416" s="593"/>
      <c r="N2416" s="594"/>
    </row>
    <row r="2417" spans="1:15" s="3" customFormat="1" ht="37.5" customHeight="1">
      <c r="A2417" s="134" t="s">
        <v>1884</v>
      </c>
      <c r="B2417" s="166"/>
      <c r="C2417" s="166"/>
      <c r="D2417" s="123"/>
      <c r="E2417" s="123"/>
      <c r="F2417" s="167" t="s">
        <v>1885</v>
      </c>
      <c r="G2417" s="167" t="s">
        <v>1886</v>
      </c>
      <c r="H2417" s="167"/>
      <c r="I2417" s="167"/>
      <c r="J2417" s="167"/>
      <c r="K2417" s="167"/>
      <c r="L2417" s="167"/>
      <c r="M2417" s="167"/>
      <c r="N2417" s="152"/>
      <c r="O2417" s="201"/>
    </row>
    <row r="2418" spans="1:15" s="4" customFormat="1" ht="25.2">
      <c r="A2418" s="125" t="s">
        <v>1887</v>
      </c>
      <c r="B2418" s="123"/>
      <c r="C2418" s="123"/>
      <c r="D2418" s="123"/>
      <c r="E2418" s="123"/>
      <c r="F2418" s="167"/>
      <c r="G2418" s="167" t="s">
        <v>1888</v>
      </c>
      <c r="H2418" s="167"/>
      <c r="I2418" s="167"/>
      <c r="J2418" s="167"/>
      <c r="K2418" s="167"/>
      <c r="L2418" s="167"/>
      <c r="M2418" s="167"/>
      <c r="N2418" s="152"/>
    </row>
    <row r="2419" spans="1:15" s="3" customFormat="1" ht="9.9" customHeight="1">
      <c r="A2419" s="125"/>
      <c r="B2419" s="123"/>
      <c r="C2419" s="123"/>
      <c r="D2419" s="123"/>
      <c r="E2419" s="123"/>
      <c r="F2419" s="167"/>
      <c r="G2419" s="123"/>
      <c r="H2419" s="123"/>
      <c r="I2419" s="123"/>
      <c r="J2419" s="123"/>
      <c r="K2419" s="123"/>
      <c r="L2419" s="123"/>
      <c r="M2419" s="123"/>
      <c r="N2419" s="126"/>
    </row>
    <row r="2420" spans="1:15" s="3" customFormat="1" ht="42.75" customHeight="1">
      <c r="A2420" s="125" t="s">
        <v>1889</v>
      </c>
      <c r="B2420" s="123"/>
      <c r="C2420" s="123"/>
      <c r="D2420" s="123"/>
      <c r="E2420" s="123"/>
      <c r="F2420" s="167" t="s">
        <v>1885</v>
      </c>
      <c r="G2420" s="167" t="str">
        <f>PL!$B$13</f>
        <v>Branch of JSC "Doosan Enerbility" in the Turkestan region</v>
      </c>
      <c r="H2420" s="123"/>
      <c r="I2420" s="123"/>
      <c r="J2420" s="123"/>
      <c r="K2420" s="123"/>
      <c r="L2420" s="123"/>
      <c r="M2420" s="123"/>
      <c r="N2420" s="126"/>
    </row>
    <row r="2421" spans="1:15" s="3" customFormat="1" ht="24" customHeight="1">
      <c r="A2421" s="125" t="s">
        <v>1890</v>
      </c>
      <c r="B2421" s="123"/>
      <c r="C2421" s="123"/>
      <c r="D2421" s="123"/>
      <c r="E2421" s="123"/>
      <c r="F2421" s="168"/>
      <c r="G2421" s="167" t="str">
        <f>PL!$B$14</f>
        <v>321 Tauke Khan Avenue, Turkestan region, Turkestan, Kazakhstan, 161200</v>
      </c>
      <c r="H2421" s="123"/>
      <c r="I2421" s="123"/>
      <c r="J2421" s="123"/>
      <c r="K2421" s="123"/>
      <c r="L2421" s="123"/>
      <c r="M2421" s="123"/>
      <c r="N2421" s="126"/>
    </row>
    <row r="2422" spans="1:15" s="4" customFormat="1" ht="25.2">
      <c r="A2422" s="125"/>
      <c r="B2422" s="123"/>
      <c r="C2422" s="123"/>
      <c r="D2422" s="123"/>
      <c r="E2422" s="123"/>
      <c r="F2422" s="168"/>
      <c r="G2422" s="167" t="str">
        <f>PL!$B$15</f>
        <v>BIN: 230741006561</v>
      </c>
      <c r="H2422" s="123"/>
      <c r="I2422" s="123"/>
      <c r="J2422" s="123"/>
      <c r="K2422" s="123"/>
      <c r="L2422" s="123"/>
      <c r="M2422" s="123"/>
      <c r="N2422" s="126"/>
    </row>
    <row r="2423" spans="1:15" s="3" customFormat="1" ht="9.9" customHeight="1">
      <c r="A2423" s="125"/>
      <c r="B2423" s="123"/>
      <c r="C2423" s="123"/>
      <c r="D2423" s="123"/>
      <c r="E2423" s="123"/>
      <c r="F2423" s="169"/>
      <c r="G2423" s="169"/>
      <c r="H2423" s="123"/>
      <c r="I2423" s="123"/>
      <c r="J2423" s="123"/>
      <c r="K2423" s="123"/>
      <c r="L2423" s="123"/>
      <c r="M2423" s="123"/>
      <c r="N2423" s="126"/>
    </row>
    <row r="2424" spans="1:15" s="3" customFormat="1" ht="25.2">
      <c r="A2424" s="125" t="s">
        <v>1891</v>
      </c>
      <c r="B2424" s="123"/>
      <c r="C2424" s="123"/>
      <c r="D2424" s="123"/>
      <c r="E2424" s="123"/>
      <c r="F2424" s="167" t="s">
        <v>1892</v>
      </c>
      <c r="G2424" s="123"/>
      <c r="H2424" s="123"/>
      <c r="I2424" s="123"/>
      <c r="J2424" s="123"/>
      <c r="K2424" s="123"/>
      <c r="L2424" s="123"/>
      <c r="M2424" s="123"/>
      <c r="N2424" s="126"/>
    </row>
    <row r="2425" spans="1:15" s="4" customFormat="1" ht="25.2">
      <c r="A2425" s="125" t="s">
        <v>1893</v>
      </c>
      <c r="B2425" s="123"/>
      <c r="C2425" s="123"/>
      <c r="D2425" s="123"/>
      <c r="E2425" s="123"/>
      <c r="F2425" s="167" t="s">
        <v>1894</v>
      </c>
      <c r="G2425" s="123"/>
      <c r="H2425" s="123"/>
      <c r="I2425" s="123"/>
      <c r="J2425" s="123"/>
      <c r="K2425" s="123"/>
      <c r="L2425" s="123"/>
      <c r="M2425" s="123"/>
      <c r="N2425" s="126"/>
    </row>
    <row r="2426" spans="1:15" s="3" customFormat="1" ht="9.9" customHeight="1">
      <c r="A2426" s="125"/>
      <c r="B2426" s="123"/>
      <c r="C2426" s="123"/>
      <c r="D2426" s="123"/>
      <c r="E2426" s="123"/>
      <c r="F2426" s="167"/>
      <c r="G2426" s="123"/>
      <c r="H2426" s="123"/>
      <c r="I2426" s="123"/>
      <c r="J2426" s="123"/>
      <c r="K2426" s="123"/>
      <c r="L2426" s="123"/>
      <c r="M2426" s="123"/>
      <c r="N2426" s="126"/>
    </row>
    <row r="2427" spans="1:15" s="3" customFormat="1" ht="25.2">
      <c r="A2427" s="125" t="s">
        <v>1895</v>
      </c>
      <c r="B2427" s="123"/>
      <c r="C2427" s="123"/>
      <c r="D2427" s="123"/>
      <c r="E2427" s="123"/>
      <c r="F2427" s="167" t="s">
        <v>1896</v>
      </c>
      <c r="G2427" s="167" t="str">
        <f>PL!$V$8</f>
        <v>PGU-DE-0139-001</v>
      </c>
      <c r="H2427" s="123"/>
      <c r="I2427" s="123"/>
      <c r="J2427" s="123"/>
      <c r="K2427" s="123"/>
      <c r="L2427" s="123"/>
      <c r="M2427" s="123"/>
      <c r="N2427" s="126"/>
    </row>
    <row r="2428" spans="1:15" s="3" customFormat="1" ht="25.2">
      <c r="A2428" s="125" t="s">
        <v>1897</v>
      </c>
      <c r="B2428" s="123"/>
      <c r="C2428" s="123"/>
      <c r="D2428" s="123"/>
      <c r="E2428" s="123"/>
      <c r="F2428" s="167"/>
      <c r="G2428" s="123"/>
      <c r="H2428" s="123"/>
      <c r="I2428" s="123"/>
      <c r="J2428" s="123"/>
      <c r="K2428" s="123"/>
      <c r="L2428" s="123"/>
      <c r="M2428" s="123"/>
      <c r="N2428" s="126"/>
    </row>
    <row r="2429" spans="1:15" s="3" customFormat="1" ht="9.9" customHeight="1">
      <c r="A2429" s="125"/>
      <c r="B2429" s="123"/>
      <c r="C2429" s="123"/>
      <c r="D2429" s="123"/>
      <c r="E2429" s="123"/>
      <c r="F2429" s="167"/>
      <c r="G2429" s="123"/>
      <c r="H2429" s="123"/>
      <c r="I2429" s="123"/>
      <c r="J2429" s="123"/>
      <c r="K2429" s="123"/>
      <c r="L2429" s="123"/>
      <c r="M2429" s="123"/>
      <c r="N2429" s="126"/>
    </row>
    <row r="2430" spans="1:15" s="3" customFormat="1" ht="31.2" customHeight="1">
      <c r="A2430" s="127" t="s">
        <v>1898</v>
      </c>
      <c r="B2430" s="170"/>
      <c r="C2430" s="170"/>
      <c r="D2430" s="170"/>
      <c r="E2430" s="170"/>
      <c r="F2430" s="171" t="s">
        <v>1885</v>
      </c>
      <c r="G2430" s="597" t="e">
        <f>VLOOKUP(G2433, 'Detail PL'!$B$14:$Q$799,2)</f>
        <v>#N/A</v>
      </c>
      <c r="H2430" s="597"/>
      <c r="I2430" s="597"/>
      <c r="J2430" s="597"/>
      <c r="K2430" s="597"/>
      <c r="L2430" s="597"/>
      <c r="M2430" s="597"/>
      <c r="N2430" s="128"/>
    </row>
    <row r="2431" spans="1:15" s="3" customFormat="1" ht="25.2">
      <c r="A2431" s="127" t="s">
        <v>1899</v>
      </c>
      <c r="B2431" s="170"/>
      <c r="C2431" s="170"/>
      <c r="D2431" s="170"/>
      <c r="E2431" s="170"/>
      <c r="F2431" s="171"/>
      <c r="G2431" s="170"/>
      <c r="H2431" s="170"/>
      <c r="I2431" s="170"/>
      <c r="J2431" s="170"/>
      <c r="K2431" s="170"/>
      <c r="L2431" s="170"/>
      <c r="M2431" s="170"/>
      <c r="N2431" s="128"/>
    </row>
    <row r="2432" spans="1:15" s="3" customFormat="1" ht="9.9" customHeight="1">
      <c r="A2432" s="125"/>
      <c r="B2432" s="123"/>
      <c r="C2432" s="123"/>
      <c r="D2432" s="123"/>
      <c r="E2432" s="123"/>
      <c r="F2432" s="167"/>
      <c r="G2432" s="123"/>
      <c r="H2432" s="123"/>
      <c r="I2432" s="123"/>
      <c r="J2432" s="123"/>
      <c r="K2432" s="123"/>
      <c r="L2432" s="123"/>
      <c r="M2432" s="123"/>
      <c r="N2432" s="126"/>
    </row>
    <row r="2433" spans="1:14" s="3" customFormat="1" ht="25.2">
      <c r="A2433" s="125" t="s">
        <v>1900</v>
      </c>
      <c r="B2433" s="123"/>
      <c r="C2433" s="123"/>
      <c r="D2433" s="123"/>
      <c r="E2433" s="123"/>
      <c r="F2433" s="171" t="s">
        <v>1901</v>
      </c>
      <c r="G2433" s="604">
        <f t="shared" ref="G2433" si="67">G2398+1</f>
        <v>70</v>
      </c>
      <c r="H2433" s="604"/>
      <c r="I2433" s="604"/>
      <c r="J2433" s="604"/>
      <c r="K2433" s="604"/>
      <c r="L2433" s="123"/>
      <c r="M2433" s="123"/>
      <c r="N2433" s="126"/>
    </row>
    <row r="2434" spans="1:14" s="4" customFormat="1" ht="25.2">
      <c r="A2434" s="125" t="s">
        <v>1903</v>
      </c>
      <c r="B2434" s="123"/>
      <c r="C2434" s="123"/>
      <c r="D2434" s="123"/>
      <c r="E2434" s="123"/>
      <c r="F2434" s="167"/>
      <c r="G2434" s="167"/>
      <c r="H2434" s="123"/>
      <c r="I2434" s="123"/>
      <c r="J2434" s="123"/>
      <c r="K2434" s="123"/>
      <c r="L2434" s="123"/>
      <c r="M2434" s="123"/>
      <c r="N2434" s="126"/>
    </row>
    <row r="2435" spans="1:14" s="3" customFormat="1" ht="9.9" customHeight="1">
      <c r="A2435" s="125"/>
      <c r="B2435" s="123"/>
      <c r="C2435" s="123"/>
      <c r="D2435" s="123"/>
      <c r="E2435" s="123"/>
      <c r="F2435" s="167"/>
      <c r="G2435" s="167"/>
      <c r="H2435" s="123"/>
      <c r="I2435" s="123"/>
      <c r="J2435" s="123"/>
      <c r="K2435" s="123"/>
      <c r="L2435" s="123"/>
      <c r="M2435" s="123"/>
      <c r="N2435" s="126"/>
    </row>
    <row r="2436" spans="1:14" s="3" customFormat="1" ht="25.2">
      <c r="A2436" s="125" t="s">
        <v>1904</v>
      </c>
      <c r="B2436" s="123"/>
      <c r="C2436" s="123"/>
      <c r="D2436" s="123"/>
      <c r="E2436" s="123"/>
      <c r="F2436" s="167" t="s">
        <v>1896</v>
      </c>
      <c r="G2436" s="204" t="e">
        <f>VLOOKUP(G2433, 'Detail PL'!$B$14:$Q$799, 10)</f>
        <v>#N/A</v>
      </c>
      <c r="H2436" s="204" t="s">
        <v>1905</v>
      </c>
      <c r="I2436" s="204"/>
      <c r="J2436" s="204"/>
      <c r="K2436" s="123"/>
      <c r="L2436" s="123"/>
      <c r="M2436" s="123"/>
      <c r="N2436" s="126"/>
    </row>
    <row r="2437" spans="1:14" s="4" customFormat="1" ht="25.2">
      <c r="A2437" s="125" t="s">
        <v>1906</v>
      </c>
      <c r="B2437" s="123"/>
      <c r="C2437" s="123"/>
      <c r="D2437" s="123"/>
      <c r="E2437" s="123"/>
      <c r="F2437" s="167"/>
      <c r="G2437" s="167"/>
      <c r="H2437" s="167"/>
      <c r="I2437" s="123"/>
      <c r="J2437" s="123"/>
      <c r="K2437" s="123"/>
      <c r="L2437" s="123"/>
      <c r="M2437" s="123"/>
      <c r="N2437" s="126"/>
    </row>
    <row r="2438" spans="1:14" s="3" customFormat="1" ht="9.9" customHeight="1">
      <c r="A2438" s="125"/>
      <c r="B2438" s="123"/>
      <c r="C2438" s="123"/>
      <c r="D2438" s="123"/>
      <c r="E2438" s="123"/>
      <c r="F2438" s="167"/>
      <c r="G2438" s="167"/>
      <c r="H2438" s="167"/>
      <c r="I2438" s="123"/>
      <c r="J2438" s="123"/>
      <c r="K2438" s="123"/>
      <c r="L2438" s="123"/>
      <c r="M2438" s="123"/>
      <c r="N2438" s="126"/>
    </row>
    <row r="2439" spans="1:14" s="3" customFormat="1" ht="25.2">
      <c r="A2439" s="125" t="s">
        <v>1907</v>
      </c>
      <c r="B2439" s="123"/>
      <c r="C2439" s="123"/>
      <c r="D2439" s="123"/>
      <c r="E2439" s="123"/>
      <c r="F2439" s="167" t="s">
        <v>1896</v>
      </c>
      <c r="G2439" s="204" t="e">
        <f>VLOOKUP(G2433, 'Detail PL'!$B$14:$Q$799, 11)</f>
        <v>#N/A</v>
      </c>
      <c r="H2439" s="204" t="s">
        <v>1905</v>
      </c>
      <c r="I2439" s="204"/>
      <c r="J2439" s="204"/>
      <c r="K2439" s="123"/>
      <c r="L2439" s="123"/>
      <c r="M2439" s="123"/>
      <c r="N2439" s="126"/>
    </row>
    <row r="2440" spans="1:14" s="4" customFormat="1" ht="25.2">
      <c r="A2440" s="125" t="s">
        <v>1908</v>
      </c>
      <c r="B2440" s="123"/>
      <c r="C2440" s="123"/>
      <c r="D2440" s="123"/>
      <c r="E2440" s="123"/>
      <c r="F2440" s="167"/>
      <c r="G2440" s="167"/>
      <c r="H2440" s="123"/>
      <c r="I2440" s="123"/>
      <c r="J2440" s="123"/>
      <c r="K2440" s="123"/>
      <c r="L2440" s="123"/>
      <c r="M2440" s="123"/>
      <c r="N2440" s="126"/>
    </row>
    <row r="2441" spans="1:14" s="3" customFormat="1" ht="9.9" customHeight="1">
      <c r="A2441" s="125"/>
      <c r="B2441" s="123"/>
      <c r="C2441" s="123"/>
      <c r="D2441" s="123"/>
      <c r="E2441" s="123"/>
      <c r="F2441" s="167"/>
      <c r="G2441" s="167"/>
      <c r="H2441" s="123"/>
      <c r="I2441" s="123"/>
      <c r="J2441" s="123"/>
      <c r="K2441" s="123"/>
      <c r="L2441" s="123"/>
      <c r="M2441" s="123"/>
      <c r="N2441" s="126"/>
    </row>
    <row r="2442" spans="1:14" s="3" customFormat="1" ht="25.2">
      <c r="A2442" s="129" t="s">
        <v>1909</v>
      </c>
      <c r="B2442" s="123"/>
      <c r="C2442" s="123"/>
      <c r="D2442" s="123"/>
      <c r="E2442" s="123"/>
      <c r="F2442" s="167" t="s">
        <v>1896</v>
      </c>
      <c r="G2442" s="204" t="e">
        <f>VLOOKUP(G2433, 'Detail PL'!$B$14:$Q$799, 9)</f>
        <v>#N/A</v>
      </c>
      <c r="H2442" s="205" t="s">
        <v>1910</v>
      </c>
      <c r="I2442" s="203"/>
      <c r="J2442" s="203"/>
      <c r="K2442" s="172"/>
      <c r="L2442" s="123"/>
      <c r="M2442" s="123"/>
      <c r="N2442" s="126"/>
    </row>
    <row r="2443" spans="1:14" s="4" customFormat="1" ht="25.2">
      <c r="A2443" s="125" t="s">
        <v>1911</v>
      </c>
      <c r="B2443" s="123"/>
      <c r="C2443" s="123"/>
      <c r="D2443" s="123"/>
      <c r="E2443" s="123"/>
      <c r="F2443" s="167"/>
      <c r="G2443" s="167"/>
      <c r="H2443" s="123"/>
      <c r="I2443" s="123"/>
      <c r="J2443" s="123"/>
      <c r="K2443" s="123"/>
      <c r="L2443" s="123"/>
      <c r="M2443" s="123"/>
      <c r="N2443" s="126"/>
    </row>
    <row r="2444" spans="1:14" s="3" customFormat="1" ht="9.9" customHeight="1">
      <c r="A2444" s="125"/>
      <c r="B2444" s="123"/>
      <c r="C2444" s="123"/>
      <c r="D2444" s="123"/>
      <c r="E2444" s="123"/>
      <c r="F2444" s="167"/>
      <c r="G2444" s="167"/>
      <c r="H2444" s="123"/>
      <c r="I2444" s="123"/>
      <c r="J2444" s="123"/>
      <c r="K2444" s="123"/>
      <c r="L2444" s="123"/>
      <c r="M2444" s="123"/>
      <c r="N2444" s="126"/>
    </row>
    <row r="2445" spans="1:14" s="3" customFormat="1" ht="42" customHeight="1">
      <c r="A2445" s="125" t="s">
        <v>1912</v>
      </c>
      <c r="B2445" s="123"/>
      <c r="C2445" s="123"/>
      <c r="D2445" s="123"/>
      <c r="E2445" s="123"/>
      <c r="F2445" s="166" t="s">
        <v>1913</v>
      </c>
      <c r="G2445" s="595" t="s">
        <v>1914</v>
      </c>
      <c r="H2445" s="595"/>
      <c r="I2445" s="595"/>
      <c r="J2445" s="595"/>
      <c r="K2445" s="595"/>
      <c r="L2445" s="595"/>
      <c r="M2445" s="595"/>
      <c r="N2445" s="596"/>
    </row>
    <row r="2446" spans="1:14" s="4" customFormat="1" ht="25.8" thickBot="1">
      <c r="A2446" s="125" t="s">
        <v>1915</v>
      </c>
      <c r="B2446" s="123"/>
      <c r="C2446" s="123"/>
      <c r="D2446" s="123"/>
      <c r="E2446" s="123"/>
      <c r="F2446" s="167"/>
      <c r="G2446" s="167"/>
      <c r="H2446" s="123"/>
      <c r="I2446" s="123"/>
      <c r="J2446" s="123"/>
      <c r="K2446" s="123"/>
      <c r="L2446" s="123"/>
      <c r="M2446" s="123"/>
      <c r="N2446" s="126"/>
    </row>
    <row r="2447" spans="1:14" ht="21" customHeight="1">
      <c r="A2447" s="598" t="s">
        <v>1916</v>
      </c>
      <c r="B2447" s="599"/>
      <c r="C2447" s="599"/>
      <c r="D2447" s="599"/>
      <c r="E2447" s="599"/>
      <c r="F2447" s="599"/>
      <c r="G2447" s="599"/>
      <c r="H2447" s="599"/>
      <c r="I2447" s="599"/>
      <c r="J2447" s="599"/>
      <c r="K2447" s="599"/>
      <c r="L2447" s="599"/>
      <c r="M2447" s="599"/>
      <c r="N2447" s="600"/>
    </row>
    <row r="2448" spans="1:14" ht="25.5" customHeight="1" thickBot="1">
      <c r="A2448" s="601"/>
      <c r="B2448" s="602"/>
      <c r="C2448" s="602"/>
      <c r="D2448" s="602"/>
      <c r="E2448" s="602"/>
      <c r="F2448" s="602"/>
      <c r="G2448" s="602"/>
      <c r="H2448" s="602"/>
      <c r="I2448" s="602"/>
      <c r="J2448" s="602"/>
      <c r="K2448" s="602"/>
      <c r="L2448" s="602"/>
      <c r="M2448" s="602"/>
      <c r="N2448" s="603"/>
    </row>
    <row r="2449" spans="1:15" ht="25.5" customHeight="1">
      <c r="E2449" s="206"/>
      <c r="F2449" s="206"/>
      <c r="G2449" s="206"/>
      <c r="H2449" s="206"/>
      <c r="I2449" s="206"/>
      <c r="J2449" s="206"/>
      <c r="K2449" s="206"/>
    </row>
    <row r="2450" spans="1:15" ht="21.6" thickBot="1"/>
    <row r="2451" spans="1:15" ht="95.25" customHeight="1" thickBot="1">
      <c r="A2451" s="592" t="s">
        <v>1883</v>
      </c>
      <c r="B2451" s="593"/>
      <c r="C2451" s="593"/>
      <c r="D2451" s="593"/>
      <c r="E2451" s="593"/>
      <c r="F2451" s="593"/>
      <c r="G2451" s="593"/>
      <c r="H2451" s="593"/>
      <c r="I2451" s="593"/>
      <c r="J2451" s="593"/>
      <c r="K2451" s="593"/>
      <c r="L2451" s="593"/>
      <c r="M2451" s="593"/>
      <c r="N2451" s="594"/>
    </row>
    <row r="2452" spans="1:15" s="3" customFormat="1" ht="37.5" customHeight="1">
      <c r="A2452" s="134" t="s">
        <v>1884</v>
      </c>
      <c r="B2452" s="166"/>
      <c r="C2452" s="166"/>
      <c r="D2452" s="123"/>
      <c r="E2452" s="123"/>
      <c r="F2452" s="167" t="s">
        <v>1885</v>
      </c>
      <c r="G2452" s="167" t="s">
        <v>1886</v>
      </c>
      <c r="H2452" s="167"/>
      <c r="I2452" s="167"/>
      <c r="J2452" s="167"/>
      <c r="K2452" s="167"/>
      <c r="L2452" s="167"/>
      <c r="M2452" s="167"/>
      <c r="N2452" s="152"/>
      <c r="O2452" s="201"/>
    </row>
    <row r="2453" spans="1:15" s="4" customFormat="1" ht="25.2">
      <c r="A2453" s="125" t="s">
        <v>1887</v>
      </c>
      <c r="B2453" s="123"/>
      <c r="C2453" s="123"/>
      <c r="D2453" s="123"/>
      <c r="E2453" s="123"/>
      <c r="F2453" s="167"/>
      <c r="G2453" s="167" t="s">
        <v>1888</v>
      </c>
      <c r="H2453" s="167"/>
      <c r="I2453" s="167"/>
      <c r="J2453" s="167"/>
      <c r="K2453" s="167"/>
      <c r="L2453" s="167"/>
      <c r="M2453" s="167"/>
      <c r="N2453" s="152"/>
    </row>
    <row r="2454" spans="1:15" s="3" customFormat="1" ht="9.9" customHeight="1">
      <c r="A2454" s="125"/>
      <c r="B2454" s="123"/>
      <c r="C2454" s="123"/>
      <c r="D2454" s="123"/>
      <c r="E2454" s="123"/>
      <c r="F2454" s="167"/>
      <c r="G2454" s="123"/>
      <c r="H2454" s="123"/>
      <c r="I2454" s="123"/>
      <c r="J2454" s="123"/>
      <c r="K2454" s="123"/>
      <c r="L2454" s="123"/>
      <c r="M2454" s="123"/>
      <c r="N2454" s="126"/>
    </row>
    <row r="2455" spans="1:15" s="3" customFormat="1" ht="42.75" customHeight="1">
      <c r="A2455" s="125" t="s">
        <v>1889</v>
      </c>
      <c r="B2455" s="123"/>
      <c r="C2455" s="123"/>
      <c r="D2455" s="123"/>
      <c r="E2455" s="123"/>
      <c r="F2455" s="167" t="s">
        <v>1885</v>
      </c>
      <c r="G2455" s="167" t="str">
        <f>PL!$B$13</f>
        <v>Branch of JSC "Doosan Enerbility" in the Turkestan region</v>
      </c>
      <c r="H2455" s="123"/>
      <c r="I2455" s="123"/>
      <c r="J2455" s="123"/>
      <c r="K2455" s="123"/>
      <c r="L2455" s="123"/>
      <c r="M2455" s="123"/>
      <c r="N2455" s="126"/>
    </row>
    <row r="2456" spans="1:15" s="3" customFormat="1" ht="24" customHeight="1">
      <c r="A2456" s="125" t="s">
        <v>1890</v>
      </c>
      <c r="B2456" s="123"/>
      <c r="C2456" s="123"/>
      <c r="D2456" s="123"/>
      <c r="E2456" s="123"/>
      <c r="F2456" s="168"/>
      <c r="G2456" s="167" t="str">
        <f>PL!$B$14</f>
        <v>321 Tauke Khan Avenue, Turkestan region, Turkestan, Kazakhstan, 161200</v>
      </c>
      <c r="H2456" s="123"/>
      <c r="I2456" s="123"/>
      <c r="J2456" s="123"/>
      <c r="K2456" s="123"/>
      <c r="L2456" s="123"/>
      <c r="M2456" s="123"/>
      <c r="N2456" s="126"/>
    </row>
    <row r="2457" spans="1:15" s="4" customFormat="1" ht="25.2">
      <c r="A2457" s="125"/>
      <c r="B2457" s="123"/>
      <c r="C2457" s="123"/>
      <c r="D2457" s="123"/>
      <c r="E2457" s="123"/>
      <c r="F2457" s="168"/>
      <c r="G2457" s="167" t="str">
        <f>PL!$B$15</f>
        <v>BIN: 230741006561</v>
      </c>
      <c r="H2457" s="123"/>
      <c r="I2457" s="123"/>
      <c r="J2457" s="123"/>
      <c r="K2457" s="123"/>
      <c r="L2457" s="123"/>
      <c r="M2457" s="123"/>
      <c r="N2457" s="126"/>
    </row>
    <row r="2458" spans="1:15" s="3" customFormat="1" ht="9.9" customHeight="1">
      <c r="A2458" s="125"/>
      <c r="B2458" s="123"/>
      <c r="C2458" s="123"/>
      <c r="D2458" s="123"/>
      <c r="E2458" s="123"/>
      <c r="F2458" s="169"/>
      <c r="G2458" s="169"/>
      <c r="H2458" s="123"/>
      <c r="I2458" s="123"/>
      <c r="J2458" s="123"/>
      <c r="K2458" s="123"/>
      <c r="L2458" s="123"/>
      <c r="M2458" s="123"/>
      <c r="N2458" s="126"/>
    </row>
    <row r="2459" spans="1:15" s="3" customFormat="1" ht="25.2">
      <c r="A2459" s="125" t="s">
        <v>1891</v>
      </c>
      <c r="B2459" s="123"/>
      <c r="C2459" s="123"/>
      <c r="D2459" s="123"/>
      <c r="E2459" s="123"/>
      <c r="F2459" s="167" t="s">
        <v>1892</v>
      </c>
      <c r="G2459" s="123"/>
      <c r="H2459" s="123"/>
      <c r="I2459" s="123"/>
      <c r="J2459" s="123"/>
      <c r="K2459" s="123"/>
      <c r="L2459" s="123"/>
      <c r="M2459" s="123"/>
      <c r="N2459" s="126"/>
    </row>
    <row r="2460" spans="1:15" s="4" customFormat="1" ht="25.2">
      <c r="A2460" s="125" t="s">
        <v>1893</v>
      </c>
      <c r="B2460" s="123"/>
      <c r="C2460" s="123"/>
      <c r="D2460" s="123"/>
      <c r="E2460" s="123"/>
      <c r="F2460" s="167" t="s">
        <v>1894</v>
      </c>
      <c r="G2460" s="123"/>
      <c r="H2460" s="123"/>
      <c r="I2460" s="123"/>
      <c r="J2460" s="123"/>
      <c r="K2460" s="123"/>
      <c r="L2460" s="123"/>
      <c r="M2460" s="123"/>
      <c r="N2460" s="126"/>
    </row>
    <row r="2461" spans="1:15" s="3" customFormat="1" ht="9.9" customHeight="1">
      <c r="A2461" s="125"/>
      <c r="B2461" s="123"/>
      <c r="C2461" s="123"/>
      <c r="D2461" s="123"/>
      <c r="E2461" s="123"/>
      <c r="F2461" s="167"/>
      <c r="G2461" s="123"/>
      <c r="H2461" s="123"/>
      <c r="I2461" s="123"/>
      <c r="J2461" s="123"/>
      <c r="K2461" s="123"/>
      <c r="L2461" s="123"/>
      <c r="M2461" s="123"/>
      <c r="N2461" s="126"/>
    </row>
    <row r="2462" spans="1:15" s="3" customFormat="1" ht="25.2">
      <c r="A2462" s="125" t="s">
        <v>1895</v>
      </c>
      <c r="B2462" s="123"/>
      <c r="C2462" s="123"/>
      <c r="D2462" s="123"/>
      <c r="E2462" s="123"/>
      <c r="F2462" s="167" t="s">
        <v>1896</v>
      </c>
      <c r="G2462" s="167" t="str">
        <f>PL!$V$8</f>
        <v>PGU-DE-0139-001</v>
      </c>
      <c r="H2462" s="123"/>
      <c r="I2462" s="123"/>
      <c r="J2462" s="123"/>
      <c r="K2462" s="123"/>
      <c r="L2462" s="123"/>
      <c r="M2462" s="123"/>
      <c r="N2462" s="126"/>
    </row>
    <row r="2463" spans="1:15" s="3" customFormat="1" ht="25.2">
      <c r="A2463" s="125" t="s">
        <v>1897</v>
      </c>
      <c r="B2463" s="123"/>
      <c r="C2463" s="123"/>
      <c r="D2463" s="123"/>
      <c r="E2463" s="123"/>
      <c r="F2463" s="167"/>
      <c r="G2463" s="123"/>
      <c r="H2463" s="123"/>
      <c r="I2463" s="123"/>
      <c r="J2463" s="123"/>
      <c r="K2463" s="123"/>
      <c r="L2463" s="123"/>
      <c r="M2463" s="123"/>
      <c r="N2463" s="126"/>
    </row>
    <row r="2464" spans="1:15" s="3" customFormat="1" ht="9.9" customHeight="1">
      <c r="A2464" s="125"/>
      <c r="B2464" s="123"/>
      <c r="C2464" s="123"/>
      <c r="D2464" s="123"/>
      <c r="E2464" s="123"/>
      <c r="F2464" s="167"/>
      <c r="G2464" s="123"/>
      <c r="H2464" s="123"/>
      <c r="I2464" s="123"/>
      <c r="J2464" s="123"/>
      <c r="K2464" s="123"/>
      <c r="L2464" s="123"/>
      <c r="M2464" s="123"/>
      <c r="N2464" s="126"/>
    </row>
    <row r="2465" spans="1:14" s="3" customFormat="1" ht="31.2" customHeight="1">
      <c r="A2465" s="127" t="s">
        <v>1898</v>
      </c>
      <c r="B2465" s="170"/>
      <c r="C2465" s="170"/>
      <c r="D2465" s="170"/>
      <c r="E2465" s="170"/>
      <c r="F2465" s="171" t="s">
        <v>1885</v>
      </c>
      <c r="G2465" s="597" t="e">
        <f>VLOOKUP(G2468, 'Detail PL'!$B$14:$Q$799,2)</f>
        <v>#N/A</v>
      </c>
      <c r="H2465" s="597"/>
      <c r="I2465" s="597"/>
      <c r="J2465" s="597"/>
      <c r="K2465" s="597"/>
      <c r="L2465" s="597"/>
      <c r="M2465" s="597"/>
      <c r="N2465" s="128"/>
    </row>
    <row r="2466" spans="1:14" s="3" customFormat="1" ht="25.2">
      <c r="A2466" s="127" t="s">
        <v>1899</v>
      </c>
      <c r="B2466" s="170"/>
      <c r="C2466" s="170"/>
      <c r="D2466" s="170"/>
      <c r="E2466" s="170"/>
      <c r="F2466" s="171"/>
      <c r="G2466" s="170"/>
      <c r="H2466" s="170"/>
      <c r="I2466" s="170"/>
      <c r="J2466" s="170"/>
      <c r="K2466" s="170"/>
      <c r="L2466" s="170"/>
      <c r="M2466" s="170"/>
      <c r="N2466" s="128"/>
    </row>
    <row r="2467" spans="1:14" s="3" customFormat="1" ht="9.9" customHeight="1">
      <c r="A2467" s="125"/>
      <c r="B2467" s="123"/>
      <c r="C2467" s="123"/>
      <c r="D2467" s="123"/>
      <c r="E2467" s="123"/>
      <c r="F2467" s="167"/>
      <c r="G2467" s="123"/>
      <c r="H2467" s="123"/>
      <c r="I2467" s="123"/>
      <c r="J2467" s="123"/>
      <c r="K2467" s="123"/>
      <c r="L2467" s="123"/>
      <c r="M2467" s="123"/>
      <c r="N2467" s="126"/>
    </row>
    <row r="2468" spans="1:14" s="3" customFormat="1" ht="25.2">
      <c r="A2468" s="125" t="s">
        <v>1900</v>
      </c>
      <c r="B2468" s="123"/>
      <c r="C2468" s="123"/>
      <c r="D2468" s="123"/>
      <c r="E2468" s="123"/>
      <c r="F2468" s="171" t="s">
        <v>1901</v>
      </c>
      <c r="G2468" s="604">
        <f t="shared" ref="G2468" si="68">G2433+1</f>
        <v>71</v>
      </c>
      <c r="H2468" s="604"/>
      <c r="I2468" s="604"/>
      <c r="J2468" s="604"/>
      <c r="K2468" s="604"/>
      <c r="L2468" s="123"/>
      <c r="M2468" s="123"/>
      <c r="N2468" s="126"/>
    </row>
    <row r="2469" spans="1:14" s="4" customFormat="1" ht="25.2">
      <c r="A2469" s="125" t="s">
        <v>1903</v>
      </c>
      <c r="B2469" s="123"/>
      <c r="C2469" s="123"/>
      <c r="D2469" s="123"/>
      <c r="E2469" s="123"/>
      <c r="F2469" s="167"/>
      <c r="G2469" s="167"/>
      <c r="H2469" s="123"/>
      <c r="I2469" s="123"/>
      <c r="J2469" s="123"/>
      <c r="K2469" s="123"/>
      <c r="L2469" s="123"/>
      <c r="M2469" s="123"/>
      <c r="N2469" s="126"/>
    </row>
    <row r="2470" spans="1:14" s="3" customFormat="1" ht="9.9" customHeight="1">
      <c r="A2470" s="125"/>
      <c r="B2470" s="123"/>
      <c r="C2470" s="123"/>
      <c r="D2470" s="123"/>
      <c r="E2470" s="123"/>
      <c r="F2470" s="167"/>
      <c r="G2470" s="167"/>
      <c r="H2470" s="123"/>
      <c r="I2470" s="123"/>
      <c r="J2470" s="123"/>
      <c r="K2470" s="123"/>
      <c r="L2470" s="123"/>
      <c r="M2470" s="123"/>
      <c r="N2470" s="126"/>
    </row>
    <row r="2471" spans="1:14" s="3" customFormat="1" ht="25.2">
      <c r="A2471" s="125" t="s">
        <v>1904</v>
      </c>
      <c r="B2471" s="123"/>
      <c r="C2471" s="123"/>
      <c r="D2471" s="123"/>
      <c r="E2471" s="123"/>
      <c r="F2471" s="167" t="s">
        <v>1896</v>
      </c>
      <c r="G2471" s="204" t="e">
        <f>VLOOKUP(G2468, 'Detail PL'!$B$14:$Q$799, 10)</f>
        <v>#N/A</v>
      </c>
      <c r="H2471" s="204" t="s">
        <v>1905</v>
      </c>
      <c r="I2471" s="204"/>
      <c r="J2471" s="204"/>
      <c r="K2471" s="123"/>
      <c r="L2471" s="123"/>
      <c r="M2471" s="123"/>
      <c r="N2471" s="126"/>
    </row>
    <row r="2472" spans="1:14" s="4" customFormat="1" ht="25.2">
      <c r="A2472" s="125" t="s">
        <v>1906</v>
      </c>
      <c r="B2472" s="123"/>
      <c r="C2472" s="123"/>
      <c r="D2472" s="123"/>
      <c r="E2472" s="123"/>
      <c r="F2472" s="167"/>
      <c r="G2472" s="167"/>
      <c r="H2472" s="167"/>
      <c r="I2472" s="123"/>
      <c r="J2472" s="123"/>
      <c r="K2472" s="123"/>
      <c r="L2472" s="123"/>
      <c r="M2472" s="123"/>
      <c r="N2472" s="126"/>
    </row>
    <row r="2473" spans="1:14" s="3" customFormat="1" ht="9.9" customHeight="1">
      <c r="A2473" s="125"/>
      <c r="B2473" s="123"/>
      <c r="C2473" s="123"/>
      <c r="D2473" s="123"/>
      <c r="E2473" s="123"/>
      <c r="F2473" s="167"/>
      <c r="G2473" s="167"/>
      <c r="H2473" s="167"/>
      <c r="I2473" s="123"/>
      <c r="J2473" s="123"/>
      <c r="K2473" s="123"/>
      <c r="L2473" s="123"/>
      <c r="M2473" s="123"/>
      <c r="N2473" s="126"/>
    </row>
    <row r="2474" spans="1:14" s="3" customFormat="1" ht="25.2">
      <c r="A2474" s="125" t="s">
        <v>1907</v>
      </c>
      <c r="B2474" s="123"/>
      <c r="C2474" s="123"/>
      <c r="D2474" s="123"/>
      <c r="E2474" s="123"/>
      <c r="F2474" s="167" t="s">
        <v>1896</v>
      </c>
      <c r="G2474" s="204" t="e">
        <f>VLOOKUP(G2468, 'Detail PL'!$B$14:$Q$799, 11)</f>
        <v>#N/A</v>
      </c>
      <c r="H2474" s="204" t="s">
        <v>1905</v>
      </c>
      <c r="I2474" s="204"/>
      <c r="J2474" s="204"/>
      <c r="K2474" s="123"/>
      <c r="L2474" s="123"/>
      <c r="M2474" s="123"/>
      <c r="N2474" s="126"/>
    </row>
    <row r="2475" spans="1:14" s="4" customFormat="1" ht="25.2">
      <c r="A2475" s="125" t="s">
        <v>1908</v>
      </c>
      <c r="B2475" s="123"/>
      <c r="C2475" s="123"/>
      <c r="D2475" s="123"/>
      <c r="E2475" s="123"/>
      <c r="F2475" s="167"/>
      <c r="G2475" s="167"/>
      <c r="H2475" s="123"/>
      <c r="I2475" s="123"/>
      <c r="J2475" s="123"/>
      <c r="K2475" s="123"/>
      <c r="L2475" s="123"/>
      <c r="M2475" s="123"/>
      <c r="N2475" s="126"/>
    </row>
    <row r="2476" spans="1:14" s="3" customFormat="1" ht="9.9" customHeight="1">
      <c r="A2476" s="125"/>
      <c r="B2476" s="123"/>
      <c r="C2476" s="123"/>
      <c r="D2476" s="123"/>
      <c r="E2476" s="123"/>
      <c r="F2476" s="167"/>
      <c r="G2476" s="167"/>
      <c r="H2476" s="123"/>
      <c r="I2476" s="123"/>
      <c r="J2476" s="123"/>
      <c r="K2476" s="123"/>
      <c r="L2476" s="123"/>
      <c r="M2476" s="123"/>
      <c r="N2476" s="126"/>
    </row>
    <row r="2477" spans="1:14" s="3" customFormat="1" ht="25.2">
      <c r="A2477" s="129" t="s">
        <v>1909</v>
      </c>
      <c r="B2477" s="123"/>
      <c r="C2477" s="123"/>
      <c r="D2477" s="123"/>
      <c r="E2477" s="123"/>
      <c r="F2477" s="167" t="s">
        <v>1896</v>
      </c>
      <c r="G2477" s="204" t="e">
        <f>VLOOKUP(G2468, 'Detail PL'!$B$14:$Q$799, 9)</f>
        <v>#N/A</v>
      </c>
      <c r="H2477" s="205" t="s">
        <v>1910</v>
      </c>
      <c r="I2477" s="203"/>
      <c r="J2477" s="203"/>
      <c r="K2477" s="172"/>
      <c r="L2477" s="123"/>
      <c r="M2477" s="123"/>
      <c r="N2477" s="126"/>
    </row>
    <row r="2478" spans="1:14" s="4" customFormat="1" ht="25.2">
      <c r="A2478" s="125" t="s">
        <v>1911</v>
      </c>
      <c r="B2478" s="123"/>
      <c r="C2478" s="123"/>
      <c r="D2478" s="123"/>
      <c r="E2478" s="123"/>
      <c r="F2478" s="167"/>
      <c r="G2478" s="167"/>
      <c r="H2478" s="123"/>
      <c r="I2478" s="123"/>
      <c r="J2478" s="123"/>
      <c r="K2478" s="123"/>
      <c r="L2478" s="123"/>
      <c r="M2478" s="123"/>
      <c r="N2478" s="126"/>
    </row>
    <row r="2479" spans="1:14" s="3" customFormat="1" ht="9.9" customHeight="1">
      <c r="A2479" s="125"/>
      <c r="B2479" s="123"/>
      <c r="C2479" s="123"/>
      <c r="D2479" s="123"/>
      <c r="E2479" s="123"/>
      <c r="F2479" s="167"/>
      <c r="G2479" s="167"/>
      <c r="H2479" s="123"/>
      <c r="I2479" s="123"/>
      <c r="J2479" s="123"/>
      <c r="K2479" s="123"/>
      <c r="L2479" s="123"/>
      <c r="M2479" s="123"/>
      <c r="N2479" s="126"/>
    </row>
    <row r="2480" spans="1:14" s="3" customFormat="1" ht="42" customHeight="1">
      <c r="A2480" s="125" t="s">
        <v>1912</v>
      </c>
      <c r="B2480" s="123"/>
      <c r="C2480" s="123"/>
      <c r="D2480" s="123"/>
      <c r="E2480" s="123"/>
      <c r="F2480" s="166" t="s">
        <v>1913</v>
      </c>
      <c r="G2480" s="595" t="s">
        <v>1914</v>
      </c>
      <c r="H2480" s="595"/>
      <c r="I2480" s="595"/>
      <c r="J2480" s="595"/>
      <c r="K2480" s="595"/>
      <c r="L2480" s="595"/>
      <c r="M2480" s="595"/>
      <c r="N2480" s="596"/>
    </row>
    <row r="2481" spans="1:15" s="4" customFormat="1" ht="25.8" thickBot="1">
      <c r="A2481" s="125" t="s">
        <v>1915</v>
      </c>
      <c r="B2481" s="123"/>
      <c r="C2481" s="123"/>
      <c r="D2481" s="123"/>
      <c r="E2481" s="123"/>
      <c r="F2481" s="167"/>
      <c r="G2481" s="167"/>
      <c r="H2481" s="123"/>
      <c r="I2481" s="123"/>
      <c r="J2481" s="123"/>
      <c r="K2481" s="123"/>
      <c r="L2481" s="123"/>
      <c r="M2481" s="123"/>
      <c r="N2481" s="126"/>
    </row>
    <row r="2482" spans="1:15" ht="21" customHeight="1">
      <c r="A2482" s="598" t="s">
        <v>1916</v>
      </c>
      <c r="B2482" s="599"/>
      <c r="C2482" s="599"/>
      <c r="D2482" s="599"/>
      <c r="E2482" s="599"/>
      <c r="F2482" s="599"/>
      <c r="G2482" s="599"/>
      <c r="H2482" s="599"/>
      <c r="I2482" s="599"/>
      <c r="J2482" s="599"/>
      <c r="K2482" s="599"/>
      <c r="L2482" s="599"/>
      <c r="M2482" s="599"/>
      <c r="N2482" s="600"/>
    </row>
    <row r="2483" spans="1:15" ht="25.5" customHeight="1" thickBot="1">
      <c r="A2483" s="601"/>
      <c r="B2483" s="602"/>
      <c r="C2483" s="602"/>
      <c r="D2483" s="602"/>
      <c r="E2483" s="602"/>
      <c r="F2483" s="602"/>
      <c r="G2483" s="602"/>
      <c r="H2483" s="602"/>
      <c r="I2483" s="602"/>
      <c r="J2483" s="602"/>
      <c r="K2483" s="602"/>
      <c r="L2483" s="602"/>
      <c r="M2483" s="602"/>
      <c r="N2483" s="603"/>
    </row>
    <row r="2484" spans="1:15" ht="25.5" customHeight="1">
      <c r="E2484" s="206"/>
      <c r="F2484" s="206"/>
      <c r="G2484" s="206"/>
      <c r="H2484" s="206"/>
      <c r="I2484" s="206"/>
      <c r="J2484" s="206"/>
      <c r="K2484" s="206"/>
    </row>
    <row r="2485" spans="1:15" ht="21.6" thickBot="1"/>
    <row r="2486" spans="1:15" ht="95.25" customHeight="1" thickBot="1">
      <c r="A2486" s="592" t="s">
        <v>1883</v>
      </c>
      <c r="B2486" s="593"/>
      <c r="C2486" s="593"/>
      <c r="D2486" s="593"/>
      <c r="E2486" s="593"/>
      <c r="F2486" s="593"/>
      <c r="G2486" s="593"/>
      <c r="H2486" s="593"/>
      <c r="I2486" s="593"/>
      <c r="J2486" s="593"/>
      <c r="K2486" s="593"/>
      <c r="L2486" s="593"/>
      <c r="M2486" s="593"/>
      <c r="N2486" s="594"/>
    </row>
    <row r="2487" spans="1:15" s="3" customFormat="1" ht="37.5" customHeight="1">
      <c r="A2487" s="134" t="s">
        <v>1884</v>
      </c>
      <c r="B2487" s="166"/>
      <c r="C2487" s="166"/>
      <c r="D2487" s="123"/>
      <c r="E2487" s="123"/>
      <c r="F2487" s="167" t="s">
        <v>1885</v>
      </c>
      <c r="G2487" s="167" t="s">
        <v>1886</v>
      </c>
      <c r="H2487" s="167"/>
      <c r="I2487" s="167"/>
      <c r="J2487" s="167"/>
      <c r="K2487" s="167"/>
      <c r="L2487" s="167"/>
      <c r="M2487" s="167"/>
      <c r="N2487" s="152"/>
      <c r="O2487" s="201"/>
    </row>
    <row r="2488" spans="1:15" s="4" customFormat="1" ht="25.2">
      <c r="A2488" s="125" t="s">
        <v>1887</v>
      </c>
      <c r="B2488" s="123"/>
      <c r="C2488" s="123"/>
      <c r="D2488" s="123"/>
      <c r="E2488" s="123"/>
      <c r="F2488" s="167"/>
      <c r="G2488" s="167" t="s">
        <v>1888</v>
      </c>
      <c r="H2488" s="167"/>
      <c r="I2488" s="167"/>
      <c r="J2488" s="167"/>
      <c r="K2488" s="167"/>
      <c r="L2488" s="167"/>
      <c r="M2488" s="167"/>
      <c r="N2488" s="152"/>
    </row>
    <row r="2489" spans="1:15" s="3" customFormat="1" ht="9.9" customHeight="1">
      <c r="A2489" s="125"/>
      <c r="B2489" s="123"/>
      <c r="C2489" s="123"/>
      <c r="D2489" s="123"/>
      <c r="E2489" s="123"/>
      <c r="F2489" s="167"/>
      <c r="G2489" s="123"/>
      <c r="H2489" s="123"/>
      <c r="I2489" s="123"/>
      <c r="J2489" s="123"/>
      <c r="K2489" s="123"/>
      <c r="L2489" s="123"/>
      <c r="M2489" s="123"/>
      <c r="N2489" s="126"/>
    </row>
    <row r="2490" spans="1:15" s="3" customFormat="1" ht="42.75" customHeight="1">
      <c r="A2490" s="125" t="s">
        <v>1889</v>
      </c>
      <c r="B2490" s="123"/>
      <c r="C2490" s="123"/>
      <c r="D2490" s="123"/>
      <c r="E2490" s="123"/>
      <c r="F2490" s="167" t="s">
        <v>1885</v>
      </c>
      <c r="G2490" s="167" t="str">
        <f>PL!$B$13</f>
        <v>Branch of JSC "Doosan Enerbility" in the Turkestan region</v>
      </c>
      <c r="H2490" s="123"/>
      <c r="I2490" s="123"/>
      <c r="J2490" s="123"/>
      <c r="K2490" s="123"/>
      <c r="L2490" s="123"/>
      <c r="M2490" s="123"/>
      <c r="N2490" s="126"/>
    </row>
    <row r="2491" spans="1:15" s="3" customFormat="1" ht="24" customHeight="1">
      <c r="A2491" s="125" t="s">
        <v>1890</v>
      </c>
      <c r="B2491" s="123"/>
      <c r="C2491" s="123"/>
      <c r="D2491" s="123"/>
      <c r="E2491" s="123"/>
      <c r="F2491" s="168"/>
      <c r="G2491" s="167" t="str">
        <f>PL!$B$14</f>
        <v>321 Tauke Khan Avenue, Turkestan region, Turkestan, Kazakhstan, 161200</v>
      </c>
      <c r="H2491" s="123"/>
      <c r="I2491" s="123"/>
      <c r="J2491" s="123"/>
      <c r="K2491" s="123"/>
      <c r="L2491" s="123"/>
      <c r="M2491" s="123"/>
      <c r="N2491" s="126"/>
    </row>
    <row r="2492" spans="1:15" s="4" customFormat="1" ht="25.2">
      <c r="A2492" s="125"/>
      <c r="B2492" s="123"/>
      <c r="C2492" s="123"/>
      <c r="D2492" s="123"/>
      <c r="E2492" s="123"/>
      <c r="F2492" s="168"/>
      <c r="G2492" s="167" t="str">
        <f>PL!$B$15</f>
        <v>BIN: 230741006561</v>
      </c>
      <c r="H2492" s="123"/>
      <c r="I2492" s="123"/>
      <c r="J2492" s="123"/>
      <c r="K2492" s="123"/>
      <c r="L2492" s="123"/>
      <c r="M2492" s="123"/>
      <c r="N2492" s="126"/>
    </row>
    <row r="2493" spans="1:15" s="3" customFormat="1" ht="9.9" customHeight="1">
      <c r="A2493" s="125"/>
      <c r="B2493" s="123"/>
      <c r="C2493" s="123"/>
      <c r="D2493" s="123"/>
      <c r="E2493" s="123"/>
      <c r="F2493" s="169"/>
      <c r="G2493" s="169"/>
      <c r="H2493" s="123"/>
      <c r="I2493" s="123"/>
      <c r="J2493" s="123"/>
      <c r="K2493" s="123"/>
      <c r="L2493" s="123"/>
      <c r="M2493" s="123"/>
      <c r="N2493" s="126"/>
    </row>
    <row r="2494" spans="1:15" s="3" customFormat="1" ht="25.2">
      <c r="A2494" s="125" t="s">
        <v>1891</v>
      </c>
      <c r="B2494" s="123"/>
      <c r="C2494" s="123"/>
      <c r="D2494" s="123"/>
      <c r="E2494" s="123"/>
      <c r="F2494" s="167" t="s">
        <v>1892</v>
      </c>
      <c r="G2494" s="123"/>
      <c r="H2494" s="123"/>
      <c r="I2494" s="123"/>
      <c r="J2494" s="123"/>
      <c r="K2494" s="123"/>
      <c r="L2494" s="123"/>
      <c r="M2494" s="123"/>
      <c r="N2494" s="126"/>
    </row>
    <row r="2495" spans="1:15" s="4" customFormat="1" ht="25.2">
      <c r="A2495" s="125" t="s">
        <v>1893</v>
      </c>
      <c r="B2495" s="123"/>
      <c r="C2495" s="123"/>
      <c r="D2495" s="123"/>
      <c r="E2495" s="123"/>
      <c r="F2495" s="167" t="s">
        <v>1894</v>
      </c>
      <c r="G2495" s="123"/>
      <c r="H2495" s="123"/>
      <c r="I2495" s="123"/>
      <c r="J2495" s="123"/>
      <c r="K2495" s="123"/>
      <c r="L2495" s="123"/>
      <c r="M2495" s="123"/>
      <c r="N2495" s="126"/>
    </row>
    <row r="2496" spans="1:15" s="3" customFormat="1" ht="9.9" customHeight="1">
      <c r="A2496" s="125"/>
      <c r="B2496" s="123"/>
      <c r="C2496" s="123"/>
      <c r="D2496" s="123"/>
      <c r="E2496" s="123"/>
      <c r="F2496" s="167"/>
      <c r="G2496" s="123"/>
      <c r="H2496" s="123"/>
      <c r="I2496" s="123"/>
      <c r="J2496" s="123"/>
      <c r="K2496" s="123"/>
      <c r="L2496" s="123"/>
      <c r="M2496" s="123"/>
      <c r="N2496" s="126"/>
    </row>
    <row r="2497" spans="1:14" s="3" customFormat="1" ht="25.2">
      <c r="A2497" s="125" t="s">
        <v>1895</v>
      </c>
      <c r="B2497" s="123"/>
      <c r="C2497" s="123"/>
      <c r="D2497" s="123"/>
      <c r="E2497" s="123"/>
      <c r="F2497" s="167" t="s">
        <v>1896</v>
      </c>
      <c r="G2497" s="167" t="str">
        <f>PL!$V$8</f>
        <v>PGU-DE-0139-001</v>
      </c>
      <c r="H2497" s="123"/>
      <c r="I2497" s="123"/>
      <c r="J2497" s="123"/>
      <c r="K2497" s="123"/>
      <c r="L2497" s="123"/>
      <c r="M2497" s="123"/>
      <c r="N2497" s="126"/>
    </row>
    <row r="2498" spans="1:14" s="3" customFormat="1" ht="25.2">
      <c r="A2498" s="125" t="s">
        <v>1897</v>
      </c>
      <c r="B2498" s="123"/>
      <c r="C2498" s="123"/>
      <c r="D2498" s="123"/>
      <c r="E2498" s="123"/>
      <c r="F2498" s="167"/>
      <c r="G2498" s="123"/>
      <c r="H2498" s="123"/>
      <c r="I2498" s="123"/>
      <c r="J2498" s="123"/>
      <c r="K2498" s="123"/>
      <c r="L2498" s="123"/>
      <c r="M2498" s="123"/>
      <c r="N2498" s="126"/>
    </row>
    <row r="2499" spans="1:14" s="3" customFormat="1" ht="9.9" customHeight="1">
      <c r="A2499" s="125"/>
      <c r="B2499" s="123"/>
      <c r="C2499" s="123"/>
      <c r="D2499" s="123"/>
      <c r="E2499" s="123"/>
      <c r="F2499" s="167"/>
      <c r="G2499" s="123"/>
      <c r="H2499" s="123"/>
      <c r="I2499" s="123"/>
      <c r="J2499" s="123"/>
      <c r="K2499" s="123"/>
      <c r="L2499" s="123"/>
      <c r="M2499" s="123"/>
      <c r="N2499" s="126"/>
    </row>
    <row r="2500" spans="1:14" s="3" customFormat="1" ht="31.2" customHeight="1">
      <c r="A2500" s="127" t="s">
        <v>1898</v>
      </c>
      <c r="B2500" s="170"/>
      <c r="C2500" s="170"/>
      <c r="D2500" s="170"/>
      <c r="E2500" s="170"/>
      <c r="F2500" s="171" t="s">
        <v>1885</v>
      </c>
      <c r="G2500" s="597" t="e">
        <f>VLOOKUP(G2503, 'Detail PL'!$B$14:$Q$799,2)</f>
        <v>#N/A</v>
      </c>
      <c r="H2500" s="597"/>
      <c r="I2500" s="597"/>
      <c r="J2500" s="597"/>
      <c r="K2500" s="597"/>
      <c r="L2500" s="597"/>
      <c r="M2500" s="597"/>
      <c r="N2500" s="128"/>
    </row>
    <row r="2501" spans="1:14" s="3" customFormat="1" ht="25.2">
      <c r="A2501" s="127" t="s">
        <v>1899</v>
      </c>
      <c r="B2501" s="170"/>
      <c r="C2501" s="170"/>
      <c r="D2501" s="170"/>
      <c r="E2501" s="170"/>
      <c r="F2501" s="171"/>
      <c r="G2501" s="170"/>
      <c r="H2501" s="170"/>
      <c r="I2501" s="170"/>
      <c r="J2501" s="170"/>
      <c r="K2501" s="170"/>
      <c r="L2501" s="170"/>
      <c r="M2501" s="170"/>
      <c r="N2501" s="128"/>
    </row>
    <row r="2502" spans="1:14" s="3" customFormat="1" ht="9.9" customHeight="1">
      <c r="A2502" s="125"/>
      <c r="B2502" s="123"/>
      <c r="C2502" s="123"/>
      <c r="D2502" s="123"/>
      <c r="E2502" s="123"/>
      <c r="F2502" s="167"/>
      <c r="G2502" s="123"/>
      <c r="H2502" s="123"/>
      <c r="I2502" s="123"/>
      <c r="J2502" s="123"/>
      <c r="K2502" s="123"/>
      <c r="L2502" s="123"/>
      <c r="M2502" s="123"/>
      <c r="N2502" s="126"/>
    </row>
    <row r="2503" spans="1:14" s="3" customFormat="1" ht="25.2">
      <c r="A2503" s="125" t="s">
        <v>1900</v>
      </c>
      <c r="B2503" s="123"/>
      <c r="C2503" s="123"/>
      <c r="D2503" s="123"/>
      <c r="E2503" s="123"/>
      <c r="F2503" s="171" t="s">
        <v>1901</v>
      </c>
      <c r="G2503" s="604">
        <f t="shared" ref="G2503" si="69">G2468+1</f>
        <v>72</v>
      </c>
      <c r="H2503" s="604"/>
      <c r="I2503" s="604"/>
      <c r="J2503" s="604"/>
      <c r="K2503" s="604"/>
      <c r="L2503" s="123"/>
      <c r="M2503" s="123"/>
      <c r="N2503" s="126"/>
    </row>
    <row r="2504" spans="1:14" s="4" customFormat="1" ht="25.2">
      <c r="A2504" s="125" t="s">
        <v>1903</v>
      </c>
      <c r="B2504" s="123"/>
      <c r="C2504" s="123"/>
      <c r="D2504" s="123"/>
      <c r="E2504" s="123"/>
      <c r="F2504" s="167"/>
      <c r="G2504" s="167"/>
      <c r="H2504" s="123"/>
      <c r="I2504" s="123"/>
      <c r="J2504" s="123"/>
      <c r="K2504" s="123"/>
      <c r="L2504" s="123"/>
      <c r="M2504" s="123"/>
      <c r="N2504" s="126"/>
    </row>
    <row r="2505" spans="1:14" s="3" customFormat="1" ht="9.9" customHeight="1">
      <c r="A2505" s="125"/>
      <c r="B2505" s="123"/>
      <c r="C2505" s="123"/>
      <c r="D2505" s="123"/>
      <c r="E2505" s="123"/>
      <c r="F2505" s="167"/>
      <c r="G2505" s="167"/>
      <c r="H2505" s="123"/>
      <c r="I2505" s="123"/>
      <c r="J2505" s="123"/>
      <c r="K2505" s="123"/>
      <c r="L2505" s="123"/>
      <c r="M2505" s="123"/>
      <c r="N2505" s="126"/>
    </row>
    <row r="2506" spans="1:14" s="3" customFormat="1" ht="25.2">
      <c r="A2506" s="125" t="s">
        <v>1904</v>
      </c>
      <c r="B2506" s="123"/>
      <c r="C2506" s="123"/>
      <c r="D2506" s="123"/>
      <c r="E2506" s="123"/>
      <c r="F2506" s="167" t="s">
        <v>1896</v>
      </c>
      <c r="G2506" s="204" t="e">
        <f>VLOOKUP(G2503, 'Detail PL'!$B$14:$Q$799, 10)</f>
        <v>#N/A</v>
      </c>
      <c r="H2506" s="204" t="s">
        <v>1905</v>
      </c>
      <c r="I2506" s="204"/>
      <c r="J2506" s="204"/>
      <c r="K2506" s="123"/>
      <c r="L2506" s="123"/>
      <c r="M2506" s="123"/>
      <c r="N2506" s="126"/>
    </row>
    <row r="2507" spans="1:14" s="4" customFormat="1" ht="25.2">
      <c r="A2507" s="125" t="s">
        <v>1906</v>
      </c>
      <c r="B2507" s="123"/>
      <c r="C2507" s="123"/>
      <c r="D2507" s="123"/>
      <c r="E2507" s="123"/>
      <c r="F2507" s="167"/>
      <c r="G2507" s="167"/>
      <c r="H2507" s="167"/>
      <c r="I2507" s="123"/>
      <c r="J2507" s="123"/>
      <c r="K2507" s="123"/>
      <c r="L2507" s="123"/>
      <c r="M2507" s="123"/>
      <c r="N2507" s="126"/>
    </row>
    <row r="2508" spans="1:14" s="3" customFormat="1" ht="9.9" customHeight="1">
      <c r="A2508" s="125"/>
      <c r="B2508" s="123"/>
      <c r="C2508" s="123"/>
      <c r="D2508" s="123"/>
      <c r="E2508" s="123"/>
      <c r="F2508" s="167"/>
      <c r="G2508" s="167"/>
      <c r="H2508" s="167"/>
      <c r="I2508" s="123"/>
      <c r="J2508" s="123"/>
      <c r="K2508" s="123"/>
      <c r="L2508" s="123"/>
      <c r="M2508" s="123"/>
      <c r="N2508" s="126"/>
    </row>
    <row r="2509" spans="1:14" s="3" customFormat="1" ht="25.2">
      <c r="A2509" s="125" t="s">
        <v>1907</v>
      </c>
      <c r="B2509" s="123"/>
      <c r="C2509" s="123"/>
      <c r="D2509" s="123"/>
      <c r="E2509" s="123"/>
      <c r="F2509" s="167" t="s">
        <v>1896</v>
      </c>
      <c r="G2509" s="204" t="e">
        <f>VLOOKUP(G2503, 'Detail PL'!$B$14:$Q$799, 11)</f>
        <v>#N/A</v>
      </c>
      <c r="H2509" s="204" t="s">
        <v>1905</v>
      </c>
      <c r="I2509" s="204"/>
      <c r="J2509" s="204"/>
      <c r="K2509" s="123"/>
      <c r="L2509" s="123"/>
      <c r="M2509" s="123"/>
      <c r="N2509" s="126"/>
    </row>
    <row r="2510" spans="1:14" s="4" customFormat="1" ht="25.2">
      <c r="A2510" s="125" t="s">
        <v>1908</v>
      </c>
      <c r="B2510" s="123"/>
      <c r="C2510" s="123"/>
      <c r="D2510" s="123"/>
      <c r="E2510" s="123"/>
      <c r="F2510" s="167"/>
      <c r="G2510" s="167"/>
      <c r="H2510" s="123"/>
      <c r="I2510" s="123"/>
      <c r="J2510" s="123"/>
      <c r="K2510" s="123"/>
      <c r="L2510" s="123"/>
      <c r="M2510" s="123"/>
      <c r="N2510" s="126"/>
    </row>
    <row r="2511" spans="1:14" s="3" customFormat="1" ht="9.9" customHeight="1">
      <c r="A2511" s="125"/>
      <c r="B2511" s="123"/>
      <c r="C2511" s="123"/>
      <c r="D2511" s="123"/>
      <c r="E2511" s="123"/>
      <c r="F2511" s="167"/>
      <c r="G2511" s="167"/>
      <c r="H2511" s="123"/>
      <c r="I2511" s="123"/>
      <c r="J2511" s="123"/>
      <c r="K2511" s="123"/>
      <c r="L2511" s="123"/>
      <c r="M2511" s="123"/>
      <c r="N2511" s="126"/>
    </row>
    <row r="2512" spans="1:14" s="3" customFormat="1" ht="25.2">
      <c r="A2512" s="129" t="s">
        <v>1909</v>
      </c>
      <c r="B2512" s="123"/>
      <c r="C2512" s="123"/>
      <c r="D2512" s="123"/>
      <c r="E2512" s="123"/>
      <c r="F2512" s="167" t="s">
        <v>1896</v>
      </c>
      <c r="G2512" s="204" t="e">
        <f>VLOOKUP(G2503, 'Detail PL'!$B$14:$Q$799, 9)</f>
        <v>#N/A</v>
      </c>
      <c r="H2512" s="205" t="s">
        <v>1910</v>
      </c>
      <c r="I2512" s="203"/>
      <c r="J2512" s="203"/>
      <c r="K2512" s="172"/>
      <c r="L2512" s="123"/>
      <c r="M2512" s="123"/>
      <c r="N2512" s="126"/>
    </row>
    <row r="2513" spans="1:15" s="4" customFormat="1" ht="25.2">
      <c r="A2513" s="125" t="s">
        <v>1911</v>
      </c>
      <c r="B2513" s="123"/>
      <c r="C2513" s="123"/>
      <c r="D2513" s="123"/>
      <c r="E2513" s="123"/>
      <c r="F2513" s="167"/>
      <c r="G2513" s="167"/>
      <c r="H2513" s="123"/>
      <c r="I2513" s="123"/>
      <c r="J2513" s="123"/>
      <c r="K2513" s="123"/>
      <c r="L2513" s="123"/>
      <c r="M2513" s="123"/>
      <c r="N2513" s="126"/>
    </row>
    <row r="2514" spans="1:15" s="3" customFormat="1" ht="9.9" customHeight="1">
      <c r="A2514" s="125"/>
      <c r="B2514" s="123"/>
      <c r="C2514" s="123"/>
      <c r="D2514" s="123"/>
      <c r="E2514" s="123"/>
      <c r="F2514" s="167"/>
      <c r="G2514" s="167"/>
      <c r="H2514" s="123"/>
      <c r="I2514" s="123"/>
      <c r="J2514" s="123"/>
      <c r="K2514" s="123"/>
      <c r="L2514" s="123"/>
      <c r="M2514" s="123"/>
      <c r="N2514" s="126"/>
    </row>
    <row r="2515" spans="1:15" s="3" customFormat="1" ht="42" customHeight="1">
      <c r="A2515" s="125" t="s">
        <v>1912</v>
      </c>
      <c r="B2515" s="123"/>
      <c r="C2515" s="123"/>
      <c r="D2515" s="123"/>
      <c r="E2515" s="123"/>
      <c r="F2515" s="166" t="s">
        <v>1913</v>
      </c>
      <c r="G2515" s="595" t="s">
        <v>1914</v>
      </c>
      <c r="H2515" s="595"/>
      <c r="I2515" s="595"/>
      <c r="J2515" s="595"/>
      <c r="K2515" s="595"/>
      <c r="L2515" s="595"/>
      <c r="M2515" s="595"/>
      <c r="N2515" s="596"/>
    </row>
    <row r="2516" spans="1:15" s="4" customFormat="1" ht="25.8" thickBot="1">
      <c r="A2516" s="125" t="s">
        <v>1915</v>
      </c>
      <c r="B2516" s="123"/>
      <c r="C2516" s="123"/>
      <c r="D2516" s="123"/>
      <c r="E2516" s="123"/>
      <c r="F2516" s="167"/>
      <c r="G2516" s="167"/>
      <c r="H2516" s="123"/>
      <c r="I2516" s="123"/>
      <c r="J2516" s="123"/>
      <c r="K2516" s="123"/>
      <c r="L2516" s="123"/>
      <c r="M2516" s="123"/>
      <c r="N2516" s="126"/>
    </row>
    <row r="2517" spans="1:15" ht="21" customHeight="1">
      <c r="A2517" s="598" t="s">
        <v>1916</v>
      </c>
      <c r="B2517" s="599"/>
      <c r="C2517" s="599"/>
      <c r="D2517" s="599"/>
      <c r="E2517" s="599"/>
      <c r="F2517" s="599"/>
      <c r="G2517" s="599"/>
      <c r="H2517" s="599"/>
      <c r="I2517" s="599"/>
      <c r="J2517" s="599"/>
      <c r="K2517" s="599"/>
      <c r="L2517" s="599"/>
      <c r="M2517" s="599"/>
      <c r="N2517" s="600"/>
    </row>
    <row r="2518" spans="1:15" ht="25.5" customHeight="1" thickBot="1">
      <c r="A2518" s="601"/>
      <c r="B2518" s="602"/>
      <c r="C2518" s="602"/>
      <c r="D2518" s="602"/>
      <c r="E2518" s="602"/>
      <c r="F2518" s="602"/>
      <c r="G2518" s="602"/>
      <c r="H2518" s="602"/>
      <c r="I2518" s="602"/>
      <c r="J2518" s="602"/>
      <c r="K2518" s="602"/>
      <c r="L2518" s="602"/>
      <c r="M2518" s="602"/>
      <c r="N2518" s="603"/>
    </row>
    <row r="2519" spans="1:15" ht="25.5" customHeight="1">
      <c r="E2519" s="206"/>
      <c r="F2519" s="206"/>
      <c r="G2519" s="206"/>
      <c r="H2519" s="206"/>
      <c r="I2519" s="206"/>
      <c r="J2519" s="206"/>
      <c r="K2519" s="206"/>
    </row>
    <row r="2520" spans="1:15" ht="21.6" thickBot="1"/>
    <row r="2521" spans="1:15" ht="95.25" customHeight="1" thickBot="1">
      <c r="A2521" s="592" t="s">
        <v>1883</v>
      </c>
      <c r="B2521" s="593"/>
      <c r="C2521" s="593"/>
      <c r="D2521" s="593"/>
      <c r="E2521" s="593"/>
      <c r="F2521" s="593"/>
      <c r="G2521" s="593"/>
      <c r="H2521" s="593"/>
      <c r="I2521" s="593"/>
      <c r="J2521" s="593"/>
      <c r="K2521" s="593"/>
      <c r="L2521" s="593"/>
      <c r="M2521" s="593"/>
      <c r="N2521" s="594"/>
    </row>
    <row r="2522" spans="1:15" s="3" customFormat="1" ht="37.5" customHeight="1">
      <c r="A2522" s="134" t="s">
        <v>1884</v>
      </c>
      <c r="B2522" s="166"/>
      <c r="C2522" s="166"/>
      <c r="D2522" s="123"/>
      <c r="E2522" s="123"/>
      <c r="F2522" s="167" t="s">
        <v>1885</v>
      </c>
      <c r="G2522" s="167" t="s">
        <v>1886</v>
      </c>
      <c r="H2522" s="167"/>
      <c r="I2522" s="167"/>
      <c r="J2522" s="167"/>
      <c r="K2522" s="167"/>
      <c r="L2522" s="167"/>
      <c r="M2522" s="167"/>
      <c r="N2522" s="152"/>
      <c r="O2522" s="201"/>
    </row>
    <row r="2523" spans="1:15" s="4" customFormat="1" ht="25.2">
      <c r="A2523" s="125" t="s">
        <v>1887</v>
      </c>
      <c r="B2523" s="123"/>
      <c r="C2523" s="123"/>
      <c r="D2523" s="123"/>
      <c r="E2523" s="123"/>
      <c r="F2523" s="167"/>
      <c r="G2523" s="167" t="s">
        <v>1888</v>
      </c>
      <c r="H2523" s="167"/>
      <c r="I2523" s="167"/>
      <c r="J2523" s="167"/>
      <c r="K2523" s="167"/>
      <c r="L2523" s="167"/>
      <c r="M2523" s="167"/>
      <c r="N2523" s="152"/>
    </row>
    <row r="2524" spans="1:15" s="3" customFormat="1" ht="9.9" customHeight="1">
      <c r="A2524" s="125"/>
      <c r="B2524" s="123"/>
      <c r="C2524" s="123"/>
      <c r="D2524" s="123"/>
      <c r="E2524" s="123"/>
      <c r="F2524" s="167"/>
      <c r="G2524" s="123"/>
      <c r="H2524" s="123"/>
      <c r="I2524" s="123"/>
      <c r="J2524" s="123"/>
      <c r="K2524" s="123"/>
      <c r="L2524" s="123"/>
      <c r="M2524" s="123"/>
      <c r="N2524" s="126"/>
    </row>
    <row r="2525" spans="1:15" s="3" customFormat="1" ht="42.75" customHeight="1">
      <c r="A2525" s="125" t="s">
        <v>1889</v>
      </c>
      <c r="B2525" s="123"/>
      <c r="C2525" s="123"/>
      <c r="D2525" s="123"/>
      <c r="E2525" s="123"/>
      <c r="F2525" s="167" t="s">
        <v>1885</v>
      </c>
      <c r="G2525" s="167" t="str">
        <f>PL!$B$13</f>
        <v>Branch of JSC "Doosan Enerbility" in the Turkestan region</v>
      </c>
      <c r="H2525" s="123"/>
      <c r="I2525" s="123"/>
      <c r="J2525" s="123"/>
      <c r="K2525" s="123"/>
      <c r="L2525" s="123"/>
      <c r="M2525" s="123"/>
      <c r="N2525" s="126"/>
    </row>
    <row r="2526" spans="1:15" s="3" customFormat="1" ht="24" customHeight="1">
      <c r="A2526" s="125" t="s">
        <v>1890</v>
      </c>
      <c r="B2526" s="123"/>
      <c r="C2526" s="123"/>
      <c r="D2526" s="123"/>
      <c r="E2526" s="123"/>
      <c r="F2526" s="168"/>
      <c r="G2526" s="167" t="str">
        <f>PL!$B$14</f>
        <v>321 Tauke Khan Avenue, Turkestan region, Turkestan, Kazakhstan, 161200</v>
      </c>
      <c r="H2526" s="123"/>
      <c r="I2526" s="123"/>
      <c r="J2526" s="123"/>
      <c r="K2526" s="123"/>
      <c r="L2526" s="123"/>
      <c r="M2526" s="123"/>
      <c r="N2526" s="126"/>
    </row>
    <row r="2527" spans="1:15" s="4" customFormat="1" ht="25.2">
      <c r="A2527" s="125"/>
      <c r="B2527" s="123"/>
      <c r="C2527" s="123"/>
      <c r="D2527" s="123"/>
      <c r="E2527" s="123"/>
      <c r="F2527" s="168"/>
      <c r="G2527" s="167" t="str">
        <f>PL!$B$15</f>
        <v>BIN: 230741006561</v>
      </c>
      <c r="H2527" s="123"/>
      <c r="I2527" s="123"/>
      <c r="J2527" s="123"/>
      <c r="K2527" s="123"/>
      <c r="L2527" s="123"/>
      <c r="M2527" s="123"/>
      <c r="N2527" s="126"/>
    </row>
    <row r="2528" spans="1:15" s="3" customFormat="1" ht="9.9" customHeight="1">
      <c r="A2528" s="125"/>
      <c r="B2528" s="123"/>
      <c r="C2528" s="123"/>
      <c r="D2528" s="123"/>
      <c r="E2528" s="123"/>
      <c r="F2528" s="169"/>
      <c r="G2528" s="169"/>
      <c r="H2528" s="123"/>
      <c r="I2528" s="123"/>
      <c r="J2528" s="123"/>
      <c r="K2528" s="123"/>
      <c r="L2528" s="123"/>
      <c r="M2528" s="123"/>
      <c r="N2528" s="126"/>
    </row>
    <row r="2529" spans="1:14" s="3" customFormat="1" ht="25.2">
      <c r="A2529" s="125" t="s">
        <v>1891</v>
      </c>
      <c r="B2529" s="123"/>
      <c r="C2529" s="123"/>
      <c r="D2529" s="123"/>
      <c r="E2529" s="123"/>
      <c r="F2529" s="167" t="s">
        <v>1892</v>
      </c>
      <c r="G2529" s="123"/>
      <c r="H2529" s="123"/>
      <c r="I2529" s="123"/>
      <c r="J2529" s="123"/>
      <c r="K2529" s="123"/>
      <c r="L2529" s="123"/>
      <c r="M2529" s="123"/>
      <c r="N2529" s="126"/>
    </row>
    <row r="2530" spans="1:14" s="4" customFormat="1" ht="25.2">
      <c r="A2530" s="125" t="s">
        <v>1893</v>
      </c>
      <c r="B2530" s="123"/>
      <c r="C2530" s="123"/>
      <c r="D2530" s="123"/>
      <c r="E2530" s="123"/>
      <c r="F2530" s="167" t="s">
        <v>1894</v>
      </c>
      <c r="G2530" s="123"/>
      <c r="H2530" s="123"/>
      <c r="I2530" s="123"/>
      <c r="J2530" s="123"/>
      <c r="K2530" s="123"/>
      <c r="L2530" s="123"/>
      <c r="M2530" s="123"/>
      <c r="N2530" s="126"/>
    </row>
    <row r="2531" spans="1:14" s="3" customFormat="1" ht="9.9" customHeight="1">
      <c r="A2531" s="125"/>
      <c r="B2531" s="123"/>
      <c r="C2531" s="123"/>
      <c r="D2531" s="123"/>
      <c r="E2531" s="123"/>
      <c r="F2531" s="167"/>
      <c r="G2531" s="123"/>
      <c r="H2531" s="123"/>
      <c r="I2531" s="123"/>
      <c r="J2531" s="123"/>
      <c r="K2531" s="123"/>
      <c r="L2531" s="123"/>
      <c r="M2531" s="123"/>
      <c r="N2531" s="126"/>
    </row>
    <row r="2532" spans="1:14" s="3" customFormat="1" ht="25.2">
      <c r="A2532" s="125" t="s">
        <v>1895</v>
      </c>
      <c r="B2532" s="123"/>
      <c r="C2532" s="123"/>
      <c r="D2532" s="123"/>
      <c r="E2532" s="123"/>
      <c r="F2532" s="167" t="s">
        <v>1896</v>
      </c>
      <c r="G2532" s="167" t="str">
        <f>PL!$V$8</f>
        <v>PGU-DE-0139-001</v>
      </c>
      <c r="H2532" s="123"/>
      <c r="I2532" s="123"/>
      <c r="J2532" s="123"/>
      <c r="K2532" s="123"/>
      <c r="L2532" s="123"/>
      <c r="M2532" s="123"/>
      <c r="N2532" s="126"/>
    </row>
    <row r="2533" spans="1:14" s="3" customFormat="1" ht="25.2">
      <c r="A2533" s="125" t="s">
        <v>1897</v>
      </c>
      <c r="B2533" s="123"/>
      <c r="C2533" s="123"/>
      <c r="D2533" s="123"/>
      <c r="E2533" s="123"/>
      <c r="F2533" s="167"/>
      <c r="G2533" s="123"/>
      <c r="H2533" s="123"/>
      <c r="I2533" s="123"/>
      <c r="J2533" s="123"/>
      <c r="K2533" s="123"/>
      <c r="L2533" s="123"/>
      <c r="M2533" s="123"/>
      <c r="N2533" s="126"/>
    </row>
    <row r="2534" spans="1:14" s="3" customFormat="1" ht="9.9" customHeight="1">
      <c r="A2534" s="125"/>
      <c r="B2534" s="123"/>
      <c r="C2534" s="123"/>
      <c r="D2534" s="123"/>
      <c r="E2534" s="123"/>
      <c r="F2534" s="167"/>
      <c r="G2534" s="123"/>
      <c r="H2534" s="123"/>
      <c r="I2534" s="123"/>
      <c r="J2534" s="123"/>
      <c r="K2534" s="123"/>
      <c r="L2534" s="123"/>
      <c r="M2534" s="123"/>
      <c r="N2534" s="126"/>
    </row>
    <row r="2535" spans="1:14" s="3" customFormat="1" ht="31.2" customHeight="1">
      <c r="A2535" s="127" t="s">
        <v>1898</v>
      </c>
      <c r="B2535" s="170"/>
      <c r="C2535" s="170"/>
      <c r="D2535" s="170"/>
      <c r="E2535" s="170"/>
      <c r="F2535" s="171" t="s">
        <v>1885</v>
      </c>
      <c r="G2535" s="597" t="e">
        <f>VLOOKUP(G2538, 'Detail PL'!$B$14:$Q$799,2)</f>
        <v>#N/A</v>
      </c>
      <c r="H2535" s="597"/>
      <c r="I2535" s="597"/>
      <c r="J2535" s="597"/>
      <c r="K2535" s="597"/>
      <c r="L2535" s="597"/>
      <c r="M2535" s="597"/>
      <c r="N2535" s="128"/>
    </row>
    <row r="2536" spans="1:14" s="3" customFormat="1" ht="25.2">
      <c r="A2536" s="127" t="s">
        <v>1899</v>
      </c>
      <c r="B2536" s="170"/>
      <c r="C2536" s="170"/>
      <c r="D2536" s="170"/>
      <c r="E2536" s="170"/>
      <c r="F2536" s="171"/>
      <c r="G2536" s="170"/>
      <c r="H2536" s="170"/>
      <c r="I2536" s="170"/>
      <c r="J2536" s="170"/>
      <c r="K2536" s="170"/>
      <c r="L2536" s="170"/>
      <c r="M2536" s="170"/>
      <c r="N2536" s="128"/>
    </row>
    <row r="2537" spans="1:14" s="3" customFormat="1" ht="9.9" customHeight="1">
      <c r="A2537" s="125"/>
      <c r="B2537" s="123"/>
      <c r="C2537" s="123"/>
      <c r="D2537" s="123"/>
      <c r="E2537" s="123"/>
      <c r="F2537" s="167"/>
      <c r="G2537" s="123"/>
      <c r="H2537" s="123"/>
      <c r="I2537" s="123"/>
      <c r="J2537" s="123"/>
      <c r="K2537" s="123"/>
      <c r="L2537" s="123"/>
      <c r="M2537" s="123"/>
      <c r="N2537" s="126"/>
    </row>
    <row r="2538" spans="1:14" s="3" customFormat="1" ht="25.2">
      <c r="A2538" s="125" t="s">
        <v>1900</v>
      </c>
      <c r="B2538" s="123"/>
      <c r="C2538" s="123"/>
      <c r="D2538" s="123"/>
      <c r="E2538" s="123"/>
      <c r="F2538" s="171" t="s">
        <v>1901</v>
      </c>
      <c r="G2538" s="604">
        <f t="shared" ref="G2538" si="70">G2503+1</f>
        <v>73</v>
      </c>
      <c r="H2538" s="604"/>
      <c r="I2538" s="604"/>
      <c r="J2538" s="604"/>
      <c r="K2538" s="604"/>
      <c r="L2538" s="123"/>
      <c r="M2538" s="123"/>
      <c r="N2538" s="126"/>
    </row>
    <row r="2539" spans="1:14" s="4" customFormat="1" ht="25.2">
      <c r="A2539" s="125" t="s">
        <v>1903</v>
      </c>
      <c r="B2539" s="123"/>
      <c r="C2539" s="123"/>
      <c r="D2539" s="123"/>
      <c r="E2539" s="123"/>
      <c r="F2539" s="167"/>
      <c r="G2539" s="167"/>
      <c r="H2539" s="123"/>
      <c r="I2539" s="123"/>
      <c r="J2539" s="123"/>
      <c r="K2539" s="123"/>
      <c r="L2539" s="123"/>
      <c r="M2539" s="123"/>
      <c r="N2539" s="126"/>
    </row>
    <row r="2540" spans="1:14" s="3" customFormat="1" ht="9.9" customHeight="1">
      <c r="A2540" s="125"/>
      <c r="B2540" s="123"/>
      <c r="C2540" s="123"/>
      <c r="D2540" s="123"/>
      <c r="E2540" s="123"/>
      <c r="F2540" s="167"/>
      <c r="G2540" s="167"/>
      <c r="H2540" s="123"/>
      <c r="I2540" s="123"/>
      <c r="J2540" s="123"/>
      <c r="K2540" s="123"/>
      <c r="L2540" s="123"/>
      <c r="M2540" s="123"/>
      <c r="N2540" s="126"/>
    </row>
    <row r="2541" spans="1:14" s="3" customFormat="1" ht="25.2">
      <c r="A2541" s="125" t="s">
        <v>1904</v>
      </c>
      <c r="B2541" s="123"/>
      <c r="C2541" s="123"/>
      <c r="D2541" s="123"/>
      <c r="E2541" s="123"/>
      <c r="F2541" s="167" t="s">
        <v>1896</v>
      </c>
      <c r="G2541" s="204" t="e">
        <f>VLOOKUP(G2538, 'Detail PL'!$B$14:$Q$799, 10)</f>
        <v>#N/A</v>
      </c>
      <c r="H2541" s="204" t="s">
        <v>1905</v>
      </c>
      <c r="I2541" s="204"/>
      <c r="J2541" s="204"/>
      <c r="K2541" s="123"/>
      <c r="L2541" s="123"/>
      <c r="M2541" s="123"/>
      <c r="N2541" s="126"/>
    </row>
    <row r="2542" spans="1:14" s="4" customFormat="1" ht="25.2">
      <c r="A2542" s="125" t="s">
        <v>1906</v>
      </c>
      <c r="B2542" s="123"/>
      <c r="C2542" s="123"/>
      <c r="D2542" s="123"/>
      <c r="E2542" s="123"/>
      <c r="F2542" s="167"/>
      <c r="G2542" s="167"/>
      <c r="H2542" s="167"/>
      <c r="I2542" s="123"/>
      <c r="J2542" s="123"/>
      <c r="K2542" s="123"/>
      <c r="L2542" s="123"/>
      <c r="M2542" s="123"/>
      <c r="N2542" s="126"/>
    </row>
    <row r="2543" spans="1:14" s="3" customFormat="1" ht="9.9" customHeight="1">
      <c r="A2543" s="125"/>
      <c r="B2543" s="123"/>
      <c r="C2543" s="123"/>
      <c r="D2543" s="123"/>
      <c r="E2543" s="123"/>
      <c r="F2543" s="167"/>
      <c r="G2543" s="167"/>
      <c r="H2543" s="167"/>
      <c r="I2543" s="123"/>
      <c r="J2543" s="123"/>
      <c r="K2543" s="123"/>
      <c r="L2543" s="123"/>
      <c r="M2543" s="123"/>
      <c r="N2543" s="126"/>
    </row>
    <row r="2544" spans="1:14" s="3" customFormat="1" ht="25.2">
      <c r="A2544" s="125" t="s">
        <v>1907</v>
      </c>
      <c r="B2544" s="123"/>
      <c r="C2544" s="123"/>
      <c r="D2544" s="123"/>
      <c r="E2544" s="123"/>
      <c r="F2544" s="167" t="s">
        <v>1896</v>
      </c>
      <c r="G2544" s="204" t="e">
        <f>VLOOKUP(G2538, 'Detail PL'!$B$14:$Q$799, 11)</f>
        <v>#N/A</v>
      </c>
      <c r="H2544" s="204" t="s">
        <v>1905</v>
      </c>
      <c r="I2544" s="204"/>
      <c r="J2544" s="204"/>
      <c r="K2544" s="123"/>
      <c r="L2544" s="123"/>
      <c r="M2544" s="123"/>
      <c r="N2544" s="126"/>
    </row>
    <row r="2545" spans="1:15" s="4" customFormat="1" ht="25.2">
      <c r="A2545" s="125" t="s">
        <v>1908</v>
      </c>
      <c r="B2545" s="123"/>
      <c r="C2545" s="123"/>
      <c r="D2545" s="123"/>
      <c r="E2545" s="123"/>
      <c r="F2545" s="167"/>
      <c r="G2545" s="167"/>
      <c r="H2545" s="123"/>
      <c r="I2545" s="123"/>
      <c r="J2545" s="123"/>
      <c r="K2545" s="123"/>
      <c r="L2545" s="123"/>
      <c r="M2545" s="123"/>
      <c r="N2545" s="126"/>
    </row>
    <row r="2546" spans="1:15" s="3" customFormat="1" ht="9.9" customHeight="1">
      <c r="A2546" s="125"/>
      <c r="B2546" s="123"/>
      <c r="C2546" s="123"/>
      <c r="D2546" s="123"/>
      <c r="E2546" s="123"/>
      <c r="F2546" s="167"/>
      <c r="G2546" s="167"/>
      <c r="H2546" s="123"/>
      <c r="I2546" s="123"/>
      <c r="J2546" s="123"/>
      <c r="K2546" s="123"/>
      <c r="L2546" s="123"/>
      <c r="M2546" s="123"/>
      <c r="N2546" s="126"/>
    </row>
    <row r="2547" spans="1:15" s="3" customFormat="1" ht="25.2">
      <c r="A2547" s="129" t="s">
        <v>1909</v>
      </c>
      <c r="B2547" s="123"/>
      <c r="C2547" s="123"/>
      <c r="D2547" s="123"/>
      <c r="E2547" s="123"/>
      <c r="F2547" s="167" t="s">
        <v>1896</v>
      </c>
      <c r="G2547" s="204" t="e">
        <f>VLOOKUP(G2538, 'Detail PL'!$B$14:$Q$799, 9)</f>
        <v>#N/A</v>
      </c>
      <c r="H2547" s="205" t="s">
        <v>1910</v>
      </c>
      <c r="I2547" s="203"/>
      <c r="J2547" s="203"/>
      <c r="K2547" s="172"/>
      <c r="L2547" s="123"/>
      <c r="M2547" s="123"/>
      <c r="N2547" s="126"/>
    </row>
    <row r="2548" spans="1:15" s="4" customFormat="1" ht="25.2">
      <c r="A2548" s="125" t="s">
        <v>1911</v>
      </c>
      <c r="B2548" s="123"/>
      <c r="C2548" s="123"/>
      <c r="D2548" s="123"/>
      <c r="E2548" s="123"/>
      <c r="F2548" s="167"/>
      <c r="G2548" s="167"/>
      <c r="H2548" s="123"/>
      <c r="I2548" s="123"/>
      <c r="J2548" s="123"/>
      <c r="K2548" s="123"/>
      <c r="L2548" s="123"/>
      <c r="M2548" s="123"/>
      <c r="N2548" s="126"/>
    </row>
    <row r="2549" spans="1:15" s="3" customFormat="1" ht="9.9" customHeight="1">
      <c r="A2549" s="125"/>
      <c r="B2549" s="123"/>
      <c r="C2549" s="123"/>
      <c r="D2549" s="123"/>
      <c r="E2549" s="123"/>
      <c r="F2549" s="167"/>
      <c r="G2549" s="167"/>
      <c r="H2549" s="123"/>
      <c r="I2549" s="123"/>
      <c r="J2549" s="123"/>
      <c r="K2549" s="123"/>
      <c r="L2549" s="123"/>
      <c r="M2549" s="123"/>
      <c r="N2549" s="126"/>
    </row>
    <row r="2550" spans="1:15" s="3" customFormat="1" ht="42" customHeight="1">
      <c r="A2550" s="125" t="s">
        <v>1912</v>
      </c>
      <c r="B2550" s="123"/>
      <c r="C2550" s="123"/>
      <c r="D2550" s="123"/>
      <c r="E2550" s="123"/>
      <c r="F2550" s="166" t="s">
        <v>1913</v>
      </c>
      <c r="G2550" s="595" t="s">
        <v>1914</v>
      </c>
      <c r="H2550" s="595"/>
      <c r="I2550" s="595"/>
      <c r="J2550" s="595"/>
      <c r="K2550" s="595"/>
      <c r="L2550" s="595"/>
      <c r="M2550" s="595"/>
      <c r="N2550" s="596"/>
    </row>
    <row r="2551" spans="1:15" s="4" customFormat="1" ht="25.8" thickBot="1">
      <c r="A2551" s="125" t="s">
        <v>1915</v>
      </c>
      <c r="B2551" s="123"/>
      <c r="C2551" s="123"/>
      <c r="D2551" s="123"/>
      <c r="E2551" s="123"/>
      <c r="F2551" s="167"/>
      <c r="G2551" s="167"/>
      <c r="H2551" s="123"/>
      <c r="I2551" s="123"/>
      <c r="J2551" s="123"/>
      <c r="K2551" s="123"/>
      <c r="L2551" s="123"/>
      <c r="M2551" s="123"/>
      <c r="N2551" s="126"/>
    </row>
    <row r="2552" spans="1:15" ht="21" customHeight="1">
      <c r="A2552" s="598" t="s">
        <v>1916</v>
      </c>
      <c r="B2552" s="599"/>
      <c r="C2552" s="599"/>
      <c r="D2552" s="599"/>
      <c r="E2552" s="599"/>
      <c r="F2552" s="599"/>
      <c r="G2552" s="599"/>
      <c r="H2552" s="599"/>
      <c r="I2552" s="599"/>
      <c r="J2552" s="599"/>
      <c r="K2552" s="599"/>
      <c r="L2552" s="599"/>
      <c r="M2552" s="599"/>
      <c r="N2552" s="600"/>
    </row>
    <row r="2553" spans="1:15" ht="25.5" customHeight="1" thickBot="1">
      <c r="A2553" s="601"/>
      <c r="B2553" s="602"/>
      <c r="C2553" s="602"/>
      <c r="D2553" s="602"/>
      <c r="E2553" s="602"/>
      <c r="F2553" s="602"/>
      <c r="G2553" s="602"/>
      <c r="H2553" s="602"/>
      <c r="I2553" s="602"/>
      <c r="J2553" s="602"/>
      <c r="K2553" s="602"/>
      <c r="L2553" s="602"/>
      <c r="M2553" s="602"/>
      <c r="N2553" s="603"/>
    </row>
    <row r="2554" spans="1:15" ht="25.5" customHeight="1">
      <c r="E2554" s="206"/>
      <c r="F2554" s="206"/>
      <c r="G2554" s="206"/>
      <c r="H2554" s="206"/>
      <c r="I2554" s="206"/>
      <c r="J2554" s="206"/>
      <c r="K2554" s="206"/>
    </row>
    <row r="2555" spans="1:15" ht="21.6" thickBot="1"/>
    <row r="2556" spans="1:15" ht="95.25" customHeight="1" thickBot="1">
      <c r="A2556" s="592" t="s">
        <v>1883</v>
      </c>
      <c r="B2556" s="593"/>
      <c r="C2556" s="593"/>
      <c r="D2556" s="593"/>
      <c r="E2556" s="593"/>
      <c r="F2556" s="593"/>
      <c r="G2556" s="593"/>
      <c r="H2556" s="593"/>
      <c r="I2556" s="593"/>
      <c r="J2556" s="593"/>
      <c r="K2556" s="593"/>
      <c r="L2556" s="593"/>
      <c r="M2556" s="593"/>
      <c r="N2556" s="594"/>
    </row>
    <row r="2557" spans="1:15" s="3" customFormat="1" ht="37.5" customHeight="1">
      <c r="A2557" s="134" t="s">
        <v>1884</v>
      </c>
      <c r="B2557" s="166"/>
      <c r="C2557" s="166"/>
      <c r="D2557" s="123"/>
      <c r="E2557" s="123"/>
      <c r="F2557" s="167" t="s">
        <v>1885</v>
      </c>
      <c r="G2557" s="167" t="s">
        <v>1886</v>
      </c>
      <c r="H2557" s="167"/>
      <c r="I2557" s="167"/>
      <c r="J2557" s="167"/>
      <c r="K2557" s="167"/>
      <c r="L2557" s="167"/>
      <c r="M2557" s="167"/>
      <c r="N2557" s="152"/>
      <c r="O2557" s="201"/>
    </row>
    <row r="2558" spans="1:15" s="4" customFormat="1" ht="25.2">
      <c r="A2558" s="125" t="s">
        <v>1887</v>
      </c>
      <c r="B2558" s="123"/>
      <c r="C2558" s="123"/>
      <c r="D2558" s="123"/>
      <c r="E2558" s="123"/>
      <c r="F2558" s="167"/>
      <c r="G2558" s="167" t="s">
        <v>1888</v>
      </c>
      <c r="H2558" s="167"/>
      <c r="I2558" s="167"/>
      <c r="J2558" s="167"/>
      <c r="K2558" s="167"/>
      <c r="L2558" s="167"/>
      <c r="M2558" s="167"/>
      <c r="N2558" s="152"/>
    </row>
    <row r="2559" spans="1:15" s="3" customFormat="1" ht="9.9" customHeight="1">
      <c r="A2559" s="125"/>
      <c r="B2559" s="123"/>
      <c r="C2559" s="123"/>
      <c r="D2559" s="123"/>
      <c r="E2559" s="123"/>
      <c r="F2559" s="167"/>
      <c r="G2559" s="123"/>
      <c r="H2559" s="123"/>
      <c r="I2559" s="123"/>
      <c r="J2559" s="123"/>
      <c r="K2559" s="123"/>
      <c r="L2559" s="123"/>
      <c r="M2559" s="123"/>
      <c r="N2559" s="126"/>
    </row>
    <row r="2560" spans="1:15" s="3" customFormat="1" ht="42.75" customHeight="1">
      <c r="A2560" s="125" t="s">
        <v>1889</v>
      </c>
      <c r="B2560" s="123"/>
      <c r="C2560" s="123"/>
      <c r="D2560" s="123"/>
      <c r="E2560" s="123"/>
      <c r="F2560" s="167" t="s">
        <v>1885</v>
      </c>
      <c r="G2560" s="167" t="str">
        <f>PL!$B$13</f>
        <v>Branch of JSC "Doosan Enerbility" in the Turkestan region</v>
      </c>
      <c r="H2560" s="123"/>
      <c r="I2560" s="123"/>
      <c r="J2560" s="123"/>
      <c r="K2560" s="123"/>
      <c r="L2560" s="123"/>
      <c r="M2560" s="123"/>
      <c r="N2560" s="126"/>
    </row>
    <row r="2561" spans="1:14" s="3" customFormat="1" ht="24" customHeight="1">
      <c r="A2561" s="125" t="s">
        <v>1890</v>
      </c>
      <c r="B2561" s="123"/>
      <c r="C2561" s="123"/>
      <c r="D2561" s="123"/>
      <c r="E2561" s="123"/>
      <c r="F2561" s="168"/>
      <c r="G2561" s="167" t="str">
        <f>PL!$B$14</f>
        <v>321 Tauke Khan Avenue, Turkestan region, Turkestan, Kazakhstan, 161200</v>
      </c>
      <c r="H2561" s="123"/>
      <c r="I2561" s="123"/>
      <c r="J2561" s="123"/>
      <c r="K2561" s="123"/>
      <c r="L2561" s="123"/>
      <c r="M2561" s="123"/>
      <c r="N2561" s="126"/>
    </row>
    <row r="2562" spans="1:14" s="4" customFormat="1" ht="25.2">
      <c r="A2562" s="125"/>
      <c r="B2562" s="123"/>
      <c r="C2562" s="123"/>
      <c r="D2562" s="123"/>
      <c r="E2562" s="123"/>
      <c r="F2562" s="168"/>
      <c r="G2562" s="167" t="str">
        <f>PL!$B$15</f>
        <v>BIN: 230741006561</v>
      </c>
      <c r="H2562" s="123"/>
      <c r="I2562" s="123"/>
      <c r="J2562" s="123"/>
      <c r="K2562" s="123"/>
      <c r="L2562" s="123"/>
      <c r="M2562" s="123"/>
      <c r="N2562" s="126"/>
    </row>
    <row r="2563" spans="1:14" s="3" customFormat="1" ht="9.9" customHeight="1">
      <c r="A2563" s="125"/>
      <c r="B2563" s="123"/>
      <c r="C2563" s="123"/>
      <c r="D2563" s="123"/>
      <c r="E2563" s="123"/>
      <c r="F2563" s="169"/>
      <c r="G2563" s="169"/>
      <c r="H2563" s="123"/>
      <c r="I2563" s="123"/>
      <c r="J2563" s="123"/>
      <c r="K2563" s="123"/>
      <c r="L2563" s="123"/>
      <c r="M2563" s="123"/>
      <c r="N2563" s="126"/>
    </row>
    <row r="2564" spans="1:14" s="3" customFormat="1" ht="25.2">
      <c r="A2564" s="125" t="s">
        <v>1891</v>
      </c>
      <c r="B2564" s="123"/>
      <c r="C2564" s="123"/>
      <c r="D2564" s="123"/>
      <c r="E2564" s="123"/>
      <c r="F2564" s="167" t="s">
        <v>1892</v>
      </c>
      <c r="G2564" s="123"/>
      <c r="H2564" s="123"/>
      <c r="I2564" s="123"/>
      <c r="J2564" s="123"/>
      <c r="K2564" s="123"/>
      <c r="L2564" s="123"/>
      <c r="M2564" s="123"/>
      <c r="N2564" s="126"/>
    </row>
    <row r="2565" spans="1:14" s="4" customFormat="1" ht="25.2">
      <c r="A2565" s="125" t="s">
        <v>1893</v>
      </c>
      <c r="B2565" s="123"/>
      <c r="C2565" s="123"/>
      <c r="D2565" s="123"/>
      <c r="E2565" s="123"/>
      <c r="F2565" s="167" t="s">
        <v>1894</v>
      </c>
      <c r="G2565" s="123"/>
      <c r="H2565" s="123"/>
      <c r="I2565" s="123"/>
      <c r="J2565" s="123"/>
      <c r="K2565" s="123"/>
      <c r="L2565" s="123"/>
      <c r="M2565" s="123"/>
      <c r="N2565" s="126"/>
    </row>
    <row r="2566" spans="1:14" s="3" customFormat="1" ht="9.9" customHeight="1">
      <c r="A2566" s="125"/>
      <c r="B2566" s="123"/>
      <c r="C2566" s="123"/>
      <c r="D2566" s="123"/>
      <c r="E2566" s="123"/>
      <c r="F2566" s="167"/>
      <c r="G2566" s="123"/>
      <c r="H2566" s="123"/>
      <c r="I2566" s="123"/>
      <c r="J2566" s="123"/>
      <c r="K2566" s="123"/>
      <c r="L2566" s="123"/>
      <c r="M2566" s="123"/>
      <c r="N2566" s="126"/>
    </row>
    <row r="2567" spans="1:14" s="3" customFormat="1" ht="25.2">
      <c r="A2567" s="125" t="s">
        <v>1895</v>
      </c>
      <c r="B2567" s="123"/>
      <c r="C2567" s="123"/>
      <c r="D2567" s="123"/>
      <c r="E2567" s="123"/>
      <c r="F2567" s="167" t="s">
        <v>1896</v>
      </c>
      <c r="G2567" s="167" t="str">
        <f>PL!$V$8</f>
        <v>PGU-DE-0139-001</v>
      </c>
      <c r="H2567" s="123"/>
      <c r="I2567" s="123"/>
      <c r="J2567" s="123"/>
      <c r="K2567" s="123"/>
      <c r="L2567" s="123"/>
      <c r="M2567" s="123"/>
      <c r="N2567" s="126"/>
    </row>
    <row r="2568" spans="1:14" s="3" customFormat="1" ht="25.2">
      <c r="A2568" s="125" t="s">
        <v>1897</v>
      </c>
      <c r="B2568" s="123"/>
      <c r="C2568" s="123"/>
      <c r="D2568" s="123"/>
      <c r="E2568" s="123"/>
      <c r="F2568" s="167"/>
      <c r="G2568" s="123"/>
      <c r="H2568" s="123"/>
      <c r="I2568" s="123"/>
      <c r="J2568" s="123"/>
      <c r="K2568" s="123"/>
      <c r="L2568" s="123"/>
      <c r="M2568" s="123"/>
      <c r="N2568" s="126"/>
    </row>
    <row r="2569" spans="1:14" s="3" customFormat="1" ht="9.9" customHeight="1">
      <c r="A2569" s="125"/>
      <c r="B2569" s="123"/>
      <c r="C2569" s="123"/>
      <c r="D2569" s="123"/>
      <c r="E2569" s="123"/>
      <c r="F2569" s="167"/>
      <c r="G2569" s="123"/>
      <c r="H2569" s="123"/>
      <c r="I2569" s="123"/>
      <c r="J2569" s="123"/>
      <c r="K2569" s="123"/>
      <c r="L2569" s="123"/>
      <c r="M2569" s="123"/>
      <c r="N2569" s="126"/>
    </row>
    <row r="2570" spans="1:14" s="3" customFormat="1" ht="31.2" customHeight="1">
      <c r="A2570" s="127" t="s">
        <v>1898</v>
      </c>
      <c r="B2570" s="170"/>
      <c r="C2570" s="170"/>
      <c r="D2570" s="170"/>
      <c r="E2570" s="170"/>
      <c r="F2570" s="171" t="s">
        <v>1885</v>
      </c>
      <c r="G2570" s="597" t="e">
        <f>VLOOKUP(G2573, 'Detail PL'!$B$14:$Q$799,2)</f>
        <v>#N/A</v>
      </c>
      <c r="H2570" s="597"/>
      <c r="I2570" s="597"/>
      <c r="J2570" s="597"/>
      <c r="K2570" s="597"/>
      <c r="L2570" s="597"/>
      <c r="M2570" s="597"/>
      <c r="N2570" s="128"/>
    </row>
    <row r="2571" spans="1:14" s="3" customFormat="1" ht="25.2">
      <c r="A2571" s="127" t="s">
        <v>1899</v>
      </c>
      <c r="B2571" s="170"/>
      <c r="C2571" s="170"/>
      <c r="D2571" s="170"/>
      <c r="E2571" s="170"/>
      <c r="F2571" s="171"/>
      <c r="G2571" s="170"/>
      <c r="H2571" s="170"/>
      <c r="I2571" s="170"/>
      <c r="J2571" s="170"/>
      <c r="K2571" s="170"/>
      <c r="L2571" s="170"/>
      <c r="M2571" s="170"/>
      <c r="N2571" s="128"/>
    </row>
    <row r="2572" spans="1:14" s="3" customFormat="1" ht="9.9" customHeight="1">
      <c r="A2572" s="125"/>
      <c r="B2572" s="123"/>
      <c r="C2572" s="123"/>
      <c r="D2572" s="123"/>
      <c r="E2572" s="123"/>
      <c r="F2572" s="167"/>
      <c r="G2572" s="123"/>
      <c r="H2572" s="123"/>
      <c r="I2572" s="123"/>
      <c r="J2572" s="123"/>
      <c r="K2572" s="123"/>
      <c r="L2572" s="123"/>
      <c r="M2572" s="123"/>
      <c r="N2572" s="126"/>
    </row>
    <row r="2573" spans="1:14" s="3" customFormat="1" ht="25.2">
      <c r="A2573" s="125" t="s">
        <v>1900</v>
      </c>
      <c r="B2573" s="123"/>
      <c r="C2573" s="123"/>
      <c r="D2573" s="123"/>
      <c r="E2573" s="123"/>
      <c r="F2573" s="171" t="s">
        <v>1901</v>
      </c>
      <c r="G2573" s="604">
        <f t="shared" ref="G2573" si="71">G2538+1</f>
        <v>74</v>
      </c>
      <c r="H2573" s="604"/>
      <c r="I2573" s="604"/>
      <c r="J2573" s="604"/>
      <c r="K2573" s="604"/>
      <c r="L2573" s="123"/>
      <c r="M2573" s="123"/>
      <c r="N2573" s="126"/>
    </row>
    <row r="2574" spans="1:14" s="4" customFormat="1" ht="25.2">
      <c r="A2574" s="125" t="s">
        <v>1903</v>
      </c>
      <c r="B2574" s="123"/>
      <c r="C2574" s="123"/>
      <c r="D2574" s="123"/>
      <c r="E2574" s="123"/>
      <c r="F2574" s="167"/>
      <c r="G2574" s="167"/>
      <c r="H2574" s="123"/>
      <c r="I2574" s="123"/>
      <c r="J2574" s="123"/>
      <c r="K2574" s="123"/>
      <c r="L2574" s="123"/>
      <c r="M2574" s="123"/>
      <c r="N2574" s="126"/>
    </row>
    <row r="2575" spans="1:14" s="3" customFormat="1" ht="9.9" customHeight="1">
      <c r="A2575" s="125"/>
      <c r="B2575" s="123"/>
      <c r="C2575" s="123"/>
      <c r="D2575" s="123"/>
      <c r="E2575" s="123"/>
      <c r="F2575" s="167"/>
      <c r="G2575" s="167"/>
      <c r="H2575" s="123"/>
      <c r="I2575" s="123"/>
      <c r="J2575" s="123"/>
      <c r="K2575" s="123"/>
      <c r="L2575" s="123"/>
      <c r="M2575" s="123"/>
      <c r="N2575" s="126"/>
    </row>
    <row r="2576" spans="1:14" s="3" customFormat="1" ht="25.2">
      <c r="A2576" s="125" t="s">
        <v>1904</v>
      </c>
      <c r="B2576" s="123"/>
      <c r="C2576" s="123"/>
      <c r="D2576" s="123"/>
      <c r="E2576" s="123"/>
      <c r="F2576" s="167" t="s">
        <v>1896</v>
      </c>
      <c r="G2576" s="204" t="e">
        <f>VLOOKUP(G2573, 'Detail PL'!$B$14:$Q$799, 10)</f>
        <v>#N/A</v>
      </c>
      <c r="H2576" s="204" t="s">
        <v>1905</v>
      </c>
      <c r="I2576" s="204"/>
      <c r="J2576" s="204"/>
      <c r="K2576" s="123"/>
      <c r="L2576" s="123"/>
      <c r="M2576" s="123"/>
      <c r="N2576" s="126"/>
    </row>
    <row r="2577" spans="1:15" s="4" customFormat="1" ht="25.2">
      <c r="A2577" s="125" t="s">
        <v>1906</v>
      </c>
      <c r="B2577" s="123"/>
      <c r="C2577" s="123"/>
      <c r="D2577" s="123"/>
      <c r="E2577" s="123"/>
      <c r="F2577" s="167"/>
      <c r="G2577" s="167"/>
      <c r="H2577" s="167"/>
      <c r="I2577" s="123"/>
      <c r="J2577" s="123"/>
      <c r="K2577" s="123"/>
      <c r="L2577" s="123"/>
      <c r="M2577" s="123"/>
      <c r="N2577" s="126"/>
    </row>
    <row r="2578" spans="1:15" s="3" customFormat="1" ht="9.9" customHeight="1">
      <c r="A2578" s="125"/>
      <c r="B2578" s="123"/>
      <c r="C2578" s="123"/>
      <c r="D2578" s="123"/>
      <c r="E2578" s="123"/>
      <c r="F2578" s="167"/>
      <c r="G2578" s="167"/>
      <c r="H2578" s="167"/>
      <c r="I2578" s="123"/>
      <c r="J2578" s="123"/>
      <c r="K2578" s="123"/>
      <c r="L2578" s="123"/>
      <c r="M2578" s="123"/>
      <c r="N2578" s="126"/>
    </row>
    <row r="2579" spans="1:15" s="3" customFormat="1" ht="25.2">
      <c r="A2579" s="125" t="s">
        <v>1907</v>
      </c>
      <c r="B2579" s="123"/>
      <c r="C2579" s="123"/>
      <c r="D2579" s="123"/>
      <c r="E2579" s="123"/>
      <c r="F2579" s="167" t="s">
        <v>1896</v>
      </c>
      <c r="G2579" s="204" t="e">
        <f>VLOOKUP(G2573, 'Detail PL'!$B$14:$Q$799, 11)</f>
        <v>#N/A</v>
      </c>
      <c r="H2579" s="204" t="s">
        <v>1905</v>
      </c>
      <c r="I2579" s="204"/>
      <c r="J2579" s="204"/>
      <c r="K2579" s="123"/>
      <c r="L2579" s="123"/>
      <c r="M2579" s="123"/>
      <c r="N2579" s="126"/>
    </row>
    <row r="2580" spans="1:15" s="4" customFormat="1" ht="25.2">
      <c r="A2580" s="125" t="s">
        <v>1908</v>
      </c>
      <c r="B2580" s="123"/>
      <c r="C2580" s="123"/>
      <c r="D2580" s="123"/>
      <c r="E2580" s="123"/>
      <c r="F2580" s="167"/>
      <c r="G2580" s="167"/>
      <c r="H2580" s="123"/>
      <c r="I2580" s="123"/>
      <c r="J2580" s="123"/>
      <c r="K2580" s="123"/>
      <c r="L2580" s="123"/>
      <c r="M2580" s="123"/>
      <c r="N2580" s="126"/>
    </row>
    <row r="2581" spans="1:15" s="3" customFormat="1" ht="9.9" customHeight="1">
      <c r="A2581" s="125"/>
      <c r="B2581" s="123"/>
      <c r="C2581" s="123"/>
      <c r="D2581" s="123"/>
      <c r="E2581" s="123"/>
      <c r="F2581" s="167"/>
      <c r="G2581" s="167"/>
      <c r="H2581" s="123"/>
      <c r="I2581" s="123"/>
      <c r="J2581" s="123"/>
      <c r="K2581" s="123"/>
      <c r="L2581" s="123"/>
      <c r="M2581" s="123"/>
      <c r="N2581" s="126"/>
    </row>
    <row r="2582" spans="1:15" s="3" customFormat="1" ht="25.2">
      <c r="A2582" s="129" t="s">
        <v>1909</v>
      </c>
      <c r="B2582" s="123"/>
      <c r="C2582" s="123"/>
      <c r="D2582" s="123"/>
      <c r="E2582" s="123"/>
      <c r="F2582" s="167" t="s">
        <v>1896</v>
      </c>
      <c r="G2582" s="204" t="e">
        <f>VLOOKUP(G2573, 'Detail PL'!$B$14:$Q$799, 9)</f>
        <v>#N/A</v>
      </c>
      <c r="H2582" s="205" t="s">
        <v>1910</v>
      </c>
      <c r="I2582" s="203"/>
      <c r="J2582" s="203"/>
      <c r="K2582" s="172"/>
      <c r="L2582" s="123"/>
      <c r="M2582" s="123"/>
      <c r="N2582" s="126"/>
    </row>
    <row r="2583" spans="1:15" s="4" customFormat="1" ht="25.2">
      <c r="A2583" s="125" t="s">
        <v>1911</v>
      </c>
      <c r="B2583" s="123"/>
      <c r="C2583" s="123"/>
      <c r="D2583" s="123"/>
      <c r="E2583" s="123"/>
      <c r="F2583" s="167"/>
      <c r="G2583" s="167"/>
      <c r="H2583" s="123"/>
      <c r="I2583" s="123"/>
      <c r="J2583" s="123"/>
      <c r="K2583" s="123"/>
      <c r="L2583" s="123"/>
      <c r="M2583" s="123"/>
      <c r="N2583" s="126"/>
    </row>
    <row r="2584" spans="1:15" s="3" customFormat="1" ht="9.9" customHeight="1">
      <c r="A2584" s="125"/>
      <c r="B2584" s="123"/>
      <c r="C2584" s="123"/>
      <c r="D2584" s="123"/>
      <c r="E2584" s="123"/>
      <c r="F2584" s="167"/>
      <c r="G2584" s="167"/>
      <c r="H2584" s="123"/>
      <c r="I2584" s="123"/>
      <c r="J2584" s="123"/>
      <c r="K2584" s="123"/>
      <c r="L2584" s="123"/>
      <c r="M2584" s="123"/>
      <c r="N2584" s="126"/>
    </row>
    <row r="2585" spans="1:15" s="3" customFormat="1" ht="42" customHeight="1">
      <c r="A2585" s="125" t="s">
        <v>1912</v>
      </c>
      <c r="B2585" s="123"/>
      <c r="C2585" s="123"/>
      <c r="D2585" s="123"/>
      <c r="E2585" s="123"/>
      <c r="F2585" s="166" t="s">
        <v>1913</v>
      </c>
      <c r="G2585" s="595" t="s">
        <v>1914</v>
      </c>
      <c r="H2585" s="595"/>
      <c r="I2585" s="595"/>
      <c r="J2585" s="595"/>
      <c r="K2585" s="595"/>
      <c r="L2585" s="595"/>
      <c r="M2585" s="595"/>
      <c r="N2585" s="596"/>
    </row>
    <row r="2586" spans="1:15" s="4" customFormat="1" ht="25.8" thickBot="1">
      <c r="A2586" s="125" t="s">
        <v>1915</v>
      </c>
      <c r="B2586" s="123"/>
      <c r="C2586" s="123"/>
      <c r="D2586" s="123"/>
      <c r="E2586" s="123"/>
      <c r="F2586" s="167"/>
      <c r="G2586" s="167"/>
      <c r="H2586" s="123"/>
      <c r="I2586" s="123"/>
      <c r="J2586" s="123"/>
      <c r="K2586" s="123"/>
      <c r="L2586" s="123"/>
      <c r="M2586" s="123"/>
      <c r="N2586" s="126"/>
    </row>
    <row r="2587" spans="1:15" ht="21" customHeight="1">
      <c r="A2587" s="598" t="s">
        <v>1916</v>
      </c>
      <c r="B2587" s="599"/>
      <c r="C2587" s="599"/>
      <c r="D2587" s="599"/>
      <c r="E2587" s="599"/>
      <c r="F2587" s="599"/>
      <c r="G2587" s="599"/>
      <c r="H2587" s="599"/>
      <c r="I2587" s="599"/>
      <c r="J2587" s="599"/>
      <c r="K2587" s="599"/>
      <c r="L2587" s="599"/>
      <c r="M2587" s="599"/>
      <c r="N2587" s="600"/>
    </row>
    <row r="2588" spans="1:15" ht="25.5" customHeight="1" thickBot="1">
      <c r="A2588" s="601"/>
      <c r="B2588" s="602"/>
      <c r="C2588" s="602"/>
      <c r="D2588" s="602"/>
      <c r="E2588" s="602"/>
      <c r="F2588" s="602"/>
      <c r="G2588" s="602"/>
      <c r="H2588" s="602"/>
      <c r="I2588" s="602"/>
      <c r="J2588" s="602"/>
      <c r="K2588" s="602"/>
      <c r="L2588" s="602"/>
      <c r="M2588" s="602"/>
      <c r="N2588" s="603"/>
    </row>
    <row r="2589" spans="1:15" ht="25.5" customHeight="1">
      <c r="E2589" s="206"/>
      <c r="F2589" s="206"/>
      <c r="G2589" s="206"/>
      <c r="H2589" s="206"/>
      <c r="I2589" s="206"/>
      <c r="J2589" s="206"/>
      <c r="K2589" s="206"/>
    </row>
    <row r="2590" spans="1:15" ht="21.6" thickBot="1"/>
    <row r="2591" spans="1:15" ht="95.25" customHeight="1" thickBot="1">
      <c r="A2591" s="592" t="s">
        <v>1883</v>
      </c>
      <c r="B2591" s="593"/>
      <c r="C2591" s="593"/>
      <c r="D2591" s="593"/>
      <c r="E2591" s="593"/>
      <c r="F2591" s="593"/>
      <c r="G2591" s="593"/>
      <c r="H2591" s="593"/>
      <c r="I2591" s="593"/>
      <c r="J2591" s="593"/>
      <c r="K2591" s="593"/>
      <c r="L2591" s="593"/>
      <c r="M2591" s="593"/>
      <c r="N2591" s="594"/>
    </row>
    <row r="2592" spans="1:15" s="3" customFormat="1" ht="37.5" customHeight="1">
      <c r="A2592" s="134" t="s">
        <v>1884</v>
      </c>
      <c r="B2592" s="166"/>
      <c r="C2592" s="166"/>
      <c r="D2592" s="123"/>
      <c r="E2592" s="123"/>
      <c r="F2592" s="167" t="s">
        <v>1885</v>
      </c>
      <c r="G2592" s="167" t="s">
        <v>1886</v>
      </c>
      <c r="H2592" s="167"/>
      <c r="I2592" s="167"/>
      <c r="J2592" s="167"/>
      <c r="K2592" s="167"/>
      <c r="L2592" s="167"/>
      <c r="M2592" s="167"/>
      <c r="N2592" s="152"/>
      <c r="O2592" s="201"/>
    </row>
    <row r="2593" spans="1:14" s="4" customFormat="1" ht="25.2">
      <c r="A2593" s="125" t="s">
        <v>1887</v>
      </c>
      <c r="B2593" s="123"/>
      <c r="C2593" s="123"/>
      <c r="D2593" s="123"/>
      <c r="E2593" s="123"/>
      <c r="F2593" s="167"/>
      <c r="G2593" s="167" t="s">
        <v>1888</v>
      </c>
      <c r="H2593" s="167"/>
      <c r="I2593" s="167"/>
      <c r="J2593" s="167"/>
      <c r="K2593" s="167"/>
      <c r="L2593" s="167"/>
      <c r="M2593" s="167"/>
      <c r="N2593" s="152"/>
    </row>
    <row r="2594" spans="1:14" s="3" customFormat="1" ht="9.9" customHeight="1">
      <c r="A2594" s="125"/>
      <c r="B2594" s="123"/>
      <c r="C2594" s="123"/>
      <c r="D2594" s="123"/>
      <c r="E2594" s="123"/>
      <c r="F2594" s="167"/>
      <c r="G2594" s="123"/>
      <c r="H2594" s="123"/>
      <c r="I2594" s="123"/>
      <c r="J2594" s="123"/>
      <c r="K2594" s="123"/>
      <c r="L2594" s="123"/>
      <c r="M2594" s="123"/>
      <c r="N2594" s="126"/>
    </row>
    <row r="2595" spans="1:14" s="3" customFormat="1" ht="42.75" customHeight="1">
      <c r="A2595" s="125" t="s">
        <v>1889</v>
      </c>
      <c r="B2595" s="123"/>
      <c r="C2595" s="123"/>
      <c r="D2595" s="123"/>
      <c r="E2595" s="123"/>
      <c r="F2595" s="167" t="s">
        <v>1885</v>
      </c>
      <c r="G2595" s="167" t="str">
        <f>PL!$B$13</f>
        <v>Branch of JSC "Doosan Enerbility" in the Turkestan region</v>
      </c>
      <c r="H2595" s="123"/>
      <c r="I2595" s="123"/>
      <c r="J2595" s="123"/>
      <c r="K2595" s="123"/>
      <c r="L2595" s="123"/>
      <c r="M2595" s="123"/>
      <c r="N2595" s="126"/>
    </row>
    <row r="2596" spans="1:14" s="3" customFormat="1" ht="24" customHeight="1">
      <c r="A2596" s="125" t="s">
        <v>1890</v>
      </c>
      <c r="B2596" s="123"/>
      <c r="C2596" s="123"/>
      <c r="D2596" s="123"/>
      <c r="E2596" s="123"/>
      <c r="F2596" s="168"/>
      <c r="G2596" s="167" t="str">
        <f>PL!$B$14</f>
        <v>321 Tauke Khan Avenue, Turkestan region, Turkestan, Kazakhstan, 161200</v>
      </c>
      <c r="H2596" s="123"/>
      <c r="I2596" s="123"/>
      <c r="J2596" s="123"/>
      <c r="K2596" s="123"/>
      <c r="L2596" s="123"/>
      <c r="M2596" s="123"/>
      <c r="N2596" s="126"/>
    </row>
    <row r="2597" spans="1:14" s="4" customFormat="1" ht="25.2">
      <c r="A2597" s="125"/>
      <c r="B2597" s="123"/>
      <c r="C2597" s="123"/>
      <c r="D2597" s="123"/>
      <c r="E2597" s="123"/>
      <c r="F2597" s="168"/>
      <c r="G2597" s="167" t="str">
        <f>PL!$B$15</f>
        <v>BIN: 230741006561</v>
      </c>
      <c r="H2597" s="123"/>
      <c r="I2597" s="123"/>
      <c r="J2597" s="123"/>
      <c r="K2597" s="123"/>
      <c r="L2597" s="123"/>
      <c r="M2597" s="123"/>
      <c r="N2597" s="126"/>
    </row>
    <row r="2598" spans="1:14" s="3" customFormat="1" ht="9.9" customHeight="1">
      <c r="A2598" s="125"/>
      <c r="B2598" s="123"/>
      <c r="C2598" s="123"/>
      <c r="D2598" s="123"/>
      <c r="E2598" s="123"/>
      <c r="F2598" s="169"/>
      <c r="G2598" s="169"/>
      <c r="H2598" s="123"/>
      <c r="I2598" s="123"/>
      <c r="J2598" s="123"/>
      <c r="K2598" s="123"/>
      <c r="L2598" s="123"/>
      <c r="M2598" s="123"/>
      <c r="N2598" s="126"/>
    </row>
    <row r="2599" spans="1:14" s="3" customFormat="1" ht="25.2">
      <c r="A2599" s="125" t="s">
        <v>1891</v>
      </c>
      <c r="B2599" s="123"/>
      <c r="C2599" s="123"/>
      <c r="D2599" s="123"/>
      <c r="E2599" s="123"/>
      <c r="F2599" s="167" t="s">
        <v>1892</v>
      </c>
      <c r="G2599" s="123"/>
      <c r="H2599" s="123"/>
      <c r="I2599" s="123"/>
      <c r="J2599" s="123"/>
      <c r="K2599" s="123"/>
      <c r="L2599" s="123"/>
      <c r="M2599" s="123"/>
      <c r="N2599" s="126"/>
    </row>
    <row r="2600" spans="1:14" s="4" customFormat="1" ht="25.2">
      <c r="A2600" s="125" t="s">
        <v>1893</v>
      </c>
      <c r="B2600" s="123"/>
      <c r="C2600" s="123"/>
      <c r="D2600" s="123"/>
      <c r="E2600" s="123"/>
      <c r="F2600" s="167" t="s">
        <v>1894</v>
      </c>
      <c r="G2600" s="123"/>
      <c r="H2600" s="123"/>
      <c r="I2600" s="123"/>
      <c r="J2600" s="123"/>
      <c r="K2600" s="123"/>
      <c r="L2600" s="123"/>
      <c r="M2600" s="123"/>
      <c r="N2600" s="126"/>
    </row>
    <row r="2601" spans="1:14" s="3" customFormat="1" ht="9.9" customHeight="1">
      <c r="A2601" s="125"/>
      <c r="B2601" s="123"/>
      <c r="C2601" s="123"/>
      <c r="D2601" s="123"/>
      <c r="E2601" s="123"/>
      <c r="F2601" s="167"/>
      <c r="G2601" s="123"/>
      <c r="H2601" s="123"/>
      <c r="I2601" s="123"/>
      <c r="J2601" s="123"/>
      <c r="K2601" s="123"/>
      <c r="L2601" s="123"/>
      <c r="M2601" s="123"/>
      <c r="N2601" s="126"/>
    </row>
    <row r="2602" spans="1:14" s="3" customFormat="1" ht="25.2">
      <c r="A2602" s="125" t="s">
        <v>1895</v>
      </c>
      <c r="B2602" s="123"/>
      <c r="C2602" s="123"/>
      <c r="D2602" s="123"/>
      <c r="E2602" s="123"/>
      <c r="F2602" s="167" t="s">
        <v>1896</v>
      </c>
      <c r="G2602" s="167" t="str">
        <f>PL!$V$8</f>
        <v>PGU-DE-0139-001</v>
      </c>
      <c r="H2602" s="123"/>
      <c r="I2602" s="123"/>
      <c r="J2602" s="123"/>
      <c r="K2602" s="123"/>
      <c r="L2602" s="123"/>
      <c r="M2602" s="123"/>
      <c r="N2602" s="126"/>
    </row>
    <row r="2603" spans="1:14" s="3" customFormat="1" ht="25.2">
      <c r="A2603" s="125" t="s">
        <v>1897</v>
      </c>
      <c r="B2603" s="123"/>
      <c r="C2603" s="123"/>
      <c r="D2603" s="123"/>
      <c r="E2603" s="123"/>
      <c r="F2603" s="167"/>
      <c r="G2603" s="123"/>
      <c r="H2603" s="123"/>
      <c r="I2603" s="123"/>
      <c r="J2603" s="123"/>
      <c r="K2603" s="123"/>
      <c r="L2603" s="123"/>
      <c r="M2603" s="123"/>
      <c r="N2603" s="126"/>
    </row>
    <row r="2604" spans="1:14" s="3" customFormat="1" ht="9.9" customHeight="1">
      <c r="A2604" s="125"/>
      <c r="B2604" s="123"/>
      <c r="C2604" s="123"/>
      <c r="D2604" s="123"/>
      <c r="E2604" s="123"/>
      <c r="F2604" s="167"/>
      <c r="G2604" s="123"/>
      <c r="H2604" s="123"/>
      <c r="I2604" s="123"/>
      <c r="J2604" s="123"/>
      <c r="K2604" s="123"/>
      <c r="L2604" s="123"/>
      <c r="M2604" s="123"/>
      <c r="N2604" s="126"/>
    </row>
    <row r="2605" spans="1:14" s="3" customFormat="1" ht="31.2" customHeight="1">
      <c r="A2605" s="127" t="s">
        <v>1898</v>
      </c>
      <c r="B2605" s="170"/>
      <c r="C2605" s="170"/>
      <c r="D2605" s="170"/>
      <c r="E2605" s="170"/>
      <c r="F2605" s="171" t="s">
        <v>1885</v>
      </c>
      <c r="G2605" s="597" t="e">
        <f>VLOOKUP(G2608, 'Detail PL'!$B$14:$Q$799,2)</f>
        <v>#N/A</v>
      </c>
      <c r="H2605" s="597"/>
      <c r="I2605" s="597"/>
      <c r="J2605" s="597"/>
      <c r="K2605" s="597"/>
      <c r="L2605" s="597"/>
      <c r="M2605" s="597"/>
      <c r="N2605" s="128"/>
    </row>
    <row r="2606" spans="1:14" s="3" customFormat="1" ht="25.2">
      <c r="A2606" s="127" t="s">
        <v>1899</v>
      </c>
      <c r="B2606" s="170"/>
      <c r="C2606" s="170"/>
      <c r="D2606" s="170"/>
      <c r="E2606" s="170"/>
      <c r="F2606" s="171"/>
      <c r="G2606" s="170"/>
      <c r="H2606" s="170"/>
      <c r="I2606" s="170"/>
      <c r="J2606" s="170"/>
      <c r="K2606" s="170"/>
      <c r="L2606" s="170"/>
      <c r="M2606" s="170"/>
      <c r="N2606" s="128"/>
    </row>
    <row r="2607" spans="1:14" s="3" customFormat="1" ht="9.9" customHeight="1">
      <c r="A2607" s="125"/>
      <c r="B2607" s="123"/>
      <c r="C2607" s="123"/>
      <c r="D2607" s="123"/>
      <c r="E2607" s="123"/>
      <c r="F2607" s="167"/>
      <c r="G2607" s="123"/>
      <c r="H2607" s="123"/>
      <c r="I2607" s="123"/>
      <c r="J2607" s="123"/>
      <c r="K2607" s="123"/>
      <c r="L2607" s="123"/>
      <c r="M2607" s="123"/>
      <c r="N2607" s="126"/>
    </row>
    <row r="2608" spans="1:14" s="3" customFormat="1" ht="25.2">
      <c r="A2608" s="125" t="s">
        <v>1900</v>
      </c>
      <c r="B2608" s="123"/>
      <c r="C2608" s="123"/>
      <c r="D2608" s="123"/>
      <c r="E2608" s="123"/>
      <c r="F2608" s="171" t="s">
        <v>1901</v>
      </c>
      <c r="G2608" s="604">
        <f t="shared" ref="G2608" si="72">G2573+1</f>
        <v>75</v>
      </c>
      <c r="H2608" s="604"/>
      <c r="I2608" s="604"/>
      <c r="J2608" s="604"/>
      <c r="K2608" s="604"/>
      <c r="L2608" s="123"/>
      <c r="M2608" s="123"/>
      <c r="N2608" s="126"/>
    </row>
    <row r="2609" spans="1:14" s="4" customFormat="1" ht="25.2">
      <c r="A2609" s="125" t="s">
        <v>1903</v>
      </c>
      <c r="B2609" s="123"/>
      <c r="C2609" s="123"/>
      <c r="D2609" s="123"/>
      <c r="E2609" s="123"/>
      <c r="F2609" s="167"/>
      <c r="G2609" s="167"/>
      <c r="H2609" s="123"/>
      <c r="I2609" s="123"/>
      <c r="J2609" s="123"/>
      <c r="K2609" s="123"/>
      <c r="L2609" s="123"/>
      <c r="M2609" s="123"/>
      <c r="N2609" s="126"/>
    </row>
    <row r="2610" spans="1:14" s="3" customFormat="1" ht="9.9" customHeight="1">
      <c r="A2610" s="125"/>
      <c r="B2610" s="123"/>
      <c r="C2610" s="123"/>
      <c r="D2610" s="123"/>
      <c r="E2610" s="123"/>
      <c r="F2610" s="167"/>
      <c r="G2610" s="167"/>
      <c r="H2610" s="123"/>
      <c r="I2610" s="123"/>
      <c r="J2610" s="123"/>
      <c r="K2610" s="123"/>
      <c r="L2610" s="123"/>
      <c r="M2610" s="123"/>
      <c r="N2610" s="126"/>
    </row>
    <row r="2611" spans="1:14" s="3" customFormat="1" ht="25.2">
      <c r="A2611" s="125" t="s">
        <v>1904</v>
      </c>
      <c r="B2611" s="123"/>
      <c r="C2611" s="123"/>
      <c r="D2611" s="123"/>
      <c r="E2611" s="123"/>
      <c r="F2611" s="167" t="s">
        <v>1896</v>
      </c>
      <c r="G2611" s="204" t="e">
        <f>VLOOKUP(G2608, 'Detail PL'!$B$14:$Q$799, 10)</f>
        <v>#N/A</v>
      </c>
      <c r="H2611" s="204" t="s">
        <v>1905</v>
      </c>
      <c r="I2611" s="204"/>
      <c r="J2611" s="204"/>
      <c r="K2611" s="123"/>
      <c r="L2611" s="123"/>
      <c r="M2611" s="123"/>
      <c r="N2611" s="126"/>
    </row>
    <row r="2612" spans="1:14" s="4" customFormat="1" ht="25.2">
      <c r="A2612" s="125" t="s">
        <v>1906</v>
      </c>
      <c r="B2612" s="123"/>
      <c r="C2612" s="123"/>
      <c r="D2612" s="123"/>
      <c r="E2612" s="123"/>
      <c r="F2612" s="167"/>
      <c r="G2612" s="167"/>
      <c r="H2612" s="167"/>
      <c r="I2612" s="123"/>
      <c r="J2612" s="123"/>
      <c r="K2612" s="123"/>
      <c r="L2612" s="123"/>
      <c r="M2612" s="123"/>
      <c r="N2612" s="126"/>
    </row>
    <row r="2613" spans="1:14" s="3" customFormat="1" ht="9.9" customHeight="1">
      <c r="A2613" s="125"/>
      <c r="B2613" s="123"/>
      <c r="C2613" s="123"/>
      <c r="D2613" s="123"/>
      <c r="E2613" s="123"/>
      <c r="F2613" s="167"/>
      <c r="G2613" s="167"/>
      <c r="H2613" s="167"/>
      <c r="I2613" s="123"/>
      <c r="J2613" s="123"/>
      <c r="K2613" s="123"/>
      <c r="L2613" s="123"/>
      <c r="M2613" s="123"/>
      <c r="N2613" s="126"/>
    </row>
    <row r="2614" spans="1:14" s="3" customFormat="1" ht="25.2">
      <c r="A2614" s="125" t="s">
        <v>1907</v>
      </c>
      <c r="B2614" s="123"/>
      <c r="C2614" s="123"/>
      <c r="D2614" s="123"/>
      <c r="E2614" s="123"/>
      <c r="F2614" s="167" t="s">
        <v>1896</v>
      </c>
      <c r="G2614" s="204" t="e">
        <f>VLOOKUP(G2608, 'Detail PL'!$B$14:$Q$799, 11)</f>
        <v>#N/A</v>
      </c>
      <c r="H2614" s="204" t="s">
        <v>1905</v>
      </c>
      <c r="I2614" s="204"/>
      <c r="J2614" s="204"/>
      <c r="K2614" s="123"/>
      <c r="L2614" s="123"/>
      <c r="M2614" s="123"/>
      <c r="N2614" s="126"/>
    </row>
    <row r="2615" spans="1:14" s="4" customFormat="1" ht="25.2">
      <c r="A2615" s="125" t="s">
        <v>1908</v>
      </c>
      <c r="B2615" s="123"/>
      <c r="C2615" s="123"/>
      <c r="D2615" s="123"/>
      <c r="E2615" s="123"/>
      <c r="F2615" s="167"/>
      <c r="G2615" s="167"/>
      <c r="H2615" s="123"/>
      <c r="I2615" s="123"/>
      <c r="J2615" s="123"/>
      <c r="K2615" s="123"/>
      <c r="L2615" s="123"/>
      <c r="M2615" s="123"/>
      <c r="N2615" s="126"/>
    </row>
    <row r="2616" spans="1:14" s="3" customFormat="1" ht="9.9" customHeight="1">
      <c r="A2616" s="125"/>
      <c r="B2616" s="123"/>
      <c r="C2616" s="123"/>
      <c r="D2616" s="123"/>
      <c r="E2616" s="123"/>
      <c r="F2616" s="167"/>
      <c r="G2616" s="167"/>
      <c r="H2616" s="123"/>
      <c r="I2616" s="123"/>
      <c r="J2616" s="123"/>
      <c r="K2616" s="123"/>
      <c r="L2616" s="123"/>
      <c r="M2616" s="123"/>
      <c r="N2616" s="126"/>
    </row>
    <row r="2617" spans="1:14" s="3" customFormat="1" ht="25.2">
      <c r="A2617" s="129" t="s">
        <v>1909</v>
      </c>
      <c r="B2617" s="123"/>
      <c r="C2617" s="123"/>
      <c r="D2617" s="123"/>
      <c r="E2617" s="123"/>
      <c r="F2617" s="167" t="s">
        <v>1896</v>
      </c>
      <c r="G2617" s="204" t="e">
        <f>VLOOKUP(G2608, 'Detail PL'!$B$14:$Q$799, 9)</f>
        <v>#N/A</v>
      </c>
      <c r="H2617" s="205" t="s">
        <v>1910</v>
      </c>
      <c r="I2617" s="203"/>
      <c r="J2617" s="203"/>
      <c r="K2617" s="172"/>
      <c r="L2617" s="123"/>
      <c r="M2617" s="123"/>
      <c r="N2617" s="126"/>
    </row>
    <row r="2618" spans="1:14" s="4" customFormat="1" ht="25.2">
      <c r="A2618" s="125" t="s">
        <v>1911</v>
      </c>
      <c r="B2618" s="123"/>
      <c r="C2618" s="123"/>
      <c r="D2618" s="123"/>
      <c r="E2618" s="123"/>
      <c r="F2618" s="167"/>
      <c r="G2618" s="167"/>
      <c r="H2618" s="123"/>
      <c r="I2618" s="123"/>
      <c r="J2618" s="123"/>
      <c r="K2618" s="123"/>
      <c r="L2618" s="123"/>
      <c r="M2618" s="123"/>
      <c r="N2618" s="126"/>
    </row>
    <row r="2619" spans="1:14" s="3" customFormat="1" ht="9.9" customHeight="1">
      <c r="A2619" s="125"/>
      <c r="B2619" s="123"/>
      <c r="C2619" s="123"/>
      <c r="D2619" s="123"/>
      <c r="E2619" s="123"/>
      <c r="F2619" s="167"/>
      <c r="G2619" s="167"/>
      <c r="H2619" s="123"/>
      <c r="I2619" s="123"/>
      <c r="J2619" s="123"/>
      <c r="K2619" s="123"/>
      <c r="L2619" s="123"/>
      <c r="M2619" s="123"/>
      <c r="N2619" s="126"/>
    </row>
    <row r="2620" spans="1:14" s="3" customFormat="1" ht="42" customHeight="1">
      <c r="A2620" s="125" t="s">
        <v>1912</v>
      </c>
      <c r="B2620" s="123"/>
      <c r="C2620" s="123"/>
      <c r="D2620" s="123"/>
      <c r="E2620" s="123"/>
      <c r="F2620" s="166" t="s">
        <v>1913</v>
      </c>
      <c r="G2620" s="595" t="s">
        <v>1914</v>
      </c>
      <c r="H2620" s="595"/>
      <c r="I2620" s="595"/>
      <c r="J2620" s="595"/>
      <c r="K2620" s="595"/>
      <c r="L2620" s="595"/>
      <c r="M2620" s="595"/>
      <c r="N2620" s="596"/>
    </row>
    <row r="2621" spans="1:14" s="4" customFormat="1" ht="25.8" thickBot="1">
      <c r="A2621" s="125" t="s">
        <v>1915</v>
      </c>
      <c r="B2621" s="123"/>
      <c r="C2621" s="123"/>
      <c r="D2621" s="123"/>
      <c r="E2621" s="123"/>
      <c r="F2621" s="167"/>
      <c r="G2621" s="167"/>
      <c r="H2621" s="123"/>
      <c r="I2621" s="123"/>
      <c r="J2621" s="123"/>
      <c r="K2621" s="123"/>
      <c r="L2621" s="123"/>
      <c r="M2621" s="123"/>
      <c r="N2621" s="126"/>
    </row>
    <row r="2622" spans="1:14" ht="21" customHeight="1">
      <c r="A2622" s="598" t="s">
        <v>1916</v>
      </c>
      <c r="B2622" s="599"/>
      <c r="C2622" s="599"/>
      <c r="D2622" s="599"/>
      <c r="E2622" s="599"/>
      <c r="F2622" s="599"/>
      <c r="G2622" s="599"/>
      <c r="H2622" s="599"/>
      <c r="I2622" s="599"/>
      <c r="J2622" s="599"/>
      <c r="K2622" s="599"/>
      <c r="L2622" s="599"/>
      <c r="M2622" s="599"/>
      <c r="N2622" s="600"/>
    </row>
    <row r="2623" spans="1:14" ht="25.5" customHeight="1" thickBot="1">
      <c r="A2623" s="601"/>
      <c r="B2623" s="602"/>
      <c r="C2623" s="602"/>
      <c r="D2623" s="602"/>
      <c r="E2623" s="602"/>
      <c r="F2623" s="602"/>
      <c r="G2623" s="602"/>
      <c r="H2623" s="602"/>
      <c r="I2623" s="602"/>
      <c r="J2623" s="602"/>
      <c r="K2623" s="602"/>
      <c r="L2623" s="602"/>
      <c r="M2623" s="602"/>
      <c r="N2623" s="603"/>
    </row>
    <row r="2624" spans="1:14" ht="25.5" customHeight="1">
      <c r="E2624" s="206"/>
      <c r="F2624" s="206"/>
      <c r="G2624" s="206"/>
      <c r="H2624" s="206"/>
      <c r="I2624" s="206"/>
      <c r="J2624" s="206"/>
      <c r="K2624" s="206"/>
    </row>
    <row r="2625" spans="1:15" ht="21.6" thickBot="1"/>
    <row r="2626" spans="1:15" ht="95.25" customHeight="1" thickBot="1">
      <c r="A2626" s="592" t="s">
        <v>1883</v>
      </c>
      <c r="B2626" s="593"/>
      <c r="C2626" s="593"/>
      <c r="D2626" s="593"/>
      <c r="E2626" s="593"/>
      <c r="F2626" s="593"/>
      <c r="G2626" s="593"/>
      <c r="H2626" s="593"/>
      <c r="I2626" s="593"/>
      <c r="J2626" s="593"/>
      <c r="K2626" s="593"/>
      <c r="L2626" s="593"/>
      <c r="M2626" s="593"/>
      <c r="N2626" s="594"/>
    </row>
    <row r="2627" spans="1:15" s="3" customFormat="1" ht="37.5" customHeight="1">
      <c r="A2627" s="134" t="s">
        <v>1884</v>
      </c>
      <c r="B2627" s="166"/>
      <c r="C2627" s="166"/>
      <c r="D2627" s="123"/>
      <c r="E2627" s="123"/>
      <c r="F2627" s="167" t="s">
        <v>1885</v>
      </c>
      <c r="G2627" s="167" t="s">
        <v>1886</v>
      </c>
      <c r="H2627" s="167"/>
      <c r="I2627" s="167"/>
      <c r="J2627" s="167"/>
      <c r="K2627" s="167"/>
      <c r="L2627" s="167"/>
      <c r="M2627" s="167"/>
      <c r="N2627" s="152"/>
      <c r="O2627" s="201"/>
    </row>
    <row r="2628" spans="1:15" s="4" customFormat="1" ht="25.2">
      <c r="A2628" s="125" t="s">
        <v>1887</v>
      </c>
      <c r="B2628" s="123"/>
      <c r="C2628" s="123"/>
      <c r="D2628" s="123"/>
      <c r="E2628" s="123"/>
      <c r="F2628" s="167"/>
      <c r="G2628" s="167" t="s">
        <v>1888</v>
      </c>
      <c r="H2628" s="167"/>
      <c r="I2628" s="167"/>
      <c r="J2628" s="167"/>
      <c r="K2628" s="167"/>
      <c r="L2628" s="167"/>
      <c r="M2628" s="167"/>
      <c r="N2628" s="152"/>
    </row>
    <row r="2629" spans="1:15" s="3" customFormat="1" ht="9.9" customHeight="1">
      <c r="A2629" s="125"/>
      <c r="B2629" s="123"/>
      <c r="C2629" s="123"/>
      <c r="D2629" s="123"/>
      <c r="E2629" s="123"/>
      <c r="F2629" s="167"/>
      <c r="G2629" s="123"/>
      <c r="H2629" s="123"/>
      <c r="I2629" s="123"/>
      <c r="J2629" s="123"/>
      <c r="K2629" s="123"/>
      <c r="L2629" s="123"/>
      <c r="M2629" s="123"/>
      <c r="N2629" s="126"/>
    </row>
    <row r="2630" spans="1:15" s="3" customFormat="1" ht="42.75" customHeight="1">
      <c r="A2630" s="125" t="s">
        <v>1889</v>
      </c>
      <c r="B2630" s="123"/>
      <c r="C2630" s="123"/>
      <c r="D2630" s="123"/>
      <c r="E2630" s="123"/>
      <c r="F2630" s="167" t="s">
        <v>1885</v>
      </c>
      <c r="G2630" s="167" t="str">
        <f>PL!$B$13</f>
        <v>Branch of JSC "Doosan Enerbility" in the Turkestan region</v>
      </c>
      <c r="H2630" s="123"/>
      <c r="I2630" s="123"/>
      <c r="J2630" s="123"/>
      <c r="K2630" s="123"/>
      <c r="L2630" s="123"/>
      <c r="M2630" s="123"/>
      <c r="N2630" s="126"/>
    </row>
    <row r="2631" spans="1:15" s="3" customFormat="1" ht="24" customHeight="1">
      <c r="A2631" s="125" t="s">
        <v>1890</v>
      </c>
      <c r="B2631" s="123"/>
      <c r="C2631" s="123"/>
      <c r="D2631" s="123"/>
      <c r="E2631" s="123"/>
      <c r="F2631" s="168"/>
      <c r="G2631" s="167" t="str">
        <f>PL!$B$14</f>
        <v>321 Tauke Khan Avenue, Turkestan region, Turkestan, Kazakhstan, 161200</v>
      </c>
      <c r="H2631" s="123"/>
      <c r="I2631" s="123"/>
      <c r="J2631" s="123"/>
      <c r="K2631" s="123"/>
      <c r="L2631" s="123"/>
      <c r="M2631" s="123"/>
      <c r="N2631" s="126"/>
    </row>
    <row r="2632" spans="1:15" s="4" customFormat="1" ht="25.2">
      <c r="A2632" s="125"/>
      <c r="B2632" s="123"/>
      <c r="C2632" s="123"/>
      <c r="D2632" s="123"/>
      <c r="E2632" s="123"/>
      <c r="F2632" s="168"/>
      <c r="G2632" s="167" t="str">
        <f>PL!$B$15</f>
        <v>BIN: 230741006561</v>
      </c>
      <c r="H2632" s="123"/>
      <c r="I2632" s="123"/>
      <c r="J2632" s="123"/>
      <c r="K2632" s="123"/>
      <c r="L2632" s="123"/>
      <c r="M2632" s="123"/>
      <c r="N2632" s="126"/>
    </row>
    <row r="2633" spans="1:15" s="3" customFormat="1" ht="9.9" customHeight="1">
      <c r="A2633" s="125"/>
      <c r="B2633" s="123"/>
      <c r="C2633" s="123"/>
      <c r="D2633" s="123"/>
      <c r="E2633" s="123"/>
      <c r="F2633" s="169"/>
      <c r="G2633" s="169"/>
      <c r="H2633" s="123"/>
      <c r="I2633" s="123"/>
      <c r="J2633" s="123"/>
      <c r="K2633" s="123"/>
      <c r="L2633" s="123"/>
      <c r="M2633" s="123"/>
      <c r="N2633" s="126"/>
    </row>
    <row r="2634" spans="1:15" s="3" customFormat="1" ht="25.2">
      <c r="A2634" s="125" t="s">
        <v>1891</v>
      </c>
      <c r="B2634" s="123"/>
      <c r="C2634" s="123"/>
      <c r="D2634" s="123"/>
      <c r="E2634" s="123"/>
      <c r="F2634" s="167" t="s">
        <v>1892</v>
      </c>
      <c r="G2634" s="123"/>
      <c r="H2634" s="123"/>
      <c r="I2634" s="123"/>
      <c r="J2634" s="123"/>
      <c r="K2634" s="123"/>
      <c r="L2634" s="123"/>
      <c r="M2634" s="123"/>
      <c r="N2634" s="126"/>
    </row>
    <row r="2635" spans="1:15" s="4" customFormat="1" ht="25.2">
      <c r="A2635" s="125" t="s">
        <v>1893</v>
      </c>
      <c r="B2635" s="123"/>
      <c r="C2635" s="123"/>
      <c r="D2635" s="123"/>
      <c r="E2635" s="123"/>
      <c r="F2635" s="167" t="s">
        <v>1894</v>
      </c>
      <c r="G2635" s="123"/>
      <c r="H2635" s="123"/>
      <c r="I2635" s="123"/>
      <c r="J2635" s="123"/>
      <c r="K2635" s="123"/>
      <c r="L2635" s="123"/>
      <c r="M2635" s="123"/>
      <c r="N2635" s="126"/>
    </row>
    <row r="2636" spans="1:15" s="3" customFormat="1" ht="9.9" customHeight="1">
      <c r="A2636" s="125"/>
      <c r="B2636" s="123"/>
      <c r="C2636" s="123"/>
      <c r="D2636" s="123"/>
      <c r="E2636" s="123"/>
      <c r="F2636" s="167"/>
      <c r="G2636" s="123"/>
      <c r="H2636" s="123"/>
      <c r="I2636" s="123"/>
      <c r="J2636" s="123"/>
      <c r="K2636" s="123"/>
      <c r="L2636" s="123"/>
      <c r="M2636" s="123"/>
      <c r="N2636" s="126"/>
    </row>
    <row r="2637" spans="1:15" s="3" customFormat="1" ht="25.2">
      <c r="A2637" s="125" t="s">
        <v>1895</v>
      </c>
      <c r="B2637" s="123"/>
      <c r="C2637" s="123"/>
      <c r="D2637" s="123"/>
      <c r="E2637" s="123"/>
      <c r="F2637" s="167" t="s">
        <v>1896</v>
      </c>
      <c r="G2637" s="167" t="str">
        <f>PL!$V$8</f>
        <v>PGU-DE-0139-001</v>
      </c>
      <c r="H2637" s="123"/>
      <c r="I2637" s="123"/>
      <c r="J2637" s="123"/>
      <c r="K2637" s="123"/>
      <c r="L2637" s="123"/>
      <c r="M2637" s="123"/>
      <c r="N2637" s="126"/>
    </row>
    <row r="2638" spans="1:15" s="3" customFormat="1" ht="25.2">
      <c r="A2638" s="125" t="s">
        <v>1897</v>
      </c>
      <c r="B2638" s="123"/>
      <c r="C2638" s="123"/>
      <c r="D2638" s="123"/>
      <c r="E2638" s="123"/>
      <c r="F2638" s="167"/>
      <c r="G2638" s="123"/>
      <c r="H2638" s="123"/>
      <c r="I2638" s="123"/>
      <c r="J2638" s="123"/>
      <c r="K2638" s="123"/>
      <c r="L2638" s="123"/>
      <c r="M2638" s="123"/>
      <c r="N2638" s="126"/>
    </row>
    <row r="2639" spans="1:15" s="3" customFormat="1" ht="9.9" customHeight="1">
      <c r="A2639" s="125"/>
      <c r="B2639" s="123"/>
      <c r="C2639" s="123"/>
      <c r="D2639" s="123"/>
      <c r="E2639" s="123"/>
      <c r="F2639" s="167"/>
      <c r="G2639" s="123"/>
      <c r="H2639" s="123"/>
      <c r="I2639" s="123"/>
      <c r="J2639" s="123"/>
      <c r="K2639" s="123"/>
      <c r="L2639" s="123"/>
      <c r="M2639" s="123"/>
      <c r="N2639" s="126"/>
    </row>
    <row r="2640" spans="1:15" s="3" customFormat="1" ht="31.2" customHeight="1">
      <c r="A2640" s="127" t="s">
        <v>1898</v>
      </c>
      <c r="B2640" s="170"/>
      <c r="C2640" s="170"/>
      <c r="D2640" s="170"/>
      <c r="E2640" s="170"/>
      <c r="F2640" s="171" t="s">
        <v>1885</v>
      </c>
      <c r="G2640" s="597" t="e">
        <f>VLOOKUP(G2643, 'Detail PL'!$B$14:$Q$799,2)</f>
        <v>#N/A</v>
      </c>
      <c r="H2640" s="597"/>
      <c r="I2640" s="597"/>
      <c r="J2640" s="597"/>
      <c r="K2640" s="597"/>
      <c r="L2640" s="597"/>
      <c r="M2640" s="597"/>
      <c r="N2640" s="128"/>
    </row>
    <row r="2641" spans="1:14" s="3" customFormat="1" ht="25.2">
      <c r="A2641" s="127" t="s">
        <v>1899</v>
      </c>
      <c r="B2641" s="170"/>
      <c r="C2641" s="170"/>
      <c r="D2641" s="170"/>
      <c r="E2641" s="170"/>
      <c r="F2641" s="171"/>
      <c r="G2641" s="170"/>
      <c r="H2641" s="170"/>
      <c r="I2641" s="170"/>
      <c r="J2641" s="170"/>
      <c r="K2641" s="170"/>
      <c r="L2641" s="170"/>
      <c r="M2641" s="170"/>
      <c r="N2641" s="128"/>
    </row>
    <row r="2642" spans="1:14" s="3" customFormat="1" ht="9.9" customHeight="1">
      <c r="A2642" s="125"/>
      <c r="B2642" s="123"/>
      <c r="C2642" s="123"/>
      <c r="D2642" s="123"/>
      <c r="E2642" s="123"/>
      <c r="F2642" s="167"/>
      <c r="G2642" s="123"/>
      <c r="H2642" s="123"/>
      <c r="I2642" s="123"/>
      <c r="J2642" s="123"/>
      <c r="K2642" s="123"/>
      <c r="L2642" s="123"/>
      <c r="M2642" s="123"/>
      <c r="N2642" s="126"/>
    </row>
    <row r="2643" spans="1:14" s="3" customFormat="1" ht="25.2">
      <c r="A2643" s="125" t="s">
        <v>1900</v>
      </c>
      <c r="B2643" s="123"/>
      <c r="C2643" s="123"/>
      <c r="D2643" s="123"/>
      <c r="E2643" s="123"/>
      <c r="F2643" s="171" t="s">
        <v>1901</v>
      </c>
      <c r="G2643" s="604">
        <f t="shared" ref="G2643" si="73">G2608+1</f>
        <v>76</v>
      </c>
      <c r="H2643" s="604"/>
      <c r="I2643" s="604"/>
      <c r="J2643" s="604"/>
      <c r="K2643" s="604"/>
      <c r="L2643" s="123"/>
      <c r="M2643" s="123"/>
      <c r="N2643" s="126"/>
    </row>
    <row r="2644" spans="1:14" s="4" customFormat="1" ht="25.2">
      <c r="A2644" s="125" t="s">
        <v>1903</v>
      </c>
      <c r="B2644" s="123"/>
      <c r="C2644" s="123"/>
      <c r="D2644" s="123"/>
      <c r="E2644" s="123"/>
      <c r="F2644" s="167"/>
      <c r="G2644" s="167"/>
      <c r="H2644" s="123"/>
      <c r="I2644" s="123"/>
      <c r="J2644" s="123"/>
      <c r="K2644" s="123"/>
      <c r="L2644" s="123"/>
      <c r="M2644" s="123"/>
      <c r="N2644" s="126"/>
    </row>
    <row r="2645" spans="1:14" s="3" customFormat="1" ht="9.9" customHeight="1">
      <c r="A2645" s="125"/>
      <c r="B2645" s="123"/>
      <c r="C2645" s="123"/>
      <c r="D2645" s="123"/>
      <c r="E2645" s="123"/>
      <c r="F2645" s="167"/>
      <c r="G2645" s="167"/>
      <c r="H2645" s="123"/>
      <c r="I2645" s="123"/>
      <c r="J2645" s="123"/>
      <c r="K2645" s="123"/>
      <c r="L2645" s="123"/>
      <c r="M2645" s="123"/>
      <c r="N2645" s="126"/>
    </row>
    <row r="2646" spans="1:14" s="3" customFormat="1" ht="25.2">
      <c r="A2646" s="125" t="s">
        <v>1904</v>
      </c>
      <c r="B2646" s="123"/>
      <c r="C2646" s="123"/>
      <c r="D2646" s="123"/>
      <c r="E2646" s="123"/>
      <c r="F2646" s="167" t="s">
        <v>1896</v>
      </c>
      <c r="G2646" s="204" t="e">
        <f>VLOOKUP(G2643, 'Detail PL'!$B$14:$Q$799, 10)</f>
        <v>#N/A</v>
      </c>
      <c r="H2646" s="204" t="s">
        <v>1905</v>
      </c>
      <c r="I2646" s="204"/>
      <c r="J2646" s="204"/>
      <c r="K2646" s="123"/>
      <c r="L2646" s="123"/>
      <c r="M2646" s="123"/>
      <c r="N2646" s="126"/>
    </row>
    <row r="2647" spans="1:14" s="4" customFormat="1" ht="25.2">
      <c r="A2647" s="125" t="s">
        <v>1906</v>
      </c>
      <c r="B2647" s="123"/>
      <c r="C2647" s="123"/>
      <c r="D2647" s="123"/>
      <c r="E2647" s="123"/>
      <c r="F2647" s="167"/>
      <c r="G2647" s="167"/>
      <c r="H2647" s="167"/>
      <c r="I2647" s="123"/>
      <c r="J2647" s="123"/>
      <c r="K2647" s="123"/>
      <c r="L2647" s="123"/>
      <c r="M2647" s="123"/>
      <c r="N2647" s="126"/>
    </row>
    <row r="2648" spans="1:14" s="3" customFormat="1" ht="9.9" customHeight="1">
      <c r="A2648" s="125"/>
      <c r="B2648" s="123"/>
      <c r="C2648" s="123"/>
      <c r="D2648" s="123"/>
      <c r="E2648" s="123"/>
      <c r="F2648" s="167"/>
      <c r="G2648" s="167"/>
      <c r="H2648" s="167"/>
      <c r="I2648" s="123"/>
      <c r="J2648" s="123"/>
      <c r="K2648" s="123"/>
      <c r="L2648" s="123"/>
      <c r="M2648" s="123"/>
      <c r="N2648" s="126"/>
    </row>
    <row r="2649" spans="1:14" s="3" customFormat="1" ht="25.2">
      <c r="A2649" s="125" t="s">
        <v>1907</v>
      </c>
      <c r="B2649" s="123"/>
      <c r="C2649" s="123"/>
      <c r="D2649" s="123"/>
      <c r="E2649" s="123"/>
      <c r="F2649" s="167" t="s">
        <v>1896</v>
      </c>
      <c r="G2649" s="204" t="e">
        <f>VLOOKUP(G2643, 'Detail PL'!$B$14:$Q$799, 11)</f>
        <v>#N/A</v>
      </c>
      <c r="H2649" s="204" t="s">
        <v>1905</v>
      </c>
      <c r="I2649" s="204"/>
      <c r="J2649" s="204"/>
      <c r="K2649" s="123"/>
      <c r="L2649" s="123"/>
      <c r="M2649" s="123"/>
      <c r="N2649" s="126"/>
    </row>
    <row r="2650" spans="1:14" s="4" customFormat="1" ht="25.2">
      <c r="A2650" s="125" t="s">
        <v>1908</v>
      </c>
      <c r="B2650" s="123"/>
      <c r="C2650" s="123"/>
      <c r="D2650" s="123"/>
      <c r="E2650" s="123"/>
      <c r="F2650" s="167"/>
      <c r="G2650" s="167"/>
      <c r="H2650" s="123"/>
      <c r="I2650" s="123"/>
      <c r="J2650" s="123"/>
      <c r="K2650" s="123"/>
      <c r="L2650" s="123"/>
      <c r="M2650" s="123"/>
      <c r="N2650" s="126"/>
    </row>
    <row r="2651" spans="1:14" s="3" customFormat="1" ht="9.9" customHeight="1">
      <c r="A2651" s="125"/>
      <c r="B2651" s="123"/>
      <c r="C2651" s="123"/>
      <c r="D2651" s="123"/>
      <c r="E2651" s="123"/>
      <c r="F2651" s="167"/>
      <c r="G2651" s="167"/>
      <c r="H2651" s="123"/>
      <c r="I2651" s="123"/>
      <c r="J2651" s="123"/>
      <c r="K2651" s="123"/>
      <c r="L2651" s="123"/>
      <c r="M2651" s="123"/>
      <c r="N2651" s="126"/>
    </row>
    <row r="2652" spans="1:14" s="3" customFormat="1" ht="25.2">
      <c r="A2652" s="129" t="s">
        <v>1909</v>
      </c>
      <c r="B2652" s="123"/>
      <c r="C2652" s="123"/>
      <c r="D2652" s="123"/>
      <c r="E2652" s="123"/>
      <c r="F2652" s="167" t="s">
        <v>1896</v>
      </c>
      <c r="G2652" s="204" t="e">
        <f>VLOOKUP(G2643, 'Detail PL'!$B$14:$Q$799, 9)</f>
        <v>#N/A</v>
      </c>
      <c r="H2652" s="205" t="s">
        <v>1910</v>
      </c>
      <c r="I2652" s="203"/>
      <c r="J2652" s="203"/>
      <c r="K2652" s="172"/>
      <c r="L2652" s="123"/>
      <c r="M2652" s="123"/>
      <c r="N2652" s="126"/>
    </row>
    <row r="2653" spans="1:14" s="4" customFormat="1" ht="25.2">
      <c r="A2653" s="125" t="s">
        <v>1911</v>
      </c>
      <c r="B2653" s="123"/>
      <c r="C2653" s="123"/>
      <c r="D2653" s="123"/>
      <c r="E2653" s="123"/>
      <c r="F2653" s="167"/>
      <c r="G2653" s="167"/>
      <c r="H2653" s="123"/>
      <c r="I2653" s="123"/>
      <c r="J2653" s="123"/>
      <c r="K2653" s="123"/>
      <c r="L2653" s="123"/>
      <c r="M2653" s="123"/>
      <c r="N2653" s="126"/>
    </row>
    <row r="2654" spans="1:14" s="3" customFormat="1" ht="9.9" customHeight="1">
      <c r="A2654" s="125"/>
      <c r="B2654" s="123"/>
      <c r="C2654" s="123"/>
      <c r="D2654" s="123"/>
      <c r="E2654" s="123"/>
      <c r="F2654" s="167"/>
      <c r="G2654" s="167"/>
      <c r="H2654" s="123"/>
      <c r="I2654" s="123"/>
      <c r="J2654" s="123"/>
      <c r="K2654" s="123"/>
      <c r="L2654" s="123"/>
      <c r="M2654" s="123"/>
      <c r="N2654" s="126"/>
    </row>
    <row r="2655" spans="1:14" s="3" customFormat="1" ht="42" customHeight="1">
      <c r="A2655" s="125" t="s">
        <v>1912</v>
      </c>
      <c r="B2655" s="123"/>
      <c r="C2655" s="123"/>
      <c r="D2655" s="123"/>
      <c r="E2655" s="123"/>
      <c r="F2655" s="166" t="s">
        <v>1913</v>
      </c>
      <c r="G2655" s="595" t="s">
        <v>1914</v>
      </c>
      <c r="H2655" s="595"/>
      <c r="I2655" s="595"/>
      <c r="J2655" s="595"/>
      <c r="K2655" s="595"/>
      <c r="L2655" s="595"/>
      <c r="M2655" s="595"/>
      <c r="N2655" s="596"/>
    </row>
    <row r="2656" spans="1:14" s="4" customFormat="1" ht="25.8" thickBot="1">
      <c r="A2656" s="125" t="s">
        <v>1915</v>
      </c>
      <c r="B2656" s="123"/>
      <c r="C2656" s="123"/>
      <c r="D2656" s="123"/>
      <c r="E2656" s="123"/>
      <c r="F2656" s="167"/>
      <c r="G2656" s="167"/>
      <c r="H2656" s="123"/>
      <c r="I2656" s="123"/>
      <c r="J2656" s="123"/>
      <c r="K2656" s="123"/>
      <c r="L2656" s="123"/>
      <c r="M2656" s="123"/>
      <c r="N2656" s="126"/>
    </row>
    <row r="2657" spans="1:15" ht="21" customHeight="1">
      <c r="A2657" s="598" t="s">
        <v>1916</v>
      </c>
      <c r="B2657" s="599"/>
      <c r="C2657" s="599"/>
      <c r="D2657" s="599"/>
      <c r="E2657" s="599"/>
      <c r="F2657" s="599"/>
      <c r="G2657" s="599"/>
      <c r="H2657" s="599"/>
      <c r="I2657" s="599"/>
      <c r="J2657" s="599"/>
      <c r="K2657" s="599"/>
      <c r="L2657" s="599"/>
      <c r="M2657" s="599"/>
      <c r="N2657" s="600"/>
    </row>
    <row r="2658" spans="1:15" ht="25.5" customHeight="1" thickBot="1">
      <c r="A2658" s="601"/>
      <c r="B2658" s="602"/>
      <c r="C2658" s="602"/>
      <c r="D2658" s="602"/>
      <c r="E2658" s="602"/>
      <c r="F2658" s="602"/>
      <c r="G2658" s="602"/>
      <c r="H2658" s="602"/>
      <c r="I2658" s="602"/>
      <c r="J2658" s="602"/>
      <c r="K2658" s="602"/>
      <c r="L2658" s="602"/>
      <c r="M2658" s="602"/>
      <c r="N2658" s="603"/>
    </row>
    <row r="2659" spans="1:15" ht="25.5" customHeight="1">
      <c r="E2659" s="206"/>
      <c r="F2659" s="206"/>
      <c r="G2659" s="206"/>
      <c r="H2659" s="206"/>
      <c r="I2659" s="206"/>
      <c r="J2659" s="206"/>
      <c r="K2659" s="206"/>
    </row>
    <row r="2660" spans="1:15" ht="21.6" thickBot="1"/>
    <row r="2661" spans="1:15" ht="95.25" customHeight="1" thickBot="1">
      <c r="A2661" s="592" t="s">
        <v>1883</v>
      </c>
      <c r="B2661" s="593"/>
      <c r="C2661" s="593"/>
      <c r="D2661" s="593"/>
      <c r="E2661" s="593"/>
      <c r="F2661" s="593"/>
      <c r="G2661" s="593"/>
      <c r="H2661" s="593"/>
      <c r="I2661" s="593"/>
      <c r="J2661" s="593"/>
      <c r="K2661" s="593"/>
      <c r="L2661" s="593"/>
      <c r="M2661" s="593"/>
      <c r="N2661" s="594"/>
    </row>
    <row r="2662" spans="1:15" s="3" customFormat="1" ht="37.5" customHeight="1">
      <c r="A2662" s="134" t="s">
        <v>1884</v>
      </c>
      <c r="B2662" s="166"/>
      <c r="C2662" s="166"/>
      <c r="D2662" s="123"/>
      <c r="E2662" s="123"/>
      <c r="F2662" s="167" t="s">
        <v>1885</v>
      </c>
      <c r="G2662" s="167" t="s">
        <v>1886</v>
      </c>
      <c r="H2662" s="167"/>
      <c r="I2662" s="167"/>
      <c r="J2662" s="167"/>
      <c r="K2662" s="167"/>
      <c r="L2662" s="167"/>
      <c r="M2662" s="167"/>
      <c r="N2662" s="152"/>
      <c r="O2662" s="201"/>
    </row>
    <row r="2663" spans="1:15" s="4" customFormat="1" ht="25.2">
      <c r="A2663" s="125" t="s">
        <v>1887</v>
      </c>
      <c r="B2663" s="123"/>
      <c r="C2663" s="123"/>
      <c r="D2663" s="123"/>
      <c r="E2663" s="123"/>
      <c r="F2663" s="167"/>
      <c r="G2663" s="167" t="s">
        <v>1888</v>
      </c>
      <c r="H2663" s="167"/>
      <c r="I2663" s="167"/>
      <c r="J2663" s="167"/>
      <c r="K2663" s="167"/>
      <c r="L2663" s="167"/>
      <c r="M2663" s="167"/>
      <c r="N2663" s="152"/>
    </row>
    <row r="2664" spans="1:15" s="3" customFormat="1" ht="9.9" customHeight="1">
      <c r="A2664" s="125"/>
      <c r="B2664" s="123"/>
      <c r="C2664" s="123"/>
      <c r="D2664" s="123"/>
      <c r="E2664" s="123"/>
      <c r="F2664" s="167"/>
      <c r="G2664" s="123"/>
      <c r="H2664" s="123"/>
      <c r="I2664" s="123"/>
      <c r="J2664" s="123"/>
      <c r="K2664" s="123"/>
      <c r="L2664" s="123"/>
      <c r="M2664" s="123"/>
      <c r="N2664" s="126"/>
    </row>
    <row r="2665" spans="1:15" s="3" customFormat="1" ht="42.75" customHeight="1">
      <c r="A2665" s="125" t="s">
        <v>1889</v>
      </c>
      <c r="B2665" s="123"/>
      <c r="C2665" s="123"/>
      <c r="D2665" s="123"/>
      <c r="E2665" s="123"/>
      <c r="F2665" s="167" t="s">
        <v>1885</v>
      </c>
      <c r="G2665" s="167" t="str">
        <f>PL!$B$13</f>
        <v>Branch of JSC "Doosan Enerbility" in the Turkestan region</v>
      </c>
      <c r="H2665" s="123"/>
      <c r="I2665" s="123"/>
      <c r="J2665" s="123"/>
      <c r="K2665" s="123"/>
      <c r="L2665" s="123"/>
      <c r="M2665" s="123"/>
      <c r="N2665" s="126"/>
    </row>
    <row r="2666" spans="1:15" s="3" customFormat="1" ht="24" customHeight="1">
      <c r="A2666" s="125" t="s">
        <v>1890</v>
      </c>
      <c r="B2666" s="123"/>
      <c r="C2666" s="123"/>
      <c r="D2666" s="123"/>
      <c r="E2666" s="123"/>
      <c r="F2666" s="168"/>
      <c r="G2666" s="167" t="str">
        <f>PL!$B$14</f>
        <v>321 Tauke Khan Avenue, Turkestan region, Turkestan, Kazakhstan, 161200</v>
      </c>
      <c r="H2666" s="123"/>
      <c r="I2666" s="123"/>
      <c r="J2666" s="123"/>
      <c r="K2666" s="123"/>
      <c r="L2666" s="123"/>
      <c r="M2666" s="123"/>
      <c r="N2666" s="126"/>
    </row>
    <row r="2667" spans="1:15" s="4" customFormat="1" ht="25.2">
      <c r="A2667" s="125"/>
      <c r="B2667" s="123"/>
      <c r="C2667" s="123"/>
      <c r="D2667" s="123"/>
      <c r="E2667" s="123"/>
      <c r="F2667" s="168"/>
      <c r="G2667" s="167" t="str">
        <f>PL!$B$15</f>
        <v>BIN: 230741006561</v>
      </c>
      <c r="H2667" s="123"/>
      <c r="I2667" s="123"/>
      <c r="J2667" s="123"/>
      <c r="K2667" s="123"/>
      <c r="L2667" s="123"/>
      <c r="M2667" s="123"/>
      <c r="N2667" s="126"/>
    </row>
    <row r="2668" spans="1:15" s="3" customFormat="1" ht="9.9" customHeight="1">
      <c r="A2668" s="125"/>
      <c r="B2668" s="123"/>
      <c r="C2668" s="123"/>
      <c r="D2668" s="123"/>
      <c r="E2668" s="123"/>
      <c r="F2668" s="169"/>
      <c r="G2668" s="169"/>
      <c r="H2668" s="123"/>
      <c r="I2668" s="123"/>
      <c r="J2668" s="123"/>
      <c r="K2668" s="123"/>
      <c r="L2668" s="123"/>
      <c r="M2668" s="123"/>
      <c r="N2668" s="126"/>
    </row>
    <row r="2669" spans="1:15" s="3" customFormat="1" ht="25.2">
      <c r="A2669" s="125" t="s">
        <v>1891</v>
      </c>
      <c r="B2669" s="123"/>
      <c r="C2669" s="123"/>
      <c r="D2669" s="123"/>
      <c r="E2669" s="123"/>
      <c r="F2669" s="167" t="s">
        <v>1892</v>
      </c>
      <c r="G2669" s="123"/>
      <c r="H2669" s="123"/>
      <c r="I2669" s="123"/>
      <c r="J2669" s="123"/>
      <c r="K2669" s="123"/>
      <c r="L2669" s="123"/>
      <c r="M2669" s="123"/>
      <c r="N2669" s="126"/>
    </row>
    <row r="2670" spans="1:15" s="4" customFormat="1" ht="25.2">
      <c r="A2670" s="125" t="s">
        <v>1893</v>
      </c>
      <c r="B2670" s="123"/>
      <c r="C2670" s="123"/>
      <c r="D2670" s="123"/>
      <c r="E2670" s="123"/>
      <c r="F2670" s="167" t="s">
        <v>1894</v>
      </c>
      <c r="G2670" s="123"/>
      <c r="H2670" s="123"/>
      <c r="I2670" s="123"/>
      <c r="J2670" s="123"/>
      <c r="K2670" s="123"/>
      <c r="L2670" s="123"/>
      <c r="M2670" s="123"/>
      <c r="N2670" s="126"/>
    </row>
    <row r="2671" spans="1:15" s="3" customFormat="1" ht="9.9" customHeight="1">
      <c r="A2671" s="125"/>
      <c r="B2671" s="123"/>
      <c r="C2671" s="123"/>
      <c r="D2671" s="123"/>
      <c r="E2671" s="123"/>
      <c r="F2671" s="167"/>
      <c r="G2671" s="123"/>
      <c r="H2671" s="123"/>
      <c r="I2671" s="123"/>
      <c r="J2671" s="123"/>
      <c r="K2671" s="123"/>
      <c r="L2671" s="123"/>
      <c r="M2671" s="123"/>
      <c r="N2671" s="126"/>
    </row>
    <row r="2672" spans="1:15" s="3" customFormat="1" ht="25.2">
      <c r="A2672" s="125" t="s">
        <v>1895</v>
      </c>
      <c r="B2672" s="123"/>
      <c r="C2672" s="123"/>
      <c r="D2672" s="123"/>
      <c r="E2672" s="123"/>
      <c r="F2672" s="167" t="s">
        <v>1896</v>
      </c>
      <c r="G2672" s="167" t="str">
        <f>PL!$V$8</f>
        <v>PGU-DE-0139-001</v>
      </c>
      <c r="H2672" s="123"/>
      <c r="I2672" s="123"/>
      <c r="J2672" s="123"/>
      <c r="K2672" s="123"/>
      <c r="L2672" s="123"/>
      <c r="M2672" s="123"/>
      <c r="N2672" s="126"/>
    </row>
    <row r="2673" spans="1:14" s="3" customFormat="1" ht="25.2">
      <c r="A2673" s="125" t="s">
        <v>1897</v>
      </c>
      <c r="B2673" s="123"/>
      <c r="C2673" s="123"/>
      <c r="D2673" s="123"/>
      <c r="E2673" s="123"/>
      <c r="F2673" s="167"/>
      <c r="G2673" s="123"/>
      <c r="H2673" s="123"/>
      <c r="I2673" s="123"/>
      <c r="J2673" s="123"/>
      <c r="K2673" s="123"/>
      <c r="L2673" s="123"/>
      <c r="M2673" s="123"/>
      <c r="N2673" s="126"/>
    </row>
    <row r="2674" spans="1:14" s="3" customFormat="1" ht="9.9" customHeight="1">
      <c r="A2674" s="125"/>
      <c r="B2674" s="123"/>
      <c r="C2674" s="123"/>
      <c r="D2674" s="123"/>
      <c r="E2674" s="123"/>
      <c r="F2674" s="167"/>
      <c r="G2674" s="123"/>
      <c r="H2674" s="123"/>
      <c r="I2674" s="123"/>
      <c r="J2674" s="123"/>
      <c r="K2674" s="123"/>
      <c r="L2674" s="123"/>
      <c r="M2674" s="123"/>
      <c r="N2674" s="126"/>
    </row>
    <row r="2675" spans="1:14" s="3" customFormat="1" ht="31.2" customHeight="1">
      <c r="A2675" s="127" t="s">
        <v>1898</v>
      </c>
      <c r="B2675" s="170"/>
      <c r="C2675" s="170"/>
      <c r="D2675" s="170"/>
      <c r="E2675" s="170"/>
      <c r="F2675" s="171" t="s">
        <v>1885</v>
      </c>
      <c r="G2675" s="597" t="e">
        <f>VLOOKUP(G2678, 'Detail PL'!$B$14:$Q$799,2)</f>
        <v>#N/A</v>
      </c>
      <c r="H2675" s="597"/>
      <c r="I2675" s="597"/>
      <c r="J2675" s="597"/>
      <c r="K2675" s="597"/>
      <c r="L2675" s="597"/>
      <c r="M2675" s="597"/>
      <c r="N2675" s="128"/>
    </row>
    <row r="2676" spans="1:14" s="3" customFormat="1" ht="25.2">
      <c r="A2676" s="127" t="s">
        <v>1899</v>
      </c>
      <c r="B2676" s="170"/>
      <c r="C2676" s="170"/>
      <c r="D2676" s="170"/>
      <c r="E2676" s="170"/>
      <c r="F2676" s="171"/>
      <c r="G2676" s="170"/>
      <c r="H2676" s="170"/>
      <c r="I2676" s="170"/>
      <c r="J2676" s="170"/>
      <c r="K2676" s="170"/>
      <c r="L2676" s="170"/>
      <c r="M2676" s="170"/>
      <c r="N2676" s="128"/>
    </row>
    <row r="2677" spans="1:14" s="3" customFormat="1" ht="9.9" customHeight="1">
      <c r="A2677" s="125"/>
      <c r="B2677" s="123"/>
      <c r="C2677" s="123"/>
      <c r="D2677" s="123"/>
      <c r="E2677" s="123"/>
      <c r="F2677" s="167"/>
      <c r="G2677" s="123"/>
      <c r="H2677" s="123"/>
      <c r="I2677" s="123"/>
      <c r="J2677" s="123"/>
      <c r="K2677" s="123"/>
      <c r="L2677" s="123"/>
      <c r="M2677" s="123"/>
      <c r="N2677" s="126"/>
    </row>
    <row r="2678" spans="1:14" s="3" customFormat="1" ht="25.2">
      <c r="A2678" s="125" t="s">
        <v>1900</v>
      </c>
      <c r="B2678" s="123"/>
      <c r="C2678" s="123"/>
      <c r="D2678" s="123"/>
      <c r="E2678" s="123"/>
      <c r="F2678" s="171" t="s">
        <v>1901</v>
      </c>
      <c r="G2678" s="604">
        <f t="shared" ref="G2678" si="74">G2643+1</f>
        <v>77</v>
      </c>
      <c r="H2678" s="604"/>
      <c r="I2678" s="604"/>
      <c r="J2678" s="604"/>
      <c r="K2678" s="604"/>
      <c r="L2678" s="123"/>
      <c r="M2678" s="123"/>
      <c r="N2678" s="126"/>
    </row>
    <row r="2679" spans="1:14" s="4" customFormat="1" ht="25.2">
      <c r="A2679" s="125" t="s">
        <v>1903</v>
      </c>
      <c r="B2679" s="123"/>
      <c r="C2679" s="123"/>
      <c r="D2679" s="123"/>
      <c r="E2679" s="123"/>
      <c r="F2679" s="167"/>
      <c r="G2679" s="167"/>
      <c r="H2679" s="123"/>
      <c r="I2679" s="123"/>
      <c r="J2679" s="123"/>
      <c r="K2679" s="123"/>
      <c r="L2679" s="123"/>
      <c r="M2679" s="123"/>
      <c r="N2679" s="126"/>
    </row>
    <row r="2680" spans="1:14" s="3" customFormat="1" ht="9.9" customHeight="1">
      <c r="A2680" s="125"/>
      <c r="B2680" s="123"/>
      <c r="C2680" s="123"/>
      <c r="D2680" s="123"/>
      <c r="E2680" s="123"/>
      <c r="F2680" s="167"/>
      <c r="G2680" s="167"/>
      <c r="H2680" s="123"/>
      <c r="I2680" s="123"/>
      <c r="J2680" s="123"/>
      <c r="K2680" s="123"/>
      <c r="L2680" s="123"/>
      <c r="M2680" s="123"/>
      <c r="N2680" s="126"/>
    </row>
    <row r="2681" spans="1:14" s="3" customFormat="1" ht="25.2">
      <c r="A2681" s="125" t="s">
        <v>1904</v>
      </c>
      <c r="B2681" s="123"/>
      <c r="C2681" s="123"/>
      <c r="D2681" s="123"/>
      <c r="E2681" s="123"/>
      <c r="F2681" s="167" t="s">
        <v>1896</v>
      </c>
      <c r="G2681" s="204" t="e">
        <f>VLOOKUP(G2678, 'Detail PL'!$B$14:$Q$799, 10)</f>
        <v>#N/A</v>
      </c>
      <c r="H2681" s="204" t="s">
        <v>1905</v>
      </c>
      <c r="I2681" s="204"/>
      <c r="J2681" s="204"/>
      <c r="K2681" s="123"/>
      <c r="L2681" s="123"/>
      <c r="M2681" s="123"/>
      <c r="N2681" s="126"/>
    </row>
    <row r="2682" spans="1:14" s="4" customFormat="1" ht="25.2">
      <c r="A2682" s="125" t="s">
        <v>1906</v>
      </c>
      <c r="B2682" s="123"/>
      <c r="C2682" s="123"/>
      <c r="D2682" s="123"/>
      <c r="E2682" s="123"/>
      <c r="F2682" s="167"/>
      <c r="G2682" s="167"/>
      <c r="H2682" s="167"/>
      <c r="I2682" s="123"/>
      <c r="J2682" s="123"/>
      <c r="K2682" s="123"/>
      <c r="L2682" s="123"/>
      <c r="M2682" s="123"/>
      <c r="N2682" s="126"/>
    </row>
    <row r="2683" spans="1:14" s="3" customFormat="1" ht="9.9" customHeight="1">
      <c r="A2683" s="125"/>
      <c r="B2683" s="123"/>
      <c r="C2683" s="123"/>
      <c r="D2683" s="123"/>
      <c r="E2683" s="123"/>
      <c r="F2683" s="167"/>
      <c r="G2683" s="167"/>
      <c r="H2683" s="167"/>
      <c r="I2683" s="123"/>
      <c r="J2683" s="123"/>
      <c r="K2683" s="123"/>
      <c r="L2683" s="123"/>
      <c r="M2683" s="123"/>
      <c r="N2683" s="126"/>
    </row>
    <row r="2684" spans="1:14" s="3" customFormat="1" ht="25.2">
      <c r="A2684" s="125" t="s">
        <v>1907</v>
      </c>
      <c r="B2684" s="123"/>
      <c r="C2684" s="123"/>
      <c r="D2684" s="123"/>
      <c r="E2684" s="123"/>
      <c r="F2684" s="167" t="s">
        <v>1896</v>
      </c>
      <c r="G2684" s="204" t="e">
        <f>VLOOKUP(G2678, 'Detail PL'!$B$14:$Q$799, 11)</f>
        <v>#N/A</v>
      </c>
      <c r="H2684" s="204" t="s">
        <v>1905</v>
      </c>
      <c r="I2684" s="204"/>
      <c r="J2684" s="204"/>
      <c r="K2684" s="123"/>
      <c r="L2684" s="123"/>
      <c r="M2684" s="123"/>
      <c r="N2684" s="126"/>
    </row>
    <row r="2685" spans="1:14" s="4" customFormat="1" ht="25.2">
      <c r="A2685" s="125" t="s">
        <v>1908</v>
      </c>
      <c r="B2685" s="123"/>
      <c r="C2685" s="123"/>
      <c r="D2685" s="123"/>
      <c r="E2685" s="123"/>
      <c r="F2685" s="167"/>
      <c r="G2685" s="167"/>
      <c r="H2685" s="123"/>
      <c r="I2685" s="123"/>
      <c r="J2685" s="123"/>
      <c r="K2685" s="123"/>
      <c r="L2685" s="123"/>
      <c r="M2685" s="123"/>
      <c r="N2685" s="126"/>
    </row>
    <row r="2686" spans="1:14" s="3" customFormat="1" ht="9.9" customHeight="1">
      <c r="A2686" s="125"/>
      <c r="B2686" s="123"/>
      <c r="C2686" s="123"/>
      <c r="D2686" s="123"/>
      <c r="E2686" s="123"/>
      <c r="F2686" s="167"/>
      <c r="G2686" s="167"/>
      <c r="H2686" s="123"/>
      <c r="I2686" s="123"/>
      <c r="J2686" s="123"/>
      <c r="K2686" s="123"/>
      <c r="L2686" s="123"/>
      <c r="M2686" s="123"/>
      <c r="N2686" s="126"/>
    </row>
    <row r="2687" spans="1:14" s="3" customFormat="1" ht="25.2">
      <c r="A2687" s="129" t="s">
        <v>1909</v>
      </c>
      <c r="B2687" s="123"/>
      <c r="C2687" s="123"/>
      <c r="D2687" s="123"/>
      <c r="E2687" s="123"/>
      <c r="F2687" s="167" t="s">
        <v>1896</v>
      </c>
      <c r="G2687" s="204" t="e">
        <f>VLOOKUP(G2678, 'Detail PL'!$B$14:$Q$799, 9)</f>
        <v>#N/A</v>
      </c>
      <c r="H2687" s="205" t="s">
        <v>1910</v>
      </c>
      <c r="I2687" s="203"/>
      <c r="J2687" s="203"/>
      <c r="K2687" s="172"/>
      <c r="L2687" s="123"/>
      <c r="M2687" s="123"/>
      <c r="N2687" s="126"/>
    </row>
    <row r="2688" spans="1:14" s="4" customFormat="1" ht="25.2">
      <c r="A2688" s="125" t="s">
        <v>1911</v>
      </c>
      <c r="B2688" s="123"/>
      <c r="C2688" s="123"/>
      <c r="D2688" s="123"/>
      <c r="E2688" s="123"/>
      <c r="F2688" s="167"/>
      <c r="G2688" s="167"/>
      <c r="H2688" s="123"/>
      <c r="I2688" s="123"/>
      <c r="J2688" s="123"/>
      <c r="K2688" s="123"/>
      <c r="L2688" s="123"/>
      <c r="M2688" s="123"/>
      <c r="N2688" s="126"/>
    </row>
    <row r="2689" spans="1:15" s="3" customFormat="1" ht="9.9" customHeight="1">
      <c r="A2689" s="125"/>
      <c r="B2689" s="123"/>
      <c r="C2689" s="123"/>
      <c r="D2689" s="123"/>
      <c r="E2689" s="123"/>
      <c r="F2689" s="167"/>
      <c r="G2689" s="167"/>
      <c r="H2689" s="123"/>
      <c r="I2689" s="123"/>
      <c r="J2689" s="123"/>
      <c r="K2689" s="123"/>
      <c r="L2689" s="123"/>
      <c r="M2689" s="123"/>
      <c r="N2689" s="126"/>
    </row>
    <row r="2690" spans="1:15" s="3" customFormat="1" ht="42" customHeight="1">
      <c r="A2690" s="125" t="s">
        <v>1912</v>
      </c>
      <c r="B2690" s="123"/>
      <c r="C2690" s="123"/>
      <c r="D2690" s="123"/>
      <c r="E2690" s="123"/>
      <c r="F2690" s="166" t="s">
        <v>1913</v>
      </c>
      <c r="G2690" s="595" t="s">
        <v>1914</v>
      </c>
      <c r="H2690" s="595"/>
      <c r="I2690" s="595"/>
      <c r="J2690" s="595"/>
      <c r="K2690" s="595"/>
      <c r="L2690" s="595"/>
      <c r="M2690" s="595"/>
      <c r="N2690" s="596"/>
    </row>
    <row r="2691" spans="1:15" s="4" customFormat="1" ht="25.8" thickBot="1">
      <c r="A2691" s="125" t="s">
        <v>1915</v>
      </c>
      <c r="B2691" s="123"/>
      <c r="C2691" s="123"/>
      <c r="D2691" s="123"/>
      <c r="E2691" s="123"/>
      <c r="F2691" s="167"/>
      <c r="G2691" s="167"/>
      <c r="H2691" s="123"/>
      <c r="I2691" s="123"/>
      <c r="J2691" s="123"/>
      <c r="K2691" s="123"/>
      <c r="L2691" s="123"/>
      <c r="M2691" s="123"/>
      <c r="N2691" s="126"/>
    </row>
    <row r="2692" spans="1:15" ht="21" customHeight="1">
      <c r="A2692" s="598" t="s">
        <v>1916</v>
      </c>
      <c r="B2692" s="599"/>
      <c r="C2692" s="599"/>
      <c r="D2692" s="599"/>
      <c r="E2692" s="599"/>
      <c r="F2692" s="599"/>
      <c r="G2692" s="599"/>
      <c r="H2692" s="599"/>
      <c r="I2692" s="599"/>
      <c r="J2692" s="599"/>
      <c r="K2692" s="599"/>
      <c r="L2692" s="599"/>
      <c r="M2692" s="599"/>
      <c r="N2692" s="600"/>
    </row>
    <row r="2693" spans="1:15" ht="25.5" customHeight="1" thickBot="1">
      <c r="A2693" s="601"/>
      <c r="B2693" s="602"/>
      <c r="C2693" s="602"/>
      <c r="D2693" s="602"/>
      <c r="E2693" s="602"/>
      <c r="F2693" s="602"/>
      <c r="G2693" s="602"/>
      <c r="H2693" s="602"/>
      <c r="I2693" s="602"/>
      <c r="J2693" s="602"/>
      <c r="K2693" s="602"/>
      <c r="L2693" s="602"/>
      <c r="M2693" s="602"/>
      <c r="N2693" s="603"/>
    </row>
    <row r="2694" spans="1:15" ht="25.5" customHeight="1">
      <c r="E2694" s="206"/>
      <c r="F2694" s="206"/>
      <c r="G2694" s="206"/>
      <c r="H2694" s="206"/>
      <c r="I2694" s="206"/>
      <c r="J2694" s="206"/>
      <c r="K2694" s="206"/>
    </row>
    <row r="2695" spans="1:15" ht="21.6" thickBot="1"/>
    <row r="2696" spans="1:15" ht="95.25" customHeight="1" thickBot="1">
      <c r="A2696" s="592" t="s">
        <v>1883</v>
      </c>
      <c r="B2696" s="593"/>
      <c r="C2696" s="593"/>
      <c r="D2696" s="593"/>
      <c r="E2696" s="593"/>
      <c r="F2696" s="593"/>
      <c r="G2696" s="593"/>
      <c r="H2696" s="593"/>
      <c r="I2696" s="593"/>
      <c r="J2696" s="593"/>
      <c r="K2696" s="593"/>
      <c r="L2696" s="593"/>
      <c r="M2696" s="593"/>
      <c r="N2696" s="594"/>
    </row>
    <row r="2697" spans="1:15" s="3" customFormat="1" ht="37.5" customHeight="1">
      <c r="A2697" s="134" t="s">
        <v>1884</v>
      </c>
      <c r="B2697" s="166"/>
      <c r="C2697" s="166"/>
      <c r="D2697" s="123"/>
      <c r="E2697" s="123"/>
      <c r="F2697" s="167" t="s">
        <v>1885</v>
      </c>
      <c r="G2697" s="167" t="s">
        <v>1886</v>
      </c>
      <c r="H2697" s="167"/>
      <c r="I2697" s="167"/>
      <c r="J2697" s="167"/>
      <c r="K2697" s="167"/>
      <c r="L2697" s="167"/>
      <c r="M2697" s="167"/>
      <c r="N2697" s="152"/>
      <c r="O2697" s="201"/>
    </row>
    <row r="2698" spans="1:15" s="4" customFormat="1" ht="25.2">
      <c r="A2698" s="125" t="s">
        <v>1887</v>
      </c>
      <c r="B2698" s="123"/>
      <c r="C2698" s="123"/>
      <c r="D2698" s="123"/>
      <c r="E2698" s="123"/>
      <c r="F2698" s="167"/>
      <c r="G2698" s="167" t="s">
        <v>1888</v>
      </c>
      <c r="H2698" s="167"/>
      <c r="I2698" s="167"/>
      <c r="J2698" s="167"/>
      <c r="K2698" s="167"/>
      <c r="L2698" s="167"/>
      <c r="M2698" s="167"/>
      <c r="N2698" s="152"/>
    </row>
    <row r="2699" spans="1:15" s="3" customFormat="1" ht="9.9" customHeight="1">
      <c r="A2699" s="125"/>
      <c r="B2699" s="123"/>
      <c r="C2699" s="123"/>
      <c r="D2699" s="123"/>
      <c r="E2699" s="123"/>
      <c r="F2699" s="167"/>
      <c r="G2699" s="123"/>
      <c r="H2699" s="123"/>
      <c r="I2699" s="123"/>
      <c r="J2699" s="123"/>
      <c r="K2699" s="123"/>
      <c r="L2699" s="123"/>
      <c r="M2699" s="123"/>
      <c r="N2699" s="126"/>
    </row>
    <row r="2700" spans="1:15" s="3" customFormat="1" ht="42.75" customHeight="1">
      <c r="A2700" s="125" t="s">
        <v>1889</v>
      </c>
      <c r="B2700" s="123"/>
      <c r="C2700" s="123"/>
      <c r="D2700" s="123"/>
      <c r="E2700" s="123"/>
      <c r="F2700" s="167" t="s">
        <v>1885</v>
      </c>
      <c r="G2700" s="167" t="str">
        <f>PL!$B$13</f>
        <v>Branch of JSC "Doosan Enerbility" in the Turkestan region</v>
      </c>
      <c r="H2700" s="123"/>
      <c r="I2700" s="123"/>
      <c r="J2700" s="123"/>
      <c r="K2700" s="123"/>
      <c r="L2700" s="123"/>
      <c r="M2700" s="123"/>
      <c r="N2700" s="126"/>
    </row>
    <row r="2701" spans="1:15" s="3" customFormat="1" ht="24" customHeight="1">
      <c r="A2701" s="125" t="s">
        <v>1890</v>
      </c>
      <c r="B2701" s="123"/>
      <c r="C2701" s="123"/>
      <c r="D2701" s="123"/>
      <c r="E2701" s="123"/>
      <c r="F2701" s="168"/>
      <c r="G2701" s="167" t="str">
        <f>PL!$B$14</f>
        <v>321 Tauke Khan Avenue, Turkestan region, Turkestan, Kazakhstan, 161200</v>
      </c>
      <c r="H2701" s="123"/>
      <c r="I2701" s="123"/>
      <c r="J2701" s="123"/>
      <c r="K2701" s="123"/>
      <c r="L2701" s="123"/>
      <c r="M2701" s="123"/>
      <c r="N2701" s="126"/>
    </row>
    <row r="2702" spans="1:15" s="4" customFormat="1" ht="25.2">
      <c r="A2702" s="125"/>
      <c r="B2702" s="123"/>
      <c r="C2702" s="123"/>
      <c r="D2702" s="123"/>
      <c r="E2702" s="123"/>
      <c r="F2702" s="168"/>
      <c r="G2702" s="167" t="str">
        <f>PL!$B$15</f>
        <v>BIN: 230741006561</v>
      </c>
      <c r="H2702" s="123"/>
      <c r="I2702" s="123"/>
      <c r="J2702" s="123"/>
      <c r="K2702" s="123"/>
      <c r="L2702" s="123"/>
      <c r="M2702" s="123"/>
      <c r="N2702" s="126"/>
    </row>
    <row r="2703" spans="1:15" s="3" customFormat="1" ht="9.9" customHeight="1">
      <c r="A2703" s="125"/>
      <c r="B2703" s="123"/>
      <c r="C2703" s="123"/>
      <c r="D2703" s="123"/>
      <c r="E2703" s="123"/>
      <c r="F2703" s="169"/>
      <c r="G2703" s="169"/>
      <c r="H2703" s="123"/>
      <c r="I2703" s="123"/>
      <c r="J2703" s="123"/>
      <c r="K2703" s="123"/>
      <c r="L2703" s="123"/>
      <c r="M2703" s="123"/>
      <c r="N2703" s="126"/>
    </row>
    <row r="2704" spans="1:15" s="3" customFormat="1" ht="25.2">
      <c r="A2704" s="125" t="s">
        <v>1891</v>
      </c>
      <c r="B2704" s="123"/>
      <c r="C2704" s="123"/>
      <c r="D2704" s="123"/>
      <c r="E2704" s="123"/>
      <c r="F2704" s="167" t="s">
        <v>1892</v>
      </c>
      <c r="G2704" s="123"/>
      <c r="H2704" s="123"/>
      <c r="I2704" s="123"/>
      <c r="J2704" s="123"/>
      <c r="K2704" s="123"/>
      <c r="L2704" s="123"/>
      <c r="M2704" s="123"/>
      <c r="N2704" s="126"/>
    </row>
    <row r="2705" spans="1:14" s="4" customFormat="1" ht="25.2">
      <c r="A2705" s="125" t="s">
        <v>1893</v>
      </c>
      <c r="B2705" s="123"/>
      <c r="C2705" s="123"/>
      <c r="D2705" s="123"/>
      <c r="E2705" s="123"/>
      <c r="F2705" s="167" t="s">
        <v>1894</v>
      </c>
      <c r="G2705" s="123"/>
      <c r="H2705" s="123"/>
      <c r="I2705" s="123"/>
      <c r="J2705" s="123"/>
      <c r="K2705" s="123"/>
      <c r="L2705" s="123"/>
      <c r="M2705" s="123"/>
      <c r="N2705" s="126"/>
    </row>
    <row r="2706" spans="1:14" s="3" customFormat="1" ht="9.9" customHeight="1">
      <c r="A2706" s="125"/>
      <c r="B2706" s="123"/>
      <c r="C2706" s="123"/>
      <c r="D2706" s="123"/>
      <c r="E2706" s="123"/>
      <c r="F2706" s="167"/>
      <c r="G2706" s="123"/>
      <c r="H2706" s="123"/>
      <c r="I2706" s="123"/>
      <c r="J2706" s="123"/>
      <c r="K2706" s="123"/>
      <c r="L2706" s="123"/>
      <c r="M2706" s="123"/>
      <c r="N2706" s="126"/>
    </row>
    <row r="2707" spans="1:14" s="3" customFormat="1" ht="25.2">
      <c r="A2707" s="125" t="s">
        <v>1895</v>
      </c>
      <c r="B2707" s="123"/>
      <c r="C2707" s="123"/>
      <c r="D2707" s="123"/>
      <c r="E2707" s="123"/>
      <c r="F2707" s="167" t="s">
        <v>1896</v>
      </c>
      <c r="G2707" s="167" t="str">
        <f>PL!$V$8</f>
        <v>PGU-DE-0139-001</v>
      </c>
      <c r="H2707" s="123"/>
      <c r="I2707" s="123"/>
      <c r="J2707" s="123"/>
      <c r="K2707" s="123"/>
      <c r="L2707" s="123"/>
      <c r="M2707" s="123"/>
      <c r="N2707" s="126"/>
    </row>
    <row r="2708" spans="1:14" s="3" customFormat="1" ht="25.2">
      <c r="A2708" s="125" t="s">
        <v>1897</v>
      </c>
      <c r="B2708" s="123"/>
      <c r="C2708" s="123"/>
      <c r="D2708" s="123"/>
      <c r="E2708" s="123"/>
      <c r="F2708" s="167"/>
      <c r="G2708" s="123"/>
      <c r="H2708" s="123"/>
      <c r="I2708" s="123"/>
      <c r="J2708" s="123"/>
      <c r="K2708" s="123"/>
      <c r="L2708" s="123"/>
      <c r="M2708" s="123"/>
      <c r="N2708" s="126"/>
    </row>
    <row r="2709" spans="1:14" s="3" customFormat="1" ht="9.9" customHeight="1">
      <c r="A2709" s="125"/>
      <c r="B2709" s="123"/>
      <c r="C2709" s="123"/>
      <c r="D2709" s="123"/>
      <c r="E2709" s="123"/>
      <c r="F2709" s="167"/>
      <c r="G2709" s="123"/>
      <c r="H2709" s="123"/>
      <c r="I2709" s="123"/>
      <c r="J2709" s="123"/>
      <c r="K2709" s="123"/>
      <c r="L2709" s="123"/>
      <c r="M2709" s="123"/>
      <c r="N2709" s="126"/>
    </row>
    <row r="2710" spans="1:14" s="3" customFormat="1" ht="31.2" customHeight="1">
      <c r="A2710" s="127" t="s">
        <v>1898</v>
      </c>
      <c r="B2710" s="170"/>
      <c r="C2710" s="170"/>
      <c r="D2710" s="170"/>
      <c r="E2710" s="170"/>
      <c r="F2710" s="171" t="s">
        <v>1885</v>
      </c>
      <c r="G2710" s="597" t="e">
        <f>VLOOKUP(G2713, 'Detail PL'!$B$14:$Q$799,2)</f>
        <v>#N/A</v>
      </c>
      <c r="H2710" s="597"/>
      <c r="I2710" s="597"/>
      <c r="J2710" s="597"/>
      <c r="K2710" s="597"/>
      <c r="L2710" s="597"/>
      <c r="M2710" s="597"/>
      <c r="N2710" s="128"/>
    </row>
    <row r="2711" spans="1:14" s="3" customFormat="1" ht="25.2">
      <c r="A2711" s="127" t="s">
        <v>1899</v>
      </c>
      <c r="B2711" s="170"/>
      <c r="C2711" s="170"/>
      <c r="D2711" s="170"/>
      <c r="E2711" s="170"/>
      <c r="F2711" s="171"/>
      <c r="G2711" s="170"/>
      <c r="H2711" s="170"/>
      <c r="I2711" s="170"/>
      <c r="J2711" s="170"/>
      <c r="K2711" s="170"/>
      <c r="L2711" s="170"/>
      <c r="M2711" s="170"/>
      <c r="N2711" s="128"/>
    </row>
    <row r="2712" spans="1:14" s="3" customFormat="1" ht="9.9" customHeight="1">
      <c r="A2712" s="125"/>
      <c r="B2712" s="123"/>
      <c r="C2712" s="123"/>
      <c r="D2712" s="123"/>
      <c r="E2712" s="123"/>
      <c r="F2712" s="167"/>
      <c r="G2712" s="123"/>
      <c r="H2712" s="123"/>
      <c r="I2712" s="123"/>
      <c r="J2712" s="123"/>
      <c r="K2712" s="123"/>
      <c r="L2712" s="123"/>
      <c r="M2712" s="123"/>
      <c r="N2712" s="126"/>
    </row>
    <row r="2713" spans="1:14" s="3" customFormat="1" ht="25.2">
      <c r="A2713" s="125" t="s">
        <v>1900</v>
      </c>
      <c r="B2713" s="123"/>
      <c r="C2713" s="123"/>
      <c r="D2713" s="123"/>
      <c r="E2713" s="123"/>
      <c r="F2713" s="171" t="s">
        <v>1901</v>
      </c>
      <c r="G2713" s="604">
        <f t="shared" ref="G2713" si="75">G2678+1</f>
        <v>78</v>
      </c>
      <c r="H2713" s="604"/>
      <c r="I2713" s="604"/>
      <c r="J2713" s="604"/>
      <c r="K2713" s="604"/>
      <c r="L2713" s="123"/>
      <c r="M2713" s="123"/>
      <c r="N2713" s="126"/>
    </row>
    <row r="2714" spans="1:14" s="4" customFormat="1" ht="25.2">
      <c r="A2714" s="125" t="s">
        <v>1903</v>
      </c>
      <c r="B2714" s="123"/>
      <c r="C2714" s="123"/>
      <c r="D2714" s="123"/>
      <c r="E2714" s="123"/>
      <c r="F2714" s="167"/>
      <c r="G2714" s="167"/>
      <c r="H2714" s="123"/>
      <c r="I2714" s="123"/>
      <c r="J2714" s="123"/>
      <c r="K2714" s="123"/>
      <c r="L2714" s="123"/>
      <c r="M2714" s="123"/>
      <c r="N2714" s="126"/>
    </row>
    <row r="2715" spans="1:14" s="3" customFormat="1" ht="9.9" customHeight="1">
      <c r="A2715" s="125"/>
      <c r="B2715" s="123"/>
      <c r="C2715" s="123"/>
      <c r="D2715" s="123"/>
      <c r="E2715" s="123"/>
      <c r="F2715" s="167"/>
      <c r="G2715" s="167"/>
      <c r="H2715" s="123"/>
      <c r="I2715" s="123"/>
      <c r="J2715" s="123"/>
      <c r="K2715" s="123"/>
      <c r="L2715" s="123"/>
      <c r="M2715" s="123"/>
      <c r="N2715" s="126"/>
    </row>
    <row r="2716" spans="1:14" s="3" customFormat="1" ht="25.2">
      <c r="A2716" s="125" t="s">
        <v>1904</v>
      </c>
      <c r="B2716" s="123"/>
      <c r="C2716" s="123"/>
      <c r="D2716" s="123"/>
      <c r="E2716" s="123"/>
      <c r="F2716" s="167" t="s">
        <v>1896</v>
      </c>
      <c r="G2716" s="204" t="e">
        <f>VLOOKUP(G2713, 'Detail PL'!$B$14:$Q$799, 10)</f>
        <v>#N/A</v>
      </c>
      <c r="H2716" s="204" t="s">
        <v>1905</v>
      </c>
      <c r="I2716" s="204"/>
      <c r="J2716" s="204"/>
      <c r="K2716" s="123"/>
      <c r="L2716" s="123"/>
      <c r="M2716" s="123"/>
      <c r="N2716" s="126"/>
    </row>
    <row r="2717" spans="1:14" s="4" customFormat="1" ht="25.2">
      <c r="A2717" s="125" t="s">
        <v>1906</v>
      </c>
      <c r="B2717" s="123"/>
      <c r="C2717" s="123"/>
      <c r="D2717" s="123"/>
      <c r="E2717" s="123"/>
      <c r="F2717" s="167"/>
      <c r="G2717" s="167"/>
      <c r="H2717" s="167"/>
      <c r="I2717" s="123"/>
      <c r="J2717" s="123"/>
      <c r="K2717" s="123"/>
      <c r="L2717" s="123"/>
      <c r="M2717" s="123"/>
      <c r="N2717" s="126"/>
    </row>
    <row r="2718" spans="1:14" s="3" customFormat="1" ht="9.9" customHeight="1">
      <c r="A2718" s="125"/>
      <c r="B2718" s="123"/>
      <c r="C2718" s="123"/>
      <c r="D2718" s="123"/>
      <c r="E2718" s="123"/>
      <c r="F2718" s="167"/>
      <c r="G2718" s="167"/>
      <c r="H2718" s="167"/>
      <c r="I2718" s="123"/>
      <c r="J2718" s="123"/>
      <c r="K2718" s="123"/>
      <c r="L2718" s="123"/>
      <c r="M2718" s="123"/>
      <c r="N2718" s="126"/>
    </row>
    <row r="2719" spans="1:14" s="3" customFormat="1" ht="25.2">
      <c r="A2719" s="125" t="s">
        <v>1907</v>
      </c>
      <c r="B2719" s="123"/>
      <c r="C2719" s="123"/>
      <c r="D2719" s="123"/>
      <c r="E2719" s="123"/>
      <c r="F2719" s="167" t="s">
        <v>1896</v>
      </c>
      <c r="G2719" s="204" t="e">
        <f>VLOOKUP(G2713, 'Detail PL'!$B$14:$Q$799, 11)</f>
        <v>#N/A</v>
      </c>
      <c r="H2719" s="204" t="s">
        <v>1905</v>
      </c>
      <c r="I2719" s="204"/>
      <c r="J2719" s="204"/>
      <c r="K2719" s="123"/>
      <c r="L2719" s="123"/>
      <c r="M2719" s="123"/>
      <c r="N2719" s="126"/>
    </row>
    <row r="2720" spans="1:14" s="4" customFormat="1" ht="25.2">
      <c r="A2720" s="125" t="s">
        <v>1908</v>
      </c>
      <c r="B2720" s="123"/>
      <c r="C2720" s="123"/>
      <c r="D2720" s="123"/>
      <c r="E2720" s="123"/>
      <c r="F2720" s="167"/>
      <c r="G2720" s="167"/>
      <c r="H2720" s="123"/>
      <c r="I2720" s="123"/>
      <c r="J2720" s="123"/>
      <c r="K2720" s="123"/>
      <c r="L2720" s="123"/>
      <c r="M2720" s="123"/>
      <c r="N2720" s="126"/>
    </row>
    <row r="2721" spans="1:15" s="3" customFormat="1" ht="9.9" customHeight="1">
      <c r="A2721" s="125"/>
      <c r="B2721" s="123"/>
      <c r="C2721" s="123"/>
      <c r="D2721" s="123"/>
      <c r="E2721" s="123"/>
      <c r="F2721" s="167"/>
      <c r="G2721" s="167"/>
      <c r="H2721" s="123"/>
      <c r="I2721" s="123"/>
      <c r="J2721" s="123"/>
      <c r="K2721" s="123"/>
      <c r="L2721" s="123"/>
      <c r="M2721" s="123"/>
      <c r="N2721" s="126"/>
    </row>
    <row r="2722" spans="1:15" s="3" customFormat="1" ht="25.2">
      <c r="A2722" s="129" t="s">
        <v>1909</v>
      </c>
      <c r="B2722" s="123"/>
      <c r="C2722" s="123"/>
      <c r="D2722" s="123"/>
      <c r="E2722" s="123"/>
      <c r="F2722" s="167" t="s">
        <v>1896</v>
      </c>
      <c r="G2722" s="204" t="e">
        <f>VLOOKUP(G2713, 'Detail PL'!$B$14:$Q$799, 9)</f>
        <v>#N/A</v>
      </c>
      <c r="H2722" s="205" t="s">
        <v>1910</v>
      </c>
      <c r="I2722" s="203"/>
      <c r="J2722" s="203"/>
      <c r="K2722" s="172"/>
      <c r="L2722" s="123"/>
      <c r="M2722" s="123"/>
      <c r="N2722" s="126"/>
    </row>
    <row r="2723" spans="1:15" s="4" customFormat="1" ht="25.2">
      <c r="A2723" s="125" t="s">
        <v>1911</v>
      </c>
      <c r="B2723" s="123"/>
      <c r="C2723" s="123"/>
      <c r="D2723" s="123"/>
      <c r="E2723" s="123"/>
      <c r="F2723" s="167"/>
      <c r="G2723" s="167"/>
      <c r="H2723" s="123"/>
      <c r="I2723" s="123"/>
      <c r="J2723" s="123"/>
      <c r="K2723" s="123"/>
      <c r="L2723" s="123"/>
      <c r="M2723" s="123"/>
      <c r="N2723" s="126"/>
    </row>
    <row r="2724" spans="1:15" s="3" customFormat="1" ht="9.9" customHeight="1">
      <c r="A2724" s="125"/>
      <c r="B2724" s="123"/>
      <c r="C2724" s="123"/>
      <c r="D2724" s="123"/>
      <c r="E2724" s="123"/>
      <c r="F2724" s="167"/>
      <c r="G2724" s="167"/>
      <c r="H2724" s="123"/>
      <c r="I2724" s="123"/>
      <c r="J2724" s="123"/>
      <c r="K2724" s="123"/>
      <c r="L2724" s="123"/>
      <c r="M2724" s="123"/>
      <c r="N2724" s="126"/>
    </row>
    <row r="2725" spans="1:15" s="3" customFormat="1" ht="42" customHeight="1">
      <c r="A2725" s="125" t="s">
        <v>1912</v>
      </c>
      <c r="B2725" s="123"/>
      <c r="C2725" s="123"/>
      <c r="D2725" s="123"/>
      <c r="E2725" s="123"/>
      <c r="F2725" s="166" t="s">
        <v>1913</v>
      </c>
      <c r="G2725" s="595" t="s">
        <v>1914</v>
      </c>
      <c r="H2725" s="595"/>
      <c r="I2725" s="595"/>
      <c r="J2725" s="595"/>
      <c r="K2725" s="595"/>
      <c r="L2725" s="595"/>
      <c r="M2725" s="595"/>
      <c r="N2725" s="596"/>
    </row>
    <row r="2726" spans="1:15" s="4" customFormat="1" ht="25.8" thickBot="1">
      <c r="A2726" s="125" t="s">
        <v>1915</v>
      </c>
      <c r="B2726" s="123"/>
      <c r="C2726" s="123"/>
      <c r="D2726" s="123"/>
      <c r="E2726" s="123"/>
      <c r="F2726" s="167"/>
      <c r="G2726" s="167"/>
      <c r="H2726" s="123"/>
      <c r="I2726" s="123"/>
      <c r="J2726" s="123"/>
      <c r="K2726" s="123"/>
      <c r="L2726" s="123"/>
      <c r="M2726" s="123"/>
      <c r="N2726" s="126"/>
    </row>
    <row r="2727" spans="1:15" ht="21" customHeight="1">
      <c r="A2727" s="598" t="s">
        <v>1916</v>
      </c>
      <c r="B2727" s="599"/>
      <c r="C2727" s="599"/>
      <c r="D2727" s="599"/>
      <c r="E2727" s="599"/>
      <c r="F2727" s="599"/>
      <c r="G2727" s="599"/>
      <c r="H2727" s="599"/>
      <c r="I2727" s="599"/>
      <c r="J2727" s="599"/>
      <c r="K2727" s="599"/>
      <c r="L2727" s="599"/>
      <c r="M2727" s="599"/>
      <c r="N2727" s="600"/>
    </row>
    <row r="2728" spans="1:15" ht="25.5" customHeight="1" thickBot="1">
      <c r="A2728" s="601"/>
      <c r="B2728" s="602"/>
      <c r="C2728" s="602"/>
      <c r="D2728" s="602"/>
      <c r="E2728" s="602"/>
      <c r="F2728" s="602"/>
      <c r="G2728" s="602"/>
      <c r="H2728" s="602"/>
      <c r="I2728" s="602"/>
      <c r="J2728" s="602"/>
      <c r="K2728" s="602"/>
      <c r="L2728" s="602"/>
      <c r="M2728" s="602"/>
      <c r="N2728" s="603"/>
    </row>
    <row r="2729" spans="1:15" ht="25.5" customHeight="1">
      <c r="E2729" s="206"/>
      <c r="F2729" s="206"/>
      <c r="G2729" s="206"/>
      <c r="H2729" s="206"/>
      <c r="I2729" s="206"/>
      <c r="J2729" s="206"/>
      <c r="K2729" s="206"/>
    </row>
    <row r="2730" spans="1:15" ht="21.6" thickBot="1"/>
    <row r="2731" spans="1:15" ht="95.25" customHeight="1" thickBot="1">
      <c r="A2731" s="592" t="s">
        <v>1883</v>
      </c>
      <c r="B2731" s="593"/>
      <c r="C2731" s="593"/>
      <c r="D2731" s="593"/>
      <c r="E2731" s="593"/>
      <c r="F2731" s="593"/>
      <c r="G2731" s="593"/>
      <c r="H2731" s="593"/>
      <c r="I2731" s="593"/>
      <c r="J2731" s="593"/>
      <c r="K2731" s="593"/>
      <c r="L2731" s="593"/>
      <c r="M2731" s="593"/>
      <c r="N2731" s="594"/>
    </row>
    <row r="2732" spans="1:15" s="3" customFormat="1" ht="37.5" customHeight="1">
      <c r="A2732" s="134" t="s">
        <v>1884</v>
      </c>
      <c r="B2732" s="166"/>
      <c r="C2732" s="166"/>
      <c r="D2732" s="123"/>
      <c r="E2732" s="123"/>
      <c r="F2732" s="167" t="s">
        <v>1885</v>
      </c>
      <c r="G2732" s="167" t="s">
        <v>1886</v>
      </c>
      <c r="H2732" s="167"/>
      <c r="I2732" s="167"/>
      <c r="J2732" s="167"/>
      <c r="K2732" s="167"/>
      <c r="L2732" s="167"/>
      <c r="M2732" s="167"/>
      <c r="N2732" s="152"/>
      <c r="O2732" s="201"/>
    </row>
    <row r="2733" spans="1:15" s="4" customFormat="1" ht="25.2">
      <c r="A2733" s="125" t="s">
        <v>1887</v>
      </c>
      <c r="B2733" s="123"/>
      <c r="C2733" s="123"/>
      <c r="D2733" s="123"/>
      <c r="E2733" s="123"/>
      <c r="F2733" s="167"/>
      <c r="G2733" s="167" t="s">
        <v>1888</v>
      </c>
      <c r="H2733" s="167"/>
      <c r="I2733" s="167"/>
      <c r="J2733" s="167"/>
      <c r="K2733" s="167"/>
      <c r="L2733" s="167"/>
      <c r="M2733" s="167"/>
      <c r="N2733" s="152"/>
    </row>
    <row r="2734" spans="1:15" s="3" customFormat="1" ht="9.9" customHeight="1">
      <c r="A2734" s="125"/>
      <c r="B2734" s="123"/>
      <c r="C2734" s="123"/>
      <c r="D2734" s="123"/>
      <c r="E2734" s="123"/>
      <c r="F2734" s="167"/>
      <c r="G2734" s="123"/>
      <c r="H2734" s="123"/>
      <c r="I2734" s="123"/>
      <c r="J2734" s="123"/>
      <c r="K2734" s="123"/>
      <c r="L2734" s="123"/>
      <c r="M2734" s="123"/>
      <c r="N2734" s="126"/>
    </row>
    <row r="2735" spans="1:15" s="3" customFormat="1" ht="42.75" customHeight="1">
      <c r="A2735" s="125" t="s">
        <v>1889</v>
      </c>
      <c r="B2735" s="123"/>
      <c r="C2735" s="123"/>
      <c r="D2735" s="123"/>
      <c r="E2735" s="123"/>
      <c r="F2735" s="167" t="s">
        <v>1885</v>
      </c>
      <c r="G2735" s="167" t="str">
        <f>PL!$B$13</f>
        <v>Branch of JSC "Doosan Enerbility" in the Turkestan region</v>
      </c>
      <c r="H2735" s="123"/>
      <c r="I2735" s="123"/>
      <c r="J2735" s="123"/>
      <c r="K2735" s="123"/>
      <c r="L2735" s="123"/>
      <c r="M2735" s="123"/>
      <c r="N2735" s="126"/>
    </row>
    <row r="2736" spans="1:15" s="3" customFormat="1" ht="24" customHeight="1">
      <c r="A2736" s="125" t="s">
        <v>1890</v>
      </c>
      <c r="B2736" s="123"/>
      <c r="C2736" s="123"/>
      <c r="D2736" s="123"/>
      <c r="E2736" s="123"/>
      <c r="F2736" s="168"/>
      <c r="G2736" s="167" t="str">
        <f>PL!$B$14</f>
        <v>321 Tauke Khan Avenue, Turkestan region, Turkestan, Kazakhstan, 161200</v>
      </c>
      <c r="H2736" s="123"/>
      <c r="I2736" s="123"/>
      <c r="J2736" s="123"/>
      <c r="K2736" s="123"/>
      <c r="L2736" s="123"/>
      <c r="M2736" s="123"/>
      <c r="N2736" s="126"/>
    </row>
    <row r="2737" spans="1:14" s="4" customFormat="1" ht="25.2">
      <c r="A2737" s="125"/>
      <c r="B2737" s="123"/>
      <c r="C2737" s="123"/>
      <c r="D2737" s="123"/>
      <c r="E2737" s="123"/>
      <c r="F2737" s="168"/>
      <c r="G2737" s="167" t="str">
        <f>PL!$B$15</f>
        <v>BIN: 230741006561</v>
      </c>
      <c r="H2737" s="123"/>
      <c r="I2737" s="123"/>
      <c r="J2737" s="123"/>
      <c r="K2737" s="123"/>
      <c r="L2737" s="123"/>
      <c r="M2737" s="123"/>
      <c r="N2737" s="126"/>
    </row>
    <row r="2738" spans="1:14" s="3" customFormat="1" ht="9.9" customHeight="1">
      <c r="A2738" s="125"/>
      <c r="B2738" s="123"/>
      <c r="C2738" s="123"/>
      <c r="D2738" s="123"/>
      <c r="E2738" s="123"/>
      <c r="F2738" s="169"/>
      <c r="G2738" s="169"/>
      <c r="H2738" s="123"/>
      <c r="I2738" s="123"/>
      <c r="J2738" s="123"/>
      <c r="K2738" s="123"/>
      <c r="L2738" s="123"/>
      <c r="M2738" s="123"/>
      <c r="N2738" s="126"/>
    </row>
    <row r="2739" spans="1:14" s="3" customFormat="1" ht="25.2">
      <c r="A2739" s="125" t="s">
        <v>1891</v>
      </c>
      <c r="B2739" s="123"/>
      <c r="C2739" s="123"/>
      <c r="D2739" s="123"/>
      <c r="E2739" s="123"/>
      <c r="F2739" s="167" t="s">
        <v>1892</v>
      </c>
      <c r="G2739" s="123"/>
      <c r="H2739" s="123"/>
      <c r="I2739" s="123"/>
      <c r="J2739" s="123"/>
      <c r="K2739" s="123"/>
      <c r="L2739" s="123"/>
      <c r="M2739" s="123"/>
      <c r="N2739" s="126"/>
    </row>
    <row r="2740" spans="1:14" s="4" customFormat="1" ht="25.2">
      <c r="A2740" s="125" t="s">
        <v>1893</v>
      </c>
      <c r="B2740" s="123"/>
      <c r="C2740" s="123"/>
      <c r="D2740" s="123"/>
      <c r="E2740" s="123"/>
      <c r="F2740" s="167" t="s">
        <v>1894</v>
      </c>
      <c r="G2740" s="123"/>
      <c r="H2740" s="123"/>
      <c r="I2740" s="123"/>
      <c r="J2740" s="123"/>
      <c r="K2740" s="123"/>
      <c r="L2740" s="123"/>
      <c r="M2740" s="123"/>
      <c r="N2740" s="126"/>
    </row>
    <row r="2741" spans="1:14" s="3" customFormat="1" ht="9.9" customHeight="1">
      <c r="A2741" s="125"/>
      <c r="B2741" s="123"/>
      <c r="C2741" s="123"/>
      <c r="D2741" s="123"/>
      <c r="E2741" s="123"/>
      <c r="F2741" s="167"/>
      <c r="G2741" s="123"/>
      <c r="H2741" s="123"/>
      <c r="I2741" s="123"/>
      <c r="J2741" s="123"/>
      <c r="K2741" s="123"/>
      <c r="L2741" s="123"/>
      <c r="M2741" s="123"/>
      <c r="N2741" s="126"/>
    </row>
    <row r="2742" spans="1:14" s="3" customFormat="1" ht="25.2">
      <c r="A2742" s="125" t="s">
        <v>1895</v>
      </c>
      <c r="B2742" s="123"/>
      <c r="C2742" s="123"/>
      <c r="D2742" s="123"/>
      <c r="E2742" s="123"/>
      <c r="F2742" s="167" t="s">
        <v>1896</v>
      </c>
      <c r="G2742" s="167" t="str">
        <f>PL!$V$8</f>
        <v>PGU-DE-0139-001</v>
      </c>
      <c r="H2742" s="123"/>
      <c r="I2742" s="123"/>
      <c r="J2742" s="123"/>
      <c r="K2742" s="123"/>
      <c r="L2742" s="123"/>
      <c r="M2742" s="123"/>
      <c r="N2742" s="126"/>
    </row>
    <row r="2743" spans="1:14" s="3" customFormat="1" ht="25.2">
      <c r="A2743" s="125" t="s">
        <v>1897</v>
      </c>
      <c r="B2743" s="123"/>
      <c r="C2743" s="123"/>
      <c r="D2743" s="123"/>
      <c r="E2743" s="123"/>
      <c r="F2743" s="167"/>
      <c r="G2743" s="123"/>
      <c r="H2743" s="123"/>
      <c r="I2743" s="123"/>
      <c r="J2743" s="123"/>
      <c r="K2743" s="123"/>
      <c r="L2743" s="123"/>
      <c r="M2743" s="123"/>
      <c r="N2743" s="126"/>
    </row>
    <row r="2744" spans="1:14" s="3" customFormat="1" ht="9.9" customHeight="1">
      <c r="A2744" s="125"/>
      <c r="B2744" s="123"/>
      <c r="C2744" s="123"/>
      <c r="D2744" s="123"/>
      <c r="E2744" s="123"/>
      <c r="F2744" s="167"/>
      <c r="G2744" s="123"/>
      <c r="H2744" s="123"/>
      <c r="I2744" s="123"/>
      <c r="J2744" s="123"/>
      <c r="K2744" s="123"/>
      <c r="L2744" s="123"/>
      <c r="M2744" s="123"/>
      <c r="N2744" s="126"/>
    </row>
    <row r="2745" spans="1:14" s="3" customFormat="1" ht="31.2" customHeight="1">
      <c r="A2745" s="127" t="s">
        <v>1898</v>
      </c>
      <c r="B2745" s="170"/>
      <c r="C2745" s="170"/>
      <c r="D2745" s="170"/>
      <c r="E2745" s="170"/>
      <c r="F2745" s="171" t="s">
        <v>1885</v>
      </c>
      <c r="G2745" s="597" t="e">
        <f>VLOOKUP(G2748, 'Detail PL'!$B$14:$Q$799,2)</f>
        <v>#N/A</v>
      </c>
      <c r="H2745" s="597"/>
      <c r="I2745" s="597"/>
      <c r="J2745" s="597"/>
      <c r="K2745" s="597"/>
      <c r="L2745" s="597"/>
      <c r="M2745" s="597"/>
      <c r="N2745" s="128"/>
    </row>
    <row r="2746" spans="1:14" s="3" customFormat="1" ht="25.2">
      <c r="A2746" s="127" t="s">
        <v>1899</v>
      </c>
      <c r="B2746" s="170"/>
      <c r="C2746" s="170"/>
      <c r="D2746" s="170"/>
      <c r="E2746" s="170"/>
      <c r="F2746" s="171"/>
      <c r="G2746" s="170"/>
      <c r="H2746" s="170"/>
      <c r="I2746" s="170"/>
      <c r="J2746" s="170"/>
      <c r="K2746" s="170"/>
      <c r="L2746" s="170"/>
      <c r="M2746" s="170"/>
      <c r="N2746" s="128"/>
    </row>
    <row r="2747" spans="1:14" s="3" customFormat="1" ht="9.9" customHeight="1">
      <c r="A2747" s="125"/>
      <c r="B2747" s="123"/>
      <c r="C2747" s="123"/>
      <c r="D2747" s="123"/>
      <c r="E2747" s="123"/>
      <c r="F2747" s="167"/>
      <c r="G2747" s="123"/>
      <c r="H2747" s="123"/>
      <c r="I2747" s="123"/>
      <c r="J2747" s="123"/>
      <c r="K2747" s="123"/>
      <c r="L2747" s="123"/>
      <c r="M2747" s="123"/>
      <c r="N2747" s="126"/>
    </row>
    <row r="2748" spans="1:14" s="3" customFormat="1" ht="25.2">
      <c r="A2748" s="125" t="s">
        <v>1900</v>
      </c>
      <c r="B2748" s="123"/>
      <c r="C2748" s="123"/>
      <c r="D2748" s="123"/>
      <c r="E2748" s="123"/>
      <c r="F2748" s="171" t="s">
        <v>1901</v>
      </c>
      <c r="G2748" s="604">
        <f t="shared" ref="G2748" si="76">G2713+1</f>
        <v>79</v>
      </c>
      <c r="H2748" s="604"/>
      <c r="I2748" s="604"/>
      <c r="J2748" s="604"/>
      <c r="K2748" s="604"/>
      <c r="L2748" s="123"/>
      <c r="M2748" s="123"/>
      <c r="N2748" s="126"/>
    </row>
    <row r="2749" spans="1:14" s="4" customFormat="1" ht="25.2">
      <c r="A2749" s="125" t="s">
        <v>1903</v>
      </c>
      <c r="B2749" s="123"/>
      <c r="C2749" s="123"/>
      <c r="D2749" s="123"/>
      <c r="E2749" s="123"/>
      <c r="F2749" s="167"/>
      <c r="G2749" s="167"/>
      <c r="H2749" s="123"/>
      <c r="I2749" s="123"/>
      <c r="J2749" s="123"/>
      <c r="K2749" s="123"/>
      <c r="L2749" s="123"/>
      <c r="M2749" s="123"/>
      <c r="N2749" s="126"/>
    </row>
    <row r="2750" spans="1:14" s="3" customFormat="1" ht="9.9" customHeight="1">
      <c r="A2750" s="125"/>
      <c r="B2750" s="123"/>
      <c r="C2750" s="123"/>
      <c r="D2750" s="123"/>
      <c r="E2750" s="123"/>
      <c r="F2750" s="167"/>
      <c r="G2750" s="167"/>
      <c r="H2750" s="123"/>
      <c r="I2750" s="123"/>
      <c r="J2750" s="123"/>
      <c r="K2750" s="123"/>
      <c r="L2750" s="123"/>
      <c r="M2750" s="123"/>
      <c r="N2750" s="126"/>
    </row>
    <row r="2751" spans="1:14" s="3" customFormat="1" ht="25.2">
      <c r="A2751" s="125" t="s">
        <v>1904</v>
      </c>
      <c r="B2751" s="123"/>
      <c r="C2751" s="123"/>
      <c r="D2751" s="123"/>
      <c r="E2751" s="123"/>
      <c r="F2751" s="167" t="s">
        <v>1896</v>
      </c>
      <c r="G2751" s="204" t="e">
        <f>VLOOKUP(G2748, 'Detail PL'!$B$14:$Q$799, 10)</f>
        <v>#N/A</v>
      </c>
      <c r="H2751" s="204" t="s">
        <v>1905</v>
      </c>
      <c r="I2751" s="204"/>
      <c r="J2751" s="204"/>
      <c r="K2751" s="123"/>
      <c r="L2751" s="123"/>
      <c r="M2751" s="123"/>
      <c r="N2751" s="126"/>
    </row>
    <row r="2752" spans="1:14" s="4" customFormat="1" ht="25.2">
      <c r="A2752" s="125" t="s">
        <v>1906</v>
      </c>
      <c r="B2752" s="123"/>
      <c r="C2752" s="123"/>
      <c r="D2752" s="123"/>
      <c r="E2752" s="123"/>
      <c r="F2752" s="167"/>
      <c r="G2752" s="167"/>
      <c r="H2752" s="167"/>
      <c r="I2752" s="123"/>
      <c r="J2752" s="123"/>
      <c r="K2752" s="123"/>
      <c r="L2752" s="123"/>
      <c r="M2752" s="123"/>
      <c r="N2752" s="126"/>
    </row>
    <row r="2753" spans="1:15" s="3" customFormat="1" ht="9.9" customHeight="1">
      <c r="A2753" s="125"/>
      <c r="B2753" s="123"/>
      <c r="C2753" s="123"/>
      <c r="D2753" s="123"/>
      <c r="E2753" s="123"/>
      <c r="F2753" s="167"/>
      <c r="G2753" s="167"/>
      <c r="H2753" s="167"/>
      <c r="I2753" s="123"/>
      <c r="J2753" s="123"/>
      <c r="K2753" s="123"/>
      <c r="L2753" s="123"/>
      <c r="M2753" s="123"/>
      <c r="N2753" s="126"/>
    </row>
    <row r="2754" spans="1:15" s="3" customFormat="1" ht="25.2">
      <c r="A2754" s="125" t="s">
        <v>1907</v>
      </c>
      <c r="B2754" s="123"/>
      <c r="C2754" s="123"/>
      <c r="D2754" s="123"/>
      <c r="E2754" s="123"/>
      <c r="F2754" s="167" t="s">
        <v>1896</v>
      </c>
      <c r="G2754" s="204" t="e">
        <f>VLOOKUP(G2748, 'Detail PL'!$B$14:$Q$799, 11)</f>
        <v>#N/A</v>
      </c>
      <c r="H2754" s="204" t="s">
        <v>1905</v>
      </c>
      <c r="I2754" s="204"/>
      <c r="J2754" s="204"/>
      <c r="K2754" s="123"/>
      <c r="L2754" s="123"/>
      <c r="M2754" s="123"/>
      <c r="N2754" s="126"/>
    </row>
    <row r="2755" spans="1:15" s="4" customFormat="1" ht="25.2">
      <c r="A2755" s="125" t="s">
        <v>1908</v>
      </c>
      <c r="B2755" s="123"/>
      <c r="C2755" s="123"/>
      <c r="D2755" s="123"/>
      <c r="E2755" s="123"/>
      <c r="F2755" s="167"/>
      <c r="G2755" s="167"/>
      <c r="H2755" s="123"/>
      <c r="I2755" s="123"/>
      <c r="J2755" s="123"/>
      <c r="K2755" s="123"/>
      <c r="L2755" s="123"/>
      <c r="M2755" s="123"/>
      <c r="N2755" s="126"/>
    </row>
    <row r="2756" spans="1:15" s="3" customFormat="1" ht="9.9" customHeight="1">
      <c r="A2756" s="125"/>
      <c r="B2756" s="123"/>
      <c r="C2756" s="123"/>
      <c r="D2756" s="123"/>
      <c r="E2756" s="123"/>
      <c r="F2756" s="167"/>
      <c r="G2756" s="167"/>
      <c r="H2756" s="123"/>
      <c r="I2756" s="123"/>
      <c r="J2756" s="123"/>
      <c r="K2756" s="123"/>
      <c r="L2756" s="123"/>
      <c r="M2756" s="123"/>
      <c r="N2756" s="126"/>
    </row>
    <row r="2757" spans="1:15" s="3" customFormat="1" ht="25.2">
      <c r="A2757" s="129" t="s">
        <v>1909</v>
      </c>
      <c r="B2757" s="123"/>
      <c r="C2757" s="123"/>
      <c r="D2757" s="123"/>
      <c r="E2757" s="123"/>
      <c r="F2757" s="167" t="s">
        <v>1896</v>
      </c>
      <c r="G2757" s="204" t="e">
        <f>VLOOKUP(G2748, 'Detail PL'!$B$14:$Q$799, 9)</f>
        <v>#N/A</v>
      </c>
      <c r="H2757" s="205" t="s">
        <v>1910</v>
      </c>
      <c r="I2757" s="203"/>
      <c r="J2757" s="203"/>
      <c r="K2757" s="172"/>
      <c r="L2757" s="123"/>
      <c r="M2757" s="123"/>
      <c r="N2757" s="126"/>
    </row>
    <row r="2758" spans="1:15" s="4" customFormat="1" ht="25.2">
      <c r="A2758" s="125" t="s">
        <v>1911</v>
      </c>
      <c r="B2758" s="123"/>
      <c r="C2758" s="123"/>
      <c r="D2758" s="123"/>
      <c r="E2758" s="123"/>
      <c r="F2758" s="167"/>
      <c r="G2758" s="167"/>
      <c r="H2758" s="123"/>
      <c r="I2758" s="123"/>
      <c r="J2758" s="123"/>
      <c r="K2758" s="123"/>
      <c r="L2758" s="123"/>
      <c r="M2758" s="123"/>
      <c r="N2758" s="126"/>
    </row>
    <row r="2759" spans="1:15" s="3" customFormat="1" ht="9.9" customHeight="1">
      <c r="A2759" s="125"/>
      <c r="B2759" s="123"/>
      <c r="C2759" s="123"/>
      <c r="D2759" s="123"/>
      <c r="E2759" s="123"/>
      <c r="F2759" s="167"/>
      <c r="G2759" s="167"/>
      <c r="H2759" s="123"/>
      <c r="I2759" s="123"/>
      <c r="J2759" s="123"/>
      <c r="K2759" s="123"/>
      <c r="L2759" s="123"/>
      <c r="M2759" s="123"/>
      <c r="N2759" s="126"/>
    </row>
    <row r="2760" spans="1:15" s="3" customFormat="1" ht="42" customHeight="1">
      <c r="A2760" s="125" t="s">
        <v>1912</v>
      </c>
      <c r="B2760" s="123"/>
      <c r="C2760" s="123"/>
      <c r="D2760" s="123"/>
      <c r="E2760" s="123"/>
      <c r="F2760" s="166" t="s">
        <v>1913</v>
      </c>
      <c r="G2760" s="595" t="s">
        <v>1914</v>
      </c>
      <c r="H2760" s="595"/>
      <c r="I2760" s="595"/>
      <c r="J2760" s="595"/>
      <c r="K2760" s="595"/>
      <c r="L2760" s="595"/>
      <c r="M2760" s="595"/>
      <c r="N2760" s="596"/>
    </row>
    <row r="2761" spans="1:15" s="4" customFormat="1" ht="25.8" thickBot="1">
      <c r="A2761" s="125" t="s">
        <v>1915</v>
      </c>
      <c r="B2761" s="123"/>
      <c r="C2761" s="123"/>
      <c r="D2761" s="123"/>
      <c r="E2761" s="123"/>
      <c r="F2761" s="167"/>
      <c r="G2761" s="167"/>
      <c r="H2761" s="123"/>
      <c r="I2761" s="123"/>
      <c r="J2761" s="123"/>
      <c r="K2761" s="123"/>
      <c r="L2761" s="123"/>
      <c r="M2761" s="123"/>
      <c r="N2761" s="126"/>
    </row>
    <row r="2762" spans="1:15" ht="21" customHeight="1">
      <c r="A2762" s="598" t="s">
        <v>1916</v>
      </c>
      <c r="B2762" s="599"/>
      <c r="C2762" s="599"/>
      <c r="D2762" s="599"/>
      <c r="E2762" s="599"/>
      <c r="F2762" s="599"/>
      <c r="G2762" s="599"/>
      <c r="H2762" s="599"/>
      <c r="I2762" s="599"/>
      <c r="J2762" s="599"/>
      <c r="K2762" s="599"/>
      <c r="L2762" s="599"/>
      <c r="M2762" s="599"/>
      <c r="N2762" s="600"/>
    </row>
    <row r="2763" spans="1:15" ht="25.5" customHeight="1" thickBot="1">
      <c r="A2763" s="601"/>
      <c r="B2763" s="602"/>
      <c r="C2763" s="602"/>
      <c r="D2763" s="602"/>
      <c r="E2763" s="602"/>
      <c r="F2763" s="602"/>
      <c r="G2763" s="602"/>
      <c r="H2763" s="602"/>
      <c r="I2763" s="602"/>
      <c r="J2763" s="602"/>
      <c r="K2763" s="602"/>
      <c r="L2763" s="602"/>
      <c r="M2763" s="602"/>
      <c r="N2763" s="603"/>
    </row>
    <row r="2764" spans="1:15" ht="25.5" customHeight="1">
      <c r="E2764" s="206"/>
      <c r="F2764" s="206"/>
      <c r="G2764" s="206"/>
      <c r="H2764" s="206"/>
      <c r="I2764" s="206"/>
      <c r="J2764" s="206"/>
      <c r="K2764" s="206"/>
    </row>
    <row r="2765" spans="1:15" ht="21.6" thickBot="1"/>
    <row r="2766" spans="1:15" ht="95.25" customHeight="1" thickBot="1">
      <c r="A2766" s="592" t="s">
        <v>1883</v>
      </c>
      <c r="B2766" s="593"/>
      <c r="C2766" s="593"/>
      <c r="D2766" s="593"/>
      <c r="E2766" s="593"/>
      <c r="F2766" s="593"/>
      <c r="G2766" s="593"/>
      <c r="H2766" s="593"/>
      <c r="I2766" s="593"/>
      <c r="J2766" s="593"/>
      <c r="K2766" s="593"/>
      <c r="L2766" s="593"/>
      <c r="M2766" s="593"/>
      <c r="N2766" s="594"/>
    </row>
    <row r="2767" spans="1:15" s="3" customFormat="1" ht="37.5" customHeight="1">
      <c r="A2767" s="134" t="s">
        <v>1884</v>
      </c>
      <c r="B2767" s="166"/>
      <c r="C2767" s="166"/>
      <c r="D2767" s="123"/>
      <c r="E2767" s="123"/>
      <c r="F2767" s="167" t="s">
        <v>1885</v>
      </c>
      <c r="G2767" s="167" t="s">
        <v>1886</v>
      </c>
      <c r="H2767" s="167"/>
      <c r="I2767" s="167"/>
      <c r="J2767" s="167"/>
      <c r="K2767" s="167"/>
      <c r="L2767" s="167"/>
      <c r="M2767" s="167"/>
      <c r="N2767" s="152"/>
      <c r="O2767" s="201"/>
    </row>
    <row r="2768" spans="1:15" s="4" customFormat="1" ht="25.2">
      <c r="A2768" s="125" t="s">
        <v>1887</v>
      </c>
      <c r="B2768" s="123"/>
      <c r="C2768" s="123"/>
      <c r="D2768" s="123"/>
      <c r="E2768" s="123"/>
      <c r="F2768" s="167"/>
      <c r="G2768" s="167" t="s">
        <v>1888</v>
      </c>
      <c r="H2768" s="167"/>
      <c r="I2768" s="167"/>
      <c r="J2768" s="167"/>
      <c r="K2768" s="167"/>
      <c r="L2768" s="167"/>
      <c r="M2768" s="167"/>
      <c r="N2768" s="152"/>
    </row>
    <row r="2769" spans="1:14" s="3" customFormat="1" ht="9.9" customHeight="1">
      <c r="A2769" s="125"/>
      <c r="B2769" s="123"/>
      <c r="C2769" s="123"/>
      <c r="D2769" s="123"/>
      <c r="E2769" s="123"/>
      <c r="F2769" s="167"/>
      <c r="G2769" s="123"/>
      <c r="H2769" s="123"/>
      <c r="I2769" s="123"/>
      <c r="J2769" s="123"/>
      <c r="K2769" s="123"/>
      <c r="L2769" s="123"/>
      <c r="M2769" s="123"/>
      <c r="N2769" s="126"/>
    </row>
    <row r="2770" spans="1:14" s="3" customFormat="1" ht="42.75" customHeight="1">
      <c r="A2770" s="125" t="s">
        <v>1889</v>
      </c>
      <c r="B2770" s="123"/>
      <c r="C2770" s="123"/>
      <c r="D2770" s="123"/>
      <c r="E2770" s="123"/>
      <c r="F2770" s="167" t="s">
        <v>1885</v>
      </c>
      <c r="G2770" s="167" t="str">
        <f>PL!$B$13</f>
        <v>Branch of JSC "Doosan Enerbility" in the Turkestan region</v>
      </c>
      <c r="H2770" s="123"/>
      <c r="I2770" s="123"/>
      <c r="J2770" s="123"/>
      <c r="K2770" s="123"/>
      <c r="L2770" s="123"/>
      <c r="M2770" s="123"/>
      <c r="N2770" s="126"/>
    </row>
    <row r="2771" spans="1:14" s="3" customFormat="1" ht="24" customHeight="1">
      <c r="A2771" s="125" t="s">
        <v>1890</v>
      </c>
      <c r="B2771" s="123"/>
      <c r="C2771" s="123"/>
      <c r="D2771" s="123"/>
      <c r="E2771" s="123"/>
      <c r="F2771" s="168"/>
      <c r="G2771" s="167" t="str">
        <f>PL!$B$14</f>
        <v>321 Tauke Khan Avenue, Turkestan region, Turkestan, Kazakhstan, 161200</v>
      </c>
      <c r="H2771" s="123"/>
      <c r="I2771" s="123"/>
      <c r="J2771" s="123"/>
      <c r="K2771" s="123"/>
      <c r="L2771" s="123"/>
      <c r="M2771" s="123"/>
      <c r="N2771" s="126"/>
    </row>
    <row r="2772" spans="1:14" s="4" customFormat="1" ht="25.2">
      <c r="A2772" s="125"/>
      <c r="B2772" s="123"/>
      <c r="C2772" s="123"/>
      <c r="D2772" s="123"/>
      <c r="E2772" s="123"/>
      <c r="F2772" s="168"/>
      <c r="G2772" s="167" t="str">
        <f>PL!$B$15</f>
        <v>BIN: 230741006561</v>
      </c>
      <c r="H2772" s="123"/>
      <c r="I2772" s="123"/>
      <c r="J2772" s="123"/>
      <c r="K2772" s="123"/>
      <c r="L2772" s="123"/>
      <c r="M2772" s="123"/>
      <c r="N2772" s="126"/>
    </row>
    <row r="2773" spans="1:14" s="3" customFormat="1" ht="9.9" customHeight="1">
      <c r="A2773" s="125"/>
      <c r="B2773" s="123"/>
      <c r="C2773" s="123"/>
      <c r="D2773" s="123"/>
      <c r="E2773" s="123"/>
      <c r="F2773" s="169"/>
      <c r="G2773" s="169"/>
      <c r="H2773" s="123"/>
      <c r="I2773" s="123"/>
      <c r="J2773" s="123"/>
      <c r="K2773" s="123"/>
      <c r="L2773" s="123"/>
      <c r="M2773" s="123"/>
      <c r="N2773" s="126"/>
    </row>
    <row r="2774" spans="1:14" s="3" customFormat="1" ht="25.2">
      <c r="A2774" s="125" t="s">
        <v>1891</v>
      </c>
      <c r="B2774" s="123"/>
      <c r="C2774" s="123"/>
      <c r="D2774" s="123"/>
      <c r="E2774" s="123"/>
      <c r="F2774" s="167" t="s">
        <v>1892</v>
      </c>
      <c r="G2774" s="123"/>
      <c r="H2774" s="123"/>
      <c r="I2774" s="123"/>
      <c r="J2774" s="123"/>
      <c r="K2774" s="123"/>
      <c r="L2774" s="123"/>
      <c r="M2774" s="123"/>
      <c r="N2774" s="126"/>
    </row>
    <row r="2775" spans="1:14" s="4" customFormat="1" ht="25.2">
      <c r="A2775" s="125" t="s">
        <v>1893</v>
      </c>
      <c r="B2775" s="123"/>
      <c r="C2775" s="123"/>
      <c r="D2775" s="123"/>
      <c r="E2775" s="123"/>
      <c r="F2775" s="167" t="s">
        <v>1894</v>
      </c>
      <c r="G2775" s="123"/>
      <c r="H2775" s="123"/>
      <c r="I2775" s="123"/>
      <c r="J2775" s="123"/>
      <c r="K2775" s="123"/>
      <c r="L2775" s="123"/>
      <c r="M2775" s="123"/>
      <c r="N2775" s="126"/>
    </row>
    <row r="2776" spans="1:14" s="3" customFormat="1" ht="9.9" customHeight="1">
      <c r="A2776" s="125"/>
      <c r="B2776" s="123"/>
      <c r="C2776" s="123"/>
      <c r="D2776" s="123"/>
      <c r="E2776" s="123"/>
      <c r="F2776" s="167"/>
      <c r="G2776" s="123"/>
      <c r="H2776" s="123"/>
      <c r="I2776" s="123"/>
      <c r="J2776" s="123"/>
      <c r="K2776" s="123"/>
      <c r="L2776" s="123"/>
      <c r="M2776" s="123"/>
      <c r="N2776" s="126"/>
    </row>
    <row r="2777" spans="1:14" s="3" customFormat="1" ht="25.2">
      <c r="A2777" s="125" t="s">
        <v>1895</v>
      </c>
      <c r="B2777" s="123"/>
      <c r="C2777" s="123"/>
      <c r="D2777" s="123"/>
      <c r="E2777" s="123"/>
      <c r="F2777" s="167" t="s">
        <v>1896</v>
      </c>
      <c r="G2777" s="167" t="str">
        <f>PL!$V$8</f>
        <v>PGU-DE-0139-001</v>
      </c>
      <c r="H2777" s="123"/>
      <c r="I2777" s="123"/>
      <c r="J2777" s="123"/>
      <c r="K2777" s="123"/>
      <c r="L2777" s="123"/>
      <c r="M2777" s="123"/>
      <c r="N2777" s="126"/>
    </row>
    <row r="2778" spans="1:14" s="3" customFormat="1" ht="25.2">
      <c r="A2778" s="125" t="s">
        <v>1897</v>
      </c>
      <c r="B2778" s="123"/>
      <c r="C2778" s="123"/>
      <c r="D2778" s="123"/>
      <c r="E2778" s="123"/>
      <c r="F2778" s="167"/>
      <c r="G2778" s="123"/>
      <c r="H2778" s="123"/>
      <c r="I2778" s="123"/>
      <c r="J2778" s="123"/>
      <c r="K2778" s="123"/>
      <c r="L2778" s="123"/>
      <c r="M2778" s="123"/>
      <c r="N2778" s="126"/>
    </row>
    <row r="2779" spans="1:14" s="3" customFormat="1" ht="9.9" customHeight="1">
      <c r="A2779" s="125"/>
      <c r="B2779" s="123"/>
      <c r="C2779" s="123"/>
      <c r="D2779" s="123"/>
      <c r="E2779" s="123"/>
      <c r="F2779" s="167"/>
      <c r="G2779" s="123"/>
      <c r="H2779" s="123"/>
      <c r="I2779" s="123"/>
      <c r="J2779" s="123"/>
      <c r="K2779" s="123"/>
      <c r="L2779" s="123"/>
      <c r="M2779" s="123"/>
      <c r="N2779" s="126"/>
    </row>
    <row r="2780" spans="1:14" s="3" customFormat="1" ht="31.2" customHeight="1">
      <c r="A2780" s="127" t="s">
        <v>1898</v>
      </c>
      <c r="B2780" s="170"/>
      <c r="C2780" s="170"/>
      <c r="D2780" s="170"/>
      <c r="E2780" s="170"/>
      <c r="F2780" s="171" t="s">
        <v>1885</v>
      </c>
      <c r="G2780" s="597" t="e">
        <f>VLOOKUP(G2783, 'Detail PL'!$B$14:$Q$799,2)</f>
        <v>#N/A</v>
      </c>
      <c r="H2780" s="597"/>
      <c r="I2780" s="597"/>
      <c r="J2780" s="597"/>
      <c r="K2780" s="597"/>
      <c r="L2780" s="597"/>
      <c r="M2780" s="597"/>
      <c r="N2780" s="128"/>
    </row>
    <row r="2781" spans="1:14" s="3" customFormat="1" ht="25.2">
      <c r="A2781" s="127" t="s">
        <v>1899</v>
      </c>
      <c r="B2781" s="170"/>
      <c r="C2781" s="170"/>
      <c r="D2781" s="170"/>
      <c r="E2781" s="170"/>
      <c r="F2781" s="171"/>
      <c r="G2781" s="170"/>
      <c r="H2781" s="170"/>
      <c r="I2781" s="170"/>
      <c r="J2781" s="170"/>
      <c r="K2781" s="170"/>
      <c r="L2781" s="170"/>
      <c r="M2781" s="170"/>
      <c r="N2781" s="128"/>
    </row>
    <row r="2782" spans="1:14" s="3" customFormat="1" ht="9.9" customHeight="1">
      <c r="A2782" s="125"/>
      <c r="B2782" s="123"/>
      <c r="C2782" s="123"/>
      <c r="D2782" s="123"/>
      <c r="E2782" s="123"/>
      <c r="F2782" s="167"/>
      <c r="G2782" s="123"/>
      <c r="H2782" s="123"/>
      <c r="I2782" s="123"/>
      <c r="J2782" s="123"/>
      <c r="K2782" s="123"/>
      <c r="L2782" s="123"/>
      <c r="M2782" s="123"/>
      <c r="N2782" s="126"/>
    </row>
    <row r="2783" spans="1:14" s="3" customFormat="1" ht="25.2">
      <c r="A2783" s="125" t="s">
        <v>1900</v>
      </c>
      <c r="B2783" s="123"/>
      <c r="C2783" s="123"/>
      <c r="D2783" s="123"/>
      <c r="E2783" s="123"/>
      <c r="F2783" s="171" t="s">
        <v>1901</v>
      </c>
      <c r="G2783" s="604">
        <f t="shared" ref="G2783" si="77">G2748+1</f>
        <v>80</v>
      </c>
      <c r="H2783" s="604"/>
      <c r="I2783" s="604"/>
      <c r="J2783" s="604"/>
      <c r="K2783" s="604"/>
      <c r="L2783" s="123"/>
      <c r="M2783" s="123"/>
      <c r="N2783" s="126"/>
    </row>
    <row r="2784" spans="1:14" s="4" customFormat="1" ht="25.2">
      <c r="A2784" s="125" t="s">
        <v>1903</v>
      </c>
      <c r="B2784" s="123"/>
      <c r="C2784" s="123"/>
      <c r="D2784" s="123"/>
      <c r="E2784" s="123"/>
      <c r="F2784" s="167"/>
      <c r="G2784" s="167"/>
      <c r="H2784" s="123"/>
      <c r="I2784" s="123"/>
      <c r="J2784" s="123"/>
      <c r="K2784" s="123"/>
      <c r="L2784" s="123"/>
      <c r="M2784" s="123"/>
      <c r="N2784" s="126"/>
    </row>
    <row r="2785" spans="1:14" s="3" customFormat="1" ht="9.9" customHeight="1">
      <c r="A2785" s="125"/>
      <c r="B2785" s="123"/>
      <c r="C2785" s="123"/>
      <c r="D2785" s="123"/>
      <c r="E2785" s="123"/>
      <c r="F2785" s="167"/>
      <c r="G2785" s="167"/>
      <c r="H2785" s="123"/>
      <c r="I2785" s="123"/>
      <c r="J2785" s="123"/>
      <c r="K2785" s="123"/>
      <c r="L2785" s="123"/>
      <c r="M2785" s="123"/>
      <c r="N2785" s="126"/>
    </row>
    <row r="2786" spans="1:14" s="3" customFormat="1" ht="25.2">
      <c r="A2786" s="125" t="s">
        <v>1904</v>
      </c>
      <c r="B2786" s="123"/>
      <c r="C2786" s="123"/>
      <c r="D2786" s="123"/>
      <c r="E2786" s="123"/>
      <c r="F2786" s="167" t="s">
        <v>1896</v>
      </c>
      <c r="G2786" s="204" t="e">
        <f>VLOOKUP(G2783, 'Detail PL'!$B$14:$Q$799, 10)</f>
        <v>#N/A</v>
      </c>
      <c r="H2786" s="204" t="s">
        <v>1905</v>
      </c>
      <c r="I2786" s="204"/>
      <c r="J2786" s="204"/>
      <c r="K2786" s="123"/>
      <c r="L2786" s="123"/>
      <c r="M2786" s="123"/>
      <c r="N2786" s="126"/>
    </row>
    <row r="2787" spans="1:14" s="4" customFormat="1" ht="25.2">
      <c r="A2787" s="125" t="s">
        <v>1906</v>
      </c>
      <c r="B2787" s="123"/>
      <c r="C2787" s="123"/>
      <c r="D2787" s="123"/>
      <c r="E2787" s="123"/>
      <c r="F2787" s="167"/>
      <c r="G2787" s="167"/>
      <c r="H2787" s="167"/>
      <c r="I2787" s="123"/>
      <c r="J2787" s="123"/>
      <c r="K2787" s="123"/>
      <c r="L2787" s="123"/>
      <c r="M2787" s="123"/>
      <c r="N2787" s="126"/>
    </row>
    <row r="2788" spans="1:14" s="3" customFormat="1" ht="9.9" customHeight="1">
      <c r="A2788" s="125"/>
      <c r="B2788" s="123"/>
      <c r="C2788" s="123"/>
      <c r="D2788" s="123"/>
      <c r="E2788" s="123"/>
      <c r="F2788" s="167"/>
      <c r="G2788" s="167"/>
      <c r="H2788" s="167"/>
      <c r="I2788" s="123"/>
      <c r="J2788" s="123"/>
      <c r="K2788" s="123"/>
      <c r="L2788" s="123"/>
      <c r="M2788" s="123"/>
      <c r="N2788" s="126"/>
    </row>
    <row r="2789" spans="1:14" s="3" customFormat="1" ht="25.2">
      <c r="A2789" s="125" t="s">
        <v>1907</v>
      </c>
      <c r="B2789" s="123"/>
      <c r="C2789" s="123"/>
      <c r="D2789" s="123"/>
      <c r="E2789" s="123"/>
      <c r="F2789" s="167" t="s">
        <v>1896</v>
      </c>
      <c r="G2789" s="204" t="e">
        <f>VLOOKUP(G2783, 'Detail PL'!$B$14:$Q$799, 11)</f>
        <v>#N/A</v>
      </c>
      <c r="H2789" s="204" t="s">
        <v>1905</v>
      </c>
      <c r="I2789" s="204"/>
      <c r="J2789" s="204"/>
      <c r="K2789" s="123"/>
      <c r="L2789" s="123"/>
      <c r="M2789" s="123"/>
      <c r="N2789" s="126"/>
    </row>
    <row r="2790" spans="1:14" s="4" customFormat="1" ht="25.2">
      <c r="A2790" s="125" t="s">
        <v>1908</v>
      </c>
      <c r="B2790" s="123"/>
      <c r="C2790" s="123"/>
      <c r="D2790" s="123"/>
      <c r="E2790" s="123"/>
      <c r="F2790" s="167"/>
      <c r="G2790" s="167"/>
      <c r="H2790" s="123"/>
      <c r="I2790" s="123"/>
      <c r="J2790" s="123"/>
      <c r="K2790" s="123"/>
      <c r="L2790" s="123"/>
      <c r="M2790" s="123"/>
      <c r="N2790" s="126"/>
    </row>
    <row r="2791" spans="1:14" s="3" customFormat="1" ht="9.9" customHeight="1">
      <c r="A2791" s="125"/>
      <c r="B2791" s="123"/>
      <c r="C2791" s="123"/>
      <c r="D2791" s="123"/>
      <c r="E2791" s="123"/>
      <c r="F2791" s="167"/>
      <c r="G2791" s="167"/>
      <c r="H2791" s="123"/>
      <c r="I2791" s="123"/>
      <c r="J2791" s="123"/>
      <c r="K2791" s="123"/>
      <c r="L2791" s="123"/>
      <c r="M2791" s="123"/>
      <c r="N2791" s="126"/>
    </row>
    <row r="2792" spans="1:14" s="3" customFormat="1" ht="25.2">
      <c r="A2792" s="129" t="s">
        <v>1909</v>
      </c>
      <c r="B2792" s="123"/>
      <c r="C2792" s="123"/>
      <c r="D2792" s="123"/>
      <c r="E2792" s="123"/>
      <c r="F2792" s="167" t="s">
        <v>1896</v>
      </c>
      <c r="G2792" s="204" t="e">
        <f>VLOOKUP(G2783, 'Detail PL'!$B$14:$Q$799, 9)</f>
        <v>#N/A</v>
      </c>
      <c r="H2792" s="205" t="s">
        <v>1910</v>
      </c>
      <c r="I2792" s="203"/>
      <c r="J2792" s="203"/>
      <c r="K2792" s="172"/>
      <c r="L2792" s="123"/>
      <c r="M2792" s="123"/>
      <c r="N2792" s="126"/>
    </row>
    <row r="2793" spans="1:14" s="4" customFormat="1" ht="25.2">
      <c r="A2793" s="125" t="s">
        <v>1911</v>
      </c>
      <c r="B2793" s="123"/>
      <c r="C2793" s="123"/>
      <c r="D2793" s="123"/>
      <c r="E2793" s="123"/>
      <c r="F2793" s="167"/>
      <c r="G2793" s="167"/>
      <c r="H2793" s="123"/>
      <c r="I2793" s="123"/>
      <c r="J2793" s="123"/>
      <c r="K2793" s="123"/>
      <c r="L2793" s="123"/>
      <c r="M2793" s="123"/>
      <c r="N2793" s="126"/>
    </row>
    <row r="2794" spans="1:14" s="3" customFormat="1" ht="9.9" customHeight="1">
      <c r="A2794" s="125"/>
      <c r="B2794" s="123"/>
      <c r="C2794" s="123"/>
      <c r="D2794" s="123"/>
      <c r="E2794" s="123"/>
      <c r="F2794" s="167"/>
      <c r="G2794" s="167"/>
      <c r="H2794" s="123"/>
      <c r="I2794" s="123"/>
      <c r="J2794" s="123"/>
      <c r="K2794" s="123"/>
      <c r="L2794" s="123"/>
      <c r="M2794" s="123"/>
      <c r="N2794" s="126"/>
    </row>
    <row r="2795" spans="1:14" s="3" customFormat="1" ht="42" customHeight="1">
      <c r="A2795" s="125" t="s">
        <v>1912</v>
      </c>
      <c r="B2795" s="123"/>
      <c r="C2795" s="123"/>
      <c r="D2795" s="123"/>
      <c r="E2795" s="123"/>
      <c r="F2795" s="166" t="s">
        <v>1913</v>
      </c>
      <c r="G2795" s="595" t="s">
        <v>1914</v>
      </c>
      <c r="H2795" s="595"/>
      <c r="I2795" s="595"/>
      <c r="J2795" s="595"/>
      <c r="K2795" s="595"/>
      <c r="L2795" s="595"/>
      <c r="M2795" s="595"/>
      <c r="N2795" s="596"/>
    </row>
    <row r="2796" spans="1:14" s="4" customFormat="1" ht="25.8" thickBot="1">
      <c r="A2796" s="125" t="s">
        <v>1915</v>
      </c>
      <c r="B2796" s="123"/>
      <c r="C2796" s="123"/>
      <c r="D2796" s="123"/>
      <c r="E2796" s="123"/>
      <c r="F2796" s="167"/>
      <c r="G2796" s="167"/>
      <c r="H2796" s="123"/>
      <c r="I2796" s="123"/>
      <c r="J2796" s="123"/>
      <c r="K2796" s="123"/>
      <c r="L2796" s="123"/>
      <c r="M2796" s="123"/>
      <c r="N2796" s="126"/>
    </row>
    <row r="2797" spans="1:14" ht="21" customHeight="1">
      <c r="A2797" s="598" t="s">
        <v>1916</v>
      </c>
      <c r="B2797" s="599"/>
      <c r="C2797" s="599"/>
      <c r="D2797" s="599"/>
      <c r="E2797" s="599"/>
      <c r="F2797" s="599"/>
      <c r="G2797" s="599"/>
      <c r="H2797" s="599"/>
      <c r="I2797" s="599"/>
      <c r="J2797" s="599"/>
      <c r="K2797" s="599"/>
      <c r="L2797" s="599"/>
      <c r="M2797" s="599"/>
      <c r="N2797" s="600"/>
    </row>
    <row r="2798" spans="1:14" ht="25.5" customHeight="1" thickBot="1">
      <c r="A2798" s="601"/>
      <c r="B2798" s="602"/>
      <c r="C2798" s="602"/>
      <c r="D2798" s="602"/>
      <c r="E2798" s="602"/>
      <c r="F2798" s="602"/>
      <c r="G2798" s="602"/>
      <c r="H2798" s="602"/>
      <c r="I2798" s="602"/>
      <c r="J2798" s="602"/>
      <c r="K2798" s="602"/>
      <c r="L2798" s="602"/>
      <c r="M2798" s="602"/>
      <c r="N2798" s="603"/>
    </row>
    <row r="2799" spans="1:14" ht="25.5" customHeight="1">
      <c r="E2799" s="206"/>
      <c r="F2799" s="206"/>
      <c r="G2799" s="206"/>
      <c r="H2799" s="206"/>
      <c r="I2799" s="206"/>
      <c r="J2799" s="206"/>
      <c r="K2799" s="206"/>
    </row>
    <row r="2800" spans="1:14" ht="21.6" thickBot="1"/>
    <row r="2801" spans="1:15" ht="95.25" customHeight="1" thickBot="1">
      <c r="A2801" s="592" t="s">
        <v>1883</v>
      </c>
      <c r="B2801" s="593"/>
      <c r="C2801" s="593"/>
      <c r="D2801" s="593"/>
      <c r="E2801" s="593"/>
      <c r="F2801" s="593"/>
      <c r="G2801" s="593"/>
      <c r="H2801" s="593"/>
      <c r="I2801" s="593"/>
      <c r="J2801" s="593"/>
      <c r="K2801" s="593"/>
      <c r="L2801" s="593"/>
      <c r="M2801" s="593"/>
      <c r="N2801" s="594"/>
    </row>
    <row r="2802" spans="1:15" s="3" customFormat="1" ht="37.5" customHeight="1">
      <c r="A2802" s="134" t="s">
        <v>1884</v>
      </c>
      <c r="B2802" s="166"/>
      <c r="C2802" s="166"/>
      <c r="D2802" s="123"/>
      <c r="E2802" s="123"/>
      <c r="F2802" s="167" t="s">
        <v>1885</v>
      </c>
      <c r="G2802" s="167" t="s">
        <v>1886</v>
      </c>
      <c r="H2802" s="167"/>
      <c r="I2802" s="167"/>
      <c r="J2802" s="167"/>
      <c r="K2802" s="167"/>
      <c r="L2802" s="167"/>
      <c r="M2802" s="167"/>
      <c r="N2802" s="152"/>
      <c r="O2802" s="201"/>
    </row>
    <row r="2803" spans="1:15" s="4" customFormat="1" ht="25.2">
      <c r="A2803" s="125" t="s">
        <v>1887</v>
      </c>
      <c r="B2803" s="123"/>
      <c r="C2803" s="123"/>
      <c r="D2803" s="123"/>
      <c r="E2803" s="123"/>
      <c r="F2803" s="167"/>
      <c r="G2803" s="167" t="s">
        <v>1888</v>
      </c>
      <c r="H2803" s="167"/>
      <c r="I2803" s="167"/>
      <c r="J2803" s="167"/>
      <c r="K2803" s="167"/>
      <c r="L2803" s="167"/>
      <c r="M2803" s="167"/>
      <c r="N2803" s="152"/>
    </row>
    <row r="2804" spans="1:15" s="3" customFormat="1" ht="9.9" customHeight="1">
      <c r="A2804" s="125"/>
      <c r="B2804" s="123"/>
      <c r="C2804" s="123"/>
      <c r="D2804" s="123"/>
      <c r="E2804" s="123"/>
      <c r="F2804" s="167"/>
      <c r="G2804" s="123"/>
      <c r="H2804" s="123"/>
      <c r="I2804" s="123"/>
      <c r="J2804" s="123"/>
      <c r="K2804" s="123"/>
      <c r="L2804" s="123"/>
      <c r="M2804" s="123"/>
      <c r="N2804" s="126"/>
    </row>
    <row r="2805" spans="1:15" s="3" customFormat="1" ht="42.75" customHeight="1">
      <c r="A2805" s="125" t="s">
        <v>1889</v>
      </c>
      <c r="B2805" s="123"/>
      <c r="C2805" s="123"/>
      <c r="D2805" s="123"/>
      <c r="E2805" s="123"/>
      <c r="F2805" s="167" t="s">
        <v>1885</v>
      </c>
      <c r="G2805" s="167" t="str">
        <f>PL!$B$13</f>
        <v>Branch of JSC "Doosan Enerbility" in the Turkestan region</v>
      </c>
      <c r="H2805" s="123"/>
      <c r="I2805" s="123"/>
      <c r="J2805" s="123"/>
      <c r="K2805" s="123"/>
      <c r="L2805" s="123"/>
      <c r="M2805" s="123"/>
      <c r="N2805" s="126"/>
    </row>
    <row r="2806" spans="1:15" s="3" customFormat="1" ht="24" customHeight="1">
      <c r="A2806" s="125" t="s">
        <v>1890</v>
      </c>
      <c r="B2806" s="123"/>
      <c r="C2806" s="123"/>
      <c r="D2806" s="123"/>
      <c r="E2806" s="123"/>
      <c r="F2806" s="168"/>
      <c r="G2806" s="167" t="str">
        <f>PL!$B$14</f>
        <v>321 Tauke Khan Avenue, Turkestan region, Turkestan, Kazakhstan, 161200</v>
      </c>
      <c r="H2806" s="123"/>
      <c r="I2806" s="123"/>
      <c r="J2806" s="123"/>
      <c r="K2806" s="123"/>
      <c r="L2806" s="123"/>
      <c r="M2806" s="123"/>
      <c r="N2806" s="126"/>
    </row>
    <row r="2807" spans="1:15" s="4" customFormat="1" ht="25.2">
      <c r="A2807" s="125"/>
      <c r="B2807" s="123"/>
      <c r="C2807" s="123"/>
      <c r="D2807" s="123"/>
      <c r="E2807" s="123"/>
      <c r="F2807" s="168"/>
      <c r="G2807" s="167" t="str">
        <f>PL!$B$15</f>
        <v>BIN: 230741006561</v>
      </c>
      <c r="H2807" s="123"/>
      <c r="I2807" s="123"/>
      <c r="J2807" s="123"/>
      <c r="K2807" s="123"/>
      <c r="L2807" s="123"/>
      <c r="M2807" s="123"/>
      <c r="N2807" s="126"/>
    </row>
    <row r="2808" spans="1:15" s="3" customFormat="1" ht="9.9" customHeight="1">
      <c r="A2808" s="125"/>
      <c r="B2808" s="123"/>
      <c r="C2808" s="123"/>
      <c r="D2808" s="123"/>
      <c r="E2808" s="123"/>
      <c r="F2808" s="169"/>
      <c r="G2808" s="169"/>
      <c r="H2808" s="123"/>
      <c r="I2808" s="123"/>
      <c r="J2808" s="123"/>
      <c r="K2808" s="123"/>
      <c r="L2808" s="123"/>
      <c r="M2808" s="123"/>
      <c r="N2808" s="126"/>
    </row>
    <row r="2809" spans="1:15" s="3" customFormat="1" ht="25.2">
      <c r="A2809" s="125" t="s">
        <v>1891</v>
      </c>
      <c r="B2809" s="123"/>
      <c r="C2809" s="123"/>
      <c r="D2809" s="123"/>
      <c r="E2809" s="123"/>
      <c r="F2809" s="167" t="s">
        <v>1892</v>
      </c>
      <c r="G2809" s="123"/>
      <c r="H2809" s="123"/>
      <c r="I2809" s="123"/>
      <c r="J2809" s="123"/>
      <c r="K2809" s="123"/>
      <c r="L2809" s="123"/>
      <c r="M2809" s="123"/>
      <c r="N2809" s="126"/>
    </row>
    <row r="2810" spans="1:15" s="4" customFormat="1" ht="25.2">
      <c r="A2810" s="125" t="s">
        <v>1893</v>
      </c>
      <c r="B2810" s="123"/>
      <c r="C2810" s="123"/>
      <c r="D2810" s="123"/>
      <c r="E2810" s="123"/>
      <c r="F2810" s="167" t="s">
        <v>1894</v>
      </c>
      <c r="G2810" s="123"/>
      <c r="H2810" s="123"/>
      <c r="I2810" s="123"/>
      <c r="J2810" s="123"/>
      <c r="K2810" s="123"/>
      <c r="L2810" s="123"/>
      <c r="M2810" s="123"/>
      <c r="N2810" s="126"/>
    </row>
    <row r="2811" spans="1:15" s="3" customFormat="1" ht="9.9" customHeight="1">
      <c r="A2811" s="125"/>
      <c r="B2811" s="123"/>
      <c r="C2811" s="123"/>
      <c r="D2811" s="123"/>
      <c r="E2811" s="123"/>
      <c r="F2811" s="167"/>
      <c r="G2811" s="123"/>
      <c r="H2811" s="123"/>
      <c r="I2811" s="123"/>
      <c r="J2811" s="123"/>
      <c r="K2811" s="123"/>
      <c r="L2811" s="123"/>
      <c r="M2811" s="123"/>
      <c r="N2811" s="126"/>
    </row>
    <row r="2812" spans="1:15" s="3" customFormat="1" ht="25.2">
      <c r="A2812" s="125" t="s">
        <v>1895</v>
      </c>
      <c r="B2812" s="123"/>
      <c r="C2812" s="123"/>
      <c r="D2812" s="123"/>
      <c r="E2812" s="123"/>
      <c r="F2812" s="167" t="s">
        <v>1896</v>
      </c>
      <c r="G2812" s="167" t="str">
        <f>PL!$V$8</f>
        <v>PGU-DE-0139-001</v>
      </c>
      <c r="H2812" s="123"/>
      <c r="I2812" s="123"/>
      <c r="J2812" s="123"/>
      <c r="K2812" s="123"/>
      <c r="L2812" s="123"/>
      <c r="M2812" s="123"/>
      <c r="N2812" s="126"/>
    </row>
    <row r="2813" spans="1:15" s="3" customFormat="1" ht="25.2">
      <c r="A2813" s="125" t="s">
        <v>1897</v>
      </c>
      <c r="B2813" s="123"/>
      <c r="C2813" s="123"/>
      <c r="D2813" s="123"/>
      <c r="E2813" s="123"/>
      <c r="F2813" s="167"/>
      <c r="G2813" s="123"/>
      <c r="H2813" s="123"/>
      <c r="I2813" s="123"/>
      <c r="J2813" s="123"/>
      <c r="K2813" s="123"/>
      <c r="L2813" s="123"/>
      <c r="M2813" s="123"/>
      <c r="N2813" s="126"/>
    </row>
    <row r="2814" spans="1:15" s="3" customFormat="1" ht="9.9" customHeight="1">
      <c r="A2814" s="125"/>
      <c r="B2814" s="123"/>
      <c r="C2814" s="123"/>
      <c r="D2814" s="123"/>
      <c r="E2814" s="123"/>
      <c r="F2814" s="167"/>
      <c r="G2814" s="123"/>
      <c r="H2814" s="123"/>
      <c r="I2814" s="123"/>
      <c r="J2814" s="123"/>
      <c r="K2814" s="123"/>
      <c r="L2814" s="123"/>
      <c r="M2814" s="123"/>
      <c r="N2814" s="126"/>
    </row>
    <row r="2815" spans="1:15" s="3" customFormat="1" ht="31.2" customHeight="1">
      <c r="A2815" s="127" t="s">
        <v>1898</v>
      </c>
      <c r="B2815" s="170"/>
      <c r="C2815" s="170"/>
      <c r="D2815" s="170"/>
      <c r="E2815" s="170"/>
      <c r="F2815" s="171" t="s">
        <v>1885</v>
      </c>
      <c r="G2815" s="597" t="e">
        <f>VLOOKUP(G2818, 'Detail PL'!$B$14:$Q$799,2)</f>
        <v>#N/A</v>
      </c>
      <c r="H2815" s="597"/>
      <c r="I2815" s="597"/>
      <c r="J2815" s="597"/>
      <c r="K2815" s="597"/>
      <c r="L2815" s="597"/>
      <c r="M2815" s="597"/>
      <c r="N2815" s="128"/>
    </row>
    <row r="2816" spans="1:15" s="3" customFormat="1" ht="25.2">
      <c r="A2816" s="127" t="s">
        <v>1899</v>
      </c>
      <c r="B2816" s="170"/>
      <c r="C2816" s="170"/>
      <c r="D2816" s="170"/>
      <c r="E2816" s="170"/>
      <c r="F2816" s="171"/>
      <c r="G2816" s="170"/>
      <c r="H2816" s="170"/>
      <c r="I2816" s="170"/>
      <c r="J2816" s="170"/>
      <c r="K2816" s="170"/>
      <c r="L2816" s="170"/>
      <c r="M2816" s="170"/>
      <c r="N2816" s="128"/>
    </row>
    <row r="2817" spans="1:14" s="3" customFormat="1" ht="9.9" customHeight="1">
      <c r="A2817" s="125"/>
      <c r="B2817" s="123"/>
      <c r="C2817" s="123"/>
      <c r="D2817" s="123"/>
      <c r="E2817" s="123"/>
      <c r="F2817" s="167"/>
      <c r="G2817" s="123"/>
      <c r="H2817" s="123"/>
      <c r="I2817" s="123"/>
      <c r="J2817" s="123"/>
      <c r="K2817" s="123"/>
      <c r="L2817" s="123"/>
      <c r="M2817" s="123"/>
      <c r="N2817" s="126"/>
    </row>
    <row r="2818" spans="1:14" s="3" customFormat="1" ht="25.2">
      <c r="A2818" s="125" t="s">
        <v>1900</v>
      </c>
      <c r="B2818" s="123"/>
      <c r="C2818" s="123"/>
      <c r="D2818" s="123"/>
      <c r="E2818" s="123"/>
      <c r="F2818" s="171" t="s">
        <v>1901</v>
      </c>
      <c r="G2818" s="604">
        <f t="shared" ref="G2818" si="78">G2783+1</f>
        <v>81</v>
      </c>
      <c r="H2818" s="604"/>
      <c r="I2818" s="604"/>
      <c r="J2818" s="604"/>
      <c r="K2818" s="604"/>
      <c r="L2818" s="123"/>
      <c r="M2818" s="123"/>
      <c r="N2818" s="126"/>
    </row>
    <row r="2819" spans="1:14" s="4" customFormat="1" ht="25.2">
      <c r="A2819" s="125" t="s">
        <v>1903</v>
      </c>
      <c r="B2819" s="123"/>
      <c r="C2819" s="123"/>
      <c r="D2819" s="123"/>
      <c r="E2819" s="123"/>
      <c r="F2819" s="167"/>
      <c r="G2819" s="167"/>
      <c r="H2819" s="123"/>
      <c r="I2819" s="123"/>
      <c r="J2819" s="123"/>
      <c r="K2819" s="123"/>
      <c r="L2819" s="123"/>
      <c r="M2819" s="123"/>
      <c r="N2819" s="126"/>
    </row>
    <row r="2820" spans="1:14" s="3" customFormat="1" ht="9.9" customHeight="1">
      <c r="A2820" s="125"/>
      <c r="B2820" s="123"/>
      <c r="C2820" s="123"/>
      <c r="D2820" s="123"/>
      <c r="E2820" s="123"/>
      <c r="F2820" s="167"/>
      <c r="G2820" s="167"/>
      <c r="H2820" s="123"/>
      <c r="I2820" s="123"/>
      <c r="J2820" s="123"/>
      <c r="K2820" s="123"/>
      <c r="L2820" s="123"/>
      <c r="M2820" s="123"/>
      <c r="N2820" s="126"/>
    </row>
    <row r="2821" spans="1:14" s="3" customFormat="1" ht="25.2">
      <c r="A2821" s="125" t="s">
        <v>1904</v>
      </c>
      <c r="B2821" s="123"/>
      <c r="C2821" s="123"/>
      <c r="D2821" s="123"/>
      <c r="E2821" s="123"/>
      <c r="F2821" s="167" t="s">
        <v>1896</v>
      </c>
      <c r="G2821" s="204" t="e">
        <f>VLOOKUP(G2818, 'Detail PL'!$B$14:$Q$799, 10)</f>
        <v>#N/A</v>
      </c>
      <c r="H2821" s="204" t="s">
        <v>1905</v>
      </c>
      <c r="I2821" s="204"/>
      <c r="J2821" s="204"/>
      <c r="K2821" s="123"/>
      <c r="L2821" s="123"/>
      <c r="M2821" s="123"/>
      <c r="N2821" s="126"/>
    </row>
    <row r="2822" spans="1:14" s="4" customFormat="1" ht="25.2">
      <c r="A2822" s="125" t="s">
        <v>1906</v>
      </c>
      <c r="B2822" s="123"/>
      <c r="C2822" s="123"/>
      <c r="D2822" s="123"/>
      <c r="E2822" s="123"/>
      <c r="F2822" s="167"/>
      <c r="G2822" s="167"/>
      <c r="H2822" s="167"/>
      <c r="I2822" s="123"/>
      <c r="J2822" s="123"/>
      <c r="K2822" s="123"/>
      <c r="L2822" s="123"/>
      <c r="M2822" s="123"/>
      <c r="N2822" s="126"/>
    </row>
    <row r="2823" spans="1:14" s="3" customFormat="1" ht="9.9" customHeight="1">
      <c r="A2823" s="125"/>
      <c r="B2823" s="123"/>
      <c r="C2823" s="123"/>
      <c r="D2823" s="123"/>
      <c r="E2823" s="123"/>
      <c r="F2823" s="167"/>
      <c r="G2823" s="167"/>
      <c r="H2823" s="167"/>
      <c r="I2823" s="123"/>
      <c r="J2823" s="123"/>
      <c r="K2823" s="123"/>
      <c r="L2823" s="123"/>
      <c r="M2823" s="123"/>
      <c r="N2823" s="126"/>
    </row>
    <row r="2824" spans="1:14" s="3" customFormat="1" ht="25.2">
      <c r="A2824" s="125" t="s">
        <v>1907</v>
      </c>
      <c r="B2824" s="123"/>
      <c r="C2824" s="123"/>
      <c r="D2824" s="123"/>
      <c r="E2824" s="123"/>
      <c r="F2824" s="167" t="s">
        <v>1896</v>
      </c>
      <c r="G2824" s="204" t="e">
        <f>VLOOKUP(G2818, 'Detail PL'!$B$14:$Q$799, 11)</f>
        <v>#N/A</v>
      </c>
      <c r="H2824" s="204" t="s">
        <v>1905</v>
      </c>
      <c r="I2824" s="204"/>
      <c r="J2824" s="204"/>
      <c r="K2824" s="123"/>
      <c r="L2824" s="123"/>
      <c r="M2824" s="123"/>
      <c r="N2824" s="126"/>
    </row>
    <row r="2825" spans="1:14" s="4" customFormat="1" ht="25.2">
      <c r="A2825" s="125" t="s">
        <v>1908</v>
      </c>
      <c r="B2825" s="123"/>
      <c r="C2825" s="123"/>
      <c r="D2825" s="123"/>
      <c r="E2825" s="123"/>
      <c r="F2825" s="167"/>
      <c r="G2825" s="167"/>
      <c r="H2825" s="123"/>
      <c r="I2825" s="123"/>
      <c r="J2825" s="123"/>
      <c r="K2825" s="123"/>
      <c r="L2825" s="123"/>
      <c r="M2825" s="123"/>
      <c r="N2825" s="126"/>
    </row>
    <row r="2826" spans="1:14" s="3" customFormat="1" ht="9.9" customHeight="1">
      <c r="A2826" s="125"/>
      <c r="B2826" s="123"/>
      <c r="C2826" s="123"/>
      <c r="D2826" s="123"/>
      <c r="E2826" s="123"/>
      <c r="F2826" s="167"/>
      <c r="G2826" s="167"/>
      <c r="H2826" s="123"/>
      <c r="I2826" s="123"/>
      <c r="J2826" s="123"/>
      <c r="K2826" s="123"/>
      <c r="L2826" s="123"/>
      <c r="M2826" s="123"/>
      <c r="N2826" s="126"/>
    </row>
    <row r="2827" spans="1:14" s="3" customFormat="1" ht="25.2">
      <c r="A2827" s="129" t="s">
        <v>1909</v>
      </c>
      <c r="B2827" s="123"/>
      <c r="C2827" s="123"/>
      <c r="D2827" s="123"/>
      <c r="E2827" s="123"/>
      <c r="F2827" s="167" t="s">
        <v>1896</v>
      </c>
      <c r="G2827" s="204" t="e">
        <f>VLOOKUP(G2818, 'Detail PL'!$B$14:$Q$799, 9)</f>
        <v>#N/A</v>
      </c>
      <c r="H2827" s="205" t="s">
        <v>1910</v>
      </c>
      <c r="I2827" s="203"/>
      <c r="J2827" s="203"/>
      <c r="K2827" s="172"/>
      <c r="L2827" s="123"/>
      <c r="M2827" s="123"/>
      <c r="N2827" s="126"/>
    </row>
    <row r="2828" spans="1:14" s="4" customFormat="1" ht="25.2">
      <c r="A2828" s="125" t="s">
        <v>1911</v>
      </c>
      <c r="B2828" s="123"/>
      <c r="C2828" s="123"/>
      <c r="D2828" s="123"/>
      <c r="E2828" s="123"/>
      <c r="F2828" s="167"/>
      <c r="G2828" s="167"/>
      <c r="H2828" s="123"/>
      <c r="I2828" s="123"/>
      <c r="J2828" s="123"/>
      <c r="K2828" s="123"/>
      <c r="L2828" s="123"/>
      <c r="M2828" s="123"/>
      <c r="N2828" s="126"/>
    </row>
    <row r="2829" spans="1:14" s="3" customFormat="1" ht="9.9" customHeight="1">
      <c r="A2829" s="125"/>
      <c r="B2829" s="123"/>
      <c r="C2829" s="123"/>
      <c r="D2829" s="123"/>
      <c r="E2829" s="123"/>
      <c r="F2829" s="167"/>
      <c r="G2829" s="167"/>
      <c r="H2829" s="123"/>
      <c r="I2829" s="123"/>
      <c r="J2829" s="123"/>
      <c r="K2829" s="123"/>
      <c r="L2829" s="123"/>
      <c r="M2829" s="123"/>
      <c r="N2829" s="126"/>
    </row>
    <row r="2830" spans="1:14" s="3" customFormat="1" ht="42" customHeight="1">
      <c r="A2830" s="125" t="s">
        <v>1912</v>
      </c>
      <c r="B2830" s="123"/>
      <c r="C2830" s="123"/>
      <c r="D2830" s="123"/>
      <c r="E2830" s="123"/>
      <c r="F2830" s="166" t="s">
        <v>1913</v>
      </c>
      <c r="G2830" s="595" t="s">
        <v>1914</v>
      </c>
      <c r="H2830" s="595"/>
      <c r="I2830" s="595"/>
      <c r="J2830" s="595"/>
      <c r="K2830" s="595"/>
      <c r="L2830" s="595"/>
      <c r="M2830" s="595"/>
      <c r="N2830" s="596"/>
    </row>
    <row r="2831" spans="1:14" s="4" customFormat="1" ht="25.8" thickBot="1">
      <c r="A2831" s="125" t="s">
        <v>1915</v>
      </c>
      <c r="B2831" s="123"/>
      <c r="C2831" s="123"/>
      <c r="D2831" s="123"/>
      <c r="E2831" s="123"/>
      <c r="F2831" s="167"/>
      <c r="G2831" s="167"/>
      <c r="H2831" s="123"/>
      <c r="I2831" s="123"/>
      <c r="J2831" s="123"/>
      <c r="K2831" s="123"/>
      <c r="L2831" s="123"/>
      <c r="M2831" s="123"/>
      <c r="N2831" s="126"/>
    </row>
    <row r="2832" spans="1:14" ht="21" customHeight="1">
      <c r="A2832" s="598" t="s">
        <v>1916</v>
      </c>
      <c r="B2832" s="599"/>
      <c r="C2832" s="599"/>
      <c r="D2832" s="599"/>
      <c r="E2832" s="599"/>
      <c r="F2832" s="599"/>
      <c r="G2832" s="599"/>
      <c r="H2832" s="599"/>
      <c r="I2832" s="599"/>
      <c r="J2832" s="599"/>
      <c r="K2832" s="599"/>
      <c r="L2832" s="599"/>
      <c r="M2832" s="599"/>
      <c r="N2832" s="600"/>
    </row>
    <row r="2833" spans="1:15" ht="25.5" customHeight="1" thickBot="1">
      <c r="A2833" s="601"/>
      <c r="B2833" s="602"/>
      <c r="C2833" s="602"/>
      <c r="D2833" s="602"/>
      <c r="E2833" s="602"/>
      <c r="F2833" s="602"/>
      <c r="G2833" s="602"/>
      <c r="H2833" s="602"/>
      <c r="I2833" s="602"/>
      <c r="J2833" s="602"/>
      <c r="K2833" s="602"/>
      <c r="L2833" s="602"/>
      <c r="M2833" s="602"/>
      <c r="N2833" s="603"/>
    </row>
    <row r="2834" spans="1:15" ht="25.5" customHeight="1">
      <c r="E2834" s="206"/>
      <c r="F2834" s="206"/>
      <c r="G2834" s="206"/>
      <c r="H2834" s="206"/>
      <c r="I2834" s="206"/>
      <c r="J2834" s="206"/>
      <c r="K2834" s="206"/>
    </row>
    <row r="2835" spans="1:15" ht="21.6" thickBot="1"/>
    <row r="2836" spans="1:15" ht="95.25" customHeight="1" thickBot="1">
      <c r="A2836" s="592" t="s">
        <v>1883</v>
      </c>
      <c r="B2836" s="593"/>
      <c r="C2836" s="593"/>
      <c r="D2836" s="593"/>
      <c r="E2836" s="593"/>
      <c r="F2836" s="593"/>
      <c r="G2836" s="593"/>
      <c r="H2836" s="593"/>
      <c r="I2836" s="593"/>
      <c r="J2836" s="593"/>
      <c r="K2836" s="593"/>
      <c r="L2836" s="593"/>
      <c r="M2836" s="593"/>
      <c r="N2836" s="594"/>
    </row>
    <row r="2837" spans="1:15" s="3" customFormat="1" ht="37.5" customHeight="1">
      <c r="A2837" s="134" t="s">
        <v>1884</v>
      </c>
      <c r="B2837" s="166"/>
      <c r="C2837" s="166"/>
      <c r="D2837" s="123"/>
      <c r="E2837" s="123"/>
      <c r="F2837" s="167" t="s">
        <v>1885</v>
      </c>
      <c r="G2837" s="167" t="s">
        <v>1886</v>
      </c>
      <c r="H2837" s="167"/>
      <c r="I2837" s="167"/>
      <c r="J2837" s="167"/>
      <c r="K2837" s="167"/>
      <c r="L2837" s="167"/>
      <c r="M2837" s="167"/>
      <c r="N2837" s="152"/>
      <c r="O2837" s="201"/>
    </row>
    <row r="2838" spans="1:15" s="4" customFormat="1" ht="25.2">
      <c r="A2838" s="125" t="s">
        <v>1887</v>
      </c>
      <c r="B2838" s="123"/>
      <c r="C2838" s="123"/>
      <c r="D2838" s="123"/>
      <c r="E2838" s="123"/>
      <c r="F2838" s="167"/>
      <c r="G2838" s="167" t="s">
        <v>1888</v>
      </c>
      <c r="H2838" s="167"/>
      <c r="I2838" s="167"/>
      <c r="J2838" s="167"/>
      <c r="K2838" s="167"/>
      <c r="L2838" s="167"/>
      <c r="M2838" s="167"/>
      <c r="N2838" s="152"/>
    </row>
    <row r="2839" spans="1:15" s="3" customFormat="1" ht="9.9" customHeight="1">
      <c r="A2839" s="125"/>
      <c r="B2839" s="123"/>
      <c r="C2839" s="123"/>
      <c r="D2839" s="123"/>
      <c r="E2839" s="123"/>
      <c r="F2839" s="167"/>
      <c r="G2839" s="123"/>
      <c r="H2839" s="123"/>
      <c r="I2839" s="123"/>
      <c r="J2839" s="123"/>
      <c r="K2839" s="123"/>
      <c r="L2839" s="123"/>
      <c r="M2839" s="123"/>
      <c r="N2839" s="126"/>
    </row>
    <row r="2840" spans="1:15" s="3" customFormat="1" ht="42.75" customHeight="1">
      <c r="A2840" s="125" t="s">
        <v>1889</v>
      </c>
      <c r="B2840" s="123"/>
      <c r="C2840" s="123"/>
      <c r="D2840" s="123"/>
      <c r="E2840" s="123"/>
      <c r="F2840" s="167" t="s">
        <v>1885</v>
      </c>
      <c r="G2840" s="167" t="str">
        <f>PL!$B$13</f>
        <v>Branch of JSC "Doosan Enerbility" in the Turkestan region</v>
      </c>
      <c r="H2840" s="123"/>
      <c r="I2840" s="123"/>
      <c r="J2840" s="123"/>
      <c r="K2840" s="123"/>
      <c r="L2840" s="123"/>
      <c r="M2840" s="123"/>
      <c r="N2840" s="126"/>
    </row>
    <row r="2841" spans="1:15" s="3" customFormat="1" ht="24" customHeight="1">
      <c r="A2841" s="125" t="s">
        <v>1890</v>
      </c>
      <c r="B2841" s="123"/>
      <c r="C2841" s="123"/>
      <c r="D2841" s="123"/>
      <c r="E2841" s="123"/>
      <c r="F2841" s="168"/>
      <c r="G2841" s="167" t="str">
        <f>PL!$B$14</f>
        <v>321 Tauke Khan Avenue, Turkestan region, Turkestan, Kazakhstan, 161200</v>
      </c>
      <c r="H2841" s="123"/>
      <c r="I2841" s="123"/>
      <c r="J2841" s="123"/>
      <c r="K2841" s="123"/>
      <c r="L2841" s="123"/>
      <c r="M2841" s="123"/>
      <c r="N2841" s="126"/>
    </row>
    <row r="2842" spans="1:15" s="4" customFormat="1" ht="25.2">
      <c r="A2842" s="125"/>
      <c r="B2842" s="123"/>
      <c r="C2842" s="123"/>
      <c r="D2842" s="123"/>
      <c r="E2842" s="123"/>
      <c r="F2842" s="168"/>
      <c r="G2842" s="167" t="str">
        <f>PL!$B$15</f>
        <v>BIN: 230741006561</v>
      </c>
      <c r="H2842" s="123"/>
      <c r="I2842" s="123"/>
      <c r="J2842" s="123"/>
      <c r="K2842" s="123"/>
      <c r="L2842" s="123"/>
      <c r="M2842" s="123"/>
      <c r="N2842" s="126"/>
    </row>
    <row r="2843" spans="1:15" s="3" customFormat="1" ht="9.9" customHeight="1">
      <c r="A2843" s="125"/>
      <c r="B2843" s="123"/>
      <c r="C2843" s="123"/>
      <c r="D2843" s="123"/>
      <c r="E2843" s="123"/>
      <c r="F2843" s="169"/>
      <c r="G2843" s="169"/>
      <c r="H2843" s="123"/>
      <c r="I2843" s="123"/>
      <c r="J2843" s="123"/>
      <c r="K2843" s="123"/>
      <c r="L2843" s="123"/>
      <c r="M2843" s="123"/>
      <c r="N2843" s="126"/>
    </row>
    <row r="2844" spans="1:15" s="3" customFormat="1" ht="25.2">
      <c r="A2844" s="125" t="s">
        <v>1891</v>
      </c>
      <c r="B2844" s="123"/>
      <c r="C2844" s="123"/>
      <c r="D2844" s="123"/>
      <c r="E2844" s="123"/>
      <c r="F2844" s="167" t="s">
        <v>1892</v>
      </c>
      <c r="G2844" s="123"/>
      <c r="H2844" s="123"/>
      <c r="I2844" s="123"/>
      <c r="J2844" s="123"/>
      <c r="K2844" s="123"/>
      <c r="L2844" s="123"/>
      <c r="M2844" s="123"/>
      <c r="N2844" s="126"/>
    </row>
    <row r="2845" spans="1:15" s="4" customFormat="1" ht="25.2">
      <c r="A2845" s="125" t="s">
        <v>1893</v>
      </c>
      <c r="B2845" s="123"/>
      <c r="C2845" s="123"/>
      <c r="D2845" s="123"/>
      <c r="E2845" s="123"/>
      <c r="F2845" s="167" t="s">
        <v>1894</v>
      </c>
      <c r="G2845" s="123"/>
      <c r="H2845" s="123"/>
      <c r="I2845" s="123"/>
      <c r="J2845" s="123"/>
      <c r="K2845" s="123"/>
      <c r="L2845" s="123"/>
      <c r="M2845" s="123"/>
      <c r="N2845" s="126"/>
    </row>
    <row r="2846" spans="1:15" s="3" customFormat="1" ht="9.9" customHeight="1">
      <c r="A2846" s="125"/>
      <c r="B2846" s="123"/>
      <c r="C2846" s="123"/>
      <c r="D2846" s="123"/>
      <c r="E2846" s="123"/>
      <c r="F2846" s="167"/>
      <c r="G2846" s="123"/>
      <c r="H2846" s="123"/>
      <c r="I2846" s="123"/>
      <c r="J2846" s="123"/>
      <c r="K2846" s="123"/>
      <c r="L2846" s="123"/>
      <c r="M2846" s="123"/>
      <c r="N2846" s="126"/>
    </row>
    <row r="2847" spans="1:15" s="3" customFormat="1" ht="25.2">
      <c r="A2847" s="125" t="s">
        <v>1895</v>
      </c>
      <c r="B2847" s="123"/>
      <c r="C2847" s="123"/>
      <c r="D2847" s="123"/>
      <c r="E2847" s="123"/>
      <c r="F2847" s="167" t="s">
        <v>1896</v>
      </c>
      <c r="G2847" s="167" t="str">
        <f>PL!$V$8</f>
        <v>PGU-DE-0139-001</v>
      </c>
      <c r="H2847" s="123"/>
      <c r="I2847" s="123"/>
      <c r="J2847" s="123"/>
      <c r="K2847" s="123"/>
      <c r="L2847" s="123"/>
      <c r="M2847" s="123"/>
      <c r="N2847" s="126"/>
    </row>
    <row r="2848" spans="1:15" s="3" customFormat="1" ht="25.2">
      <c r="A2848" s="125" t="s">
        <v>1897</v>
      </c>
      <c r="B2848" s="123"/>
      <c r="C2848" s="123"/>
      <c r="D2848" s="123"/>
      <c r="E2848" s="123"/>
      <c r="F2848" s="167"/>
      <c r="G2848" s="123"/>
      <c r="H2848" s="123"/>
      <c r="I2848" s="123"/>
      <c r="J2848" s="123"/>
      <c r="K2848" s="123"/>
      <c r="L2848" s="123"/>
      <c r="M2848" s="123"/>
      <c r="N2848" s="126"/>
    </row>
    <row r="2849" spans="1:14" s="3" customFormat="1" ht="9.9" customHeight="1">
      <c r="A2849" s="125"/>
      <c r="B2849" s="123"/>
      <c r="C2849" s="123"/>
      <c r="D2849" s="123"/>
      <c r="E2849" s="123"/>
      <c r="F2849" s="167"/>
      <c r="G2849" s="123"/>
      <c r="H2849" s="123"/>
      <c r="I2849" s="123"/>
      <c r="J2849" s="123"/>
      <c r="K2849" s="123"/>
      <c r="L2849" s="123"/>
      <c r="M2849" s="123"/>
      <c r="N2849" s="126"/>
    </row>
    <row r="2850" spans="1:14" s="3" customFormat="1" ht="31.2" customHeight="1">
      <c r="A2850" s="127" t="s">
        <v>1898</v>
      </c>
      <c r="B2850" s="170"/>
      <c r="C2850" s="170"/>
      <c r="D2850" s="170"/>
      <c r="E2850" s="170"/>
      <c r="F2850" s="171" t="s">
        <v>1885</v>
      </c>
      <c r="G2850" s="597" t="e">
        <f>VLOOKUP(G2853, 'Detail PL'!$B$14:$Q$799,2)</f>
        <v>#N/A</v>
      </c>
      <c r="H2850" s="597"/>
      <c r="I2850" s="597"/>
      <c r="J2850" s="597"/>
      <c r="K2850" s="597"/>
      <c r="L2850" s="597"/>
      <c r="M2850" s="597"/>
      <c r="N2850" s="128"/>
    </row>
    <row r="2851" spans="1:14" s="3" customFormat="1" ht="25.2">
      <c r="A2851" s="127" t="s">
        <v>1899</v>
      </c>
      <c r="B2851" s="170"/>
      <c r="C2851" s="170"/>
      <c r="D2851" s="170"/>
      <c r="E2851" s="170"/>
      <c r="F2851" s="171"/>
      <c r="G2851" s="170"/>
      <c r="H2851" s="170"/>
      <c r="I2851" s="170"/>
      <c r="J2851" s="170"/>
      <c r="K2851" s="170"/>
      <c r="L2851" s="170"/>
      <c r="M2851" s="170"/>
      <c r="N2851" s="128"/>
    </row>
    <row r="2852" spans="1:14" s="3" customFormat="1" ht="9.9" customHeight="1">
      <c r="A2852" s="125"/>
      <c r="B2852" s="123"/>
      <c r="C2852" s="123"/>
      <c r="D2852" s="123"/>
      <c r="E2852" s="123"/>
      <c r="F2852" s="167"/>
      <c r="G2852" s="123"/>
      <c r="H2852" s="123"/>
      <c r="I2852" s="123"/>
      <c r="J2852" s="123"/>
      <c r="K2852" s="123"/>
      <c r="L2852" s="123"/>
      <c r="M2852" s="123"/>
      <c r="N2852" s="126"/>
    </row>
    <row r="2853" spans="1:14" s="3" customFormat="1" ht="25.2">
      <c r="A2853" s="125" t="s">
        <v>1900</v>
      </c>
      <c r="B2853" s="123"/>
      <c r="C2853" s="123"/>
      <c r="D2853" s="123"/>
      <c r="E2853" s="123"/>
      <c r="F2853" s="171" t="s">
        <v>1901</v>
      </c>
      <c r="G2853" s="604">
        <f t="shared" ref="G2853" si="79">G2818+1</f>
        <v>82</v>
      </c>
      <c r="H2853" s="604"/>
      <c r="I2853" s="604"/>
      <c r="J2853" s="604"/>
      <c r="K2853" s="604"/>
      <c r="L2853" s="123"/>
      <c r="M2853" s="123"/>
      <c r="N2853" s="126"/>
    </row>
    <row r="2854" spans="1:14" s="4" customFormat="1" ht="25.2">
      <c r="A2854" s="125" t="s">
        <v>1903</v>
      </c>
      <c r="B2854" s="123"/>
      <c r="C2854" s="123"/>
      <c r="D2854" s="123"/>
      <c r="E2854" s="123"/>
      <c r="F2854" s="167"/>
      <c r="G2854" s="167"/>
      <c r="H2854" s="123"/>
      <c r="I2854" s="123"/>
      <c r="J2854" s="123"/>
      <c r="K2854" s="123"/>
      <c r="L2854" s="123"/>
      <c r="M2854" s="123"/>
      <c r="N2854" s="126"/>
    </row>
    <row r="2855" spans="1:14" s="3" customFormat="1" ht="9.9" customHeight="1">
      <c r="A2855" s="125"/>
      <c r="B2855" s="123"/>
      <c r="C2855" s="123"/>
      <c r="D2855" s="123"/>
      <c r="E2855" s="123"/>
      <c r="F2855" s="167"/>
      <c r="G2855" s="167"/>
      <c r="H2855" s="123"/>
      <c r="I2855" s="123"/>
      <c r="J2855" s="123"/>
      <c r="K2855" s="123"/>
      <c r="L2855" s="123"/>
      <c r="M2855" s="123"/>
      <c r="N2855" s="126"/>
    </row>
    <row r="2856" spans="1:14" s="3" customFormat="1" ht="25.2">
      <c r="A2856" s="125" t="s">
        <v>1904</v>
      </c>
      <c r="B2856" s="123"/>
      <c r="C2856" s="123"/>
      <c r="D2856" s="123"/>
      <c r="E2856" s="123"/>
      <c r="F2856" s="167" t="s">
        <v>1896</v>
      </c>
      <c r="G2856" s="204" t="e">
        <f>VLOOKUP(G2853, 'Detail PL'!$B$14:$Q$799, 10)</f>
        <v>#N/A</v>
      </c>
      <c r="H2856" s="204" t="s">
        <v>1905</v>
      </c>
      <c r="I2856" s="204"/>
      <c r="J2856" s="204"/>
      <c r="K2856" s="123"/>
      <c r="L2856" s="123"/>
      <c r="M2856" s="123"/>
      <c r="N2856" s="126"/>
    </row>
    <row r="2857" spans="1:14" s="4" customFormat="1" ht="25.2">
      <c r="A2857" s="125" t="s">
        <v>1906</v>
      </c>
      <c r="B2857" s="123"/>
      <c r="C2857" s="123"/>
      <c r="D2857" s="123"/>
      <c r="E2857" s="123"/>
      <c r="F2857" s="167"/>
      <c r="G2857" s="167"/>
      <c r="H2857" s="167"/>
      <c r="I2857" s="123"/>
      <c r="J2857" s="123"/>
      <c r="K2857" s="123"/>
      <c r="L2857" s="123"/>
      <c r="M2857" s="123"/>
      <c r="N2857" s="126"/>
    </row>
    <row r="2858" spans="1:14" s="3" customFormat="1" ht="9.9" customHeight="1">
      <c r="A2858" s="125"/>
      <c r="B2858" s="123"/>
      <c r="C2858" s="123"/>
      <c r="D2858" s="123"/>
      <c r="E2858" s="123"/>
      <c r="F2858" s="167"/>
      <c r="G2858" s="167"/>
      <c r="H2858" s="167"/>
      <c r="I2858" s="123"/>
      <c r="J2858" s="123"/>
      <c r="K2858" s="123"/>
      <c r="L2858" s="123"/>
      <c r="M2858" s="123"/>
      <c r="N2858" s="126"/>
    </row>
    <row r="2859" spans="1:14" s="3" customFormat="1" ht="25.2">
      <c r="A2859" s="125" t="s">
        <v>1907</v>
      </c>
      <c r="B2859" s="123"/>
      <c r="C2859" s="123"/>
      <c r="D2859" s="123"/>
      <c r="E2859" s="123"/>
      <c r="F2859" s="167" t="s">
        <v>1896</v>
      </c>
      <c r="G2859" s="204" t="e">
        <f>VLOOKUP(G2853, 'Detail PL'!$B$14:$Q$799, 11)</f>
        <v>#N/A</v>
      </c>
      <c r="H2859" s="204" t="s">
        <v>1905</v>
      </c>
      <c r="I2859" s="204"/>
      <c r="J2859" s="204"/>
      <c r="K2859" s="123"/>
      <c r="L2859" s="123"/>
      <c r="M2859" s="123"/>
      <c r="N2859" s="126"/>
    </row>
    <row r="2860" spans="1:14" s="4" customFormat="1" ht="25.2">
      <c r="A2860" s="125" t="s">
        <v>1908</v>
      </c>
      <c r="B2860" s="123"/>
      <c r="C2860" s="123"/>
      <c r="D2860" s="123"/>
      <c r="E2860" s="123"/>
      <c r="F2860" s="167"/>
      <c r="G2860" s="167"/>
      <c r="H2860" s="123"/>
      <c r="I2860" s="123"/>
      <c r="J2860" s="123"/>
      <c r="K2860" s="123"/>
      <c r="L2860" s="123"/>
      <c r="M2860" s="123"/>
      <c r="N2860" s="126"/>
    </row>
    <row r="2861" spans="1:14" s="3" customFormat="1" ht="9.9" customHeight="1">
      <c r="A2861" s="125"/>
      <c r="B2861" s="123"/>
      <c r="C2861" s="123"/>
      <c r="D2861" s="123"/>
      <c r="E2861" s="123"/>
      <c r="F2861" s="167"/>
      <c r="G2861" s="167"/>
      <c r="H2861" s="123"/>
      <c r="I2861" s="123"/>
      <c r="J2861" s="123"/>
      <c r="K2861" s="123"/>
      <c r="L2861" s="123"/>
      <c r="M2861" s="123"/>
      <c r="N2861" s="126"/>
    </row>
    <row r="2862" spans="1:14" s="3" customFormat="1" ht="25.2">
      <c r="A2862" s="129" t="s">
        <v>1909</v>
      </c>
      <c r="B2862" s="123"/>
      <c r="C2862" s="123"/>
      <c r="D2862" s="123"/>
      <c r="E2862" s="123"/>
      <c r="F2862" s="167" t="s">
        <v>1896</v>
      </c>
      <c r="G2862" s="204" t="e">
        <f>VLOOKUP(G2853, 'Detail PL'!$B$14:$Q$799, 9)</f>
        <v>#N/A</v>
      </c>
      <c r="H2862" s="205" t="s">
        <v>1910</v>
      </c>
      <c r="I2862" s="203"/>
      <c r="J2862" s="203"/>
      <c r="K2862" s="172"/>
      <c r="L2862" s="123"/>
      <c r="M2862" s="123"/>
      <c r="N2862" s="126"/>
    </row>
    <row r="2863" spans="1:14" s="4" customFormat="1" ht="25.2">
      <c r="A2863" s="125" t="s">
        <v>1911</v>
      </c>
      <c r="B2863" s="123"/>
      <c r="C2863" s="123"/>
      <c r="D2863" s="123"/>
      <c r="E2863" s="123"/>
      <c r="F2863" s="167"/>
      <c r="G2863" s="167"/>
      <c r="H2863" s="123"/>
      <c r="I2863" s="123"/>
      <c r="J2863" s="123"/>
      <c r="K2863" s="123"/>
      <c r="L2863" s="123"/>
      <c r="M2863" s="123"/>
      <c r="N2863" s="126"/>
    </row>
    <row r="2864" spans="1:14" s="3" customFormat="1" ht="9.9" customHeight="1">
      <c r="A2864" s="125"/>
      <c r="B2864" s="123"/>
      <c r="C2864" s="123"/>
      <c r="D2864" s="123"/>
      <c r="E2864" s="123"/>
      <c r="F2864" s="167"/>
      <c r="G2864" s="167"/>
      <c r="H2864" s="123"/>
      <c r="I2864" s="123"/>
      <c r="J2864" s="123"/>
      <c r="K2864" s="123"/>
      <c r="L2864" s="123"/>
      <c r="M2864" s="123"/>
      <c r="N2864" s="126"/>
    </row>
    <row r="2865" spans="1:15" s="3" customFormat="1" ht="42" customHeight="1">
      <c r="A2865" s="125" t="s">
        <v>1912</v>
      </c>
      <c r="B2865" s="123"/>
      <c r="C2865" s="123"/>
      <c r="D2865" s="123"/>
      <c r="E2865" s="123"/>
      <c r="F2865" s="166" t="s">
        <v>1913</v>
      </c>
      <c r="G2865" s="595" t="s">
        <v>1914</v>
      </c>
      <c r="H2865" s="595"/>
      <c r="I2865" s="595"/>
      <c r="J2865" s="595"/>
      <c r="K2865" s="595"/>
      <c r="L2865" s="595"/>
      <c r="M2865" s="595"/>
      <c r="N2865" s="596"/>
    </row>
    <row r="2866" spans="1:15" s="4" customFormat="1" ht="25.8" thickBot="1">
      <c r="A2866" s="125" t="s">
        <v>1915</v>
      </c>
      <c r="B2866" s="123"/>
      <c r="C2866" s="123"/>
      <c r="D2866" s="123"/>
      <c r="E2866" s="123"/>
      <c r="F2866" s="167"/>
      <c r="G2866" s="167"/>
      <c r="H2866" s="123"/>
      <c r="I2866" s="123"/>
      <c r="J2866" s="123"/>
      <c r="K2866" s="123"/>
      <c r="L2866" s="123"/>
      <c r="M2866" s="123"/>
      <c r="N2866" s="126"/>
    </row>
    <row r="2867" spans="1:15" ht="21" customHeight="1">
      <c r="A2867" s="598" t="s">
        <v>1916</v>
      </c>
      <c r="B2867" s="599"/>
      <c r="C2867" s="599"/>
      <c r="D2867" s="599"/>
      <c r="E2867" s="599"/>
      <c r="F2867" s="599"/>
      <c r="G2867" s="599"/>
      <c r="H2867" s="599"/>
      <c r="I2867" s="599"/>
      <c r="J2867" s="599"/>
      <c r="K2867" s="599"/>
      <c r="L2867" s="599"/>
      <c r="M2867" s="599"/>
      <c r="N2867" s="600"/>
    </row>
    <row r="2868" spans="1:15" ht="25.5" customHeight="1" thickBot="1">
      <c r="A2868" s="601"/>
      <c r="B2868" s="602"/>
      <c r="C2868" s="602"/>
      <c r="D2868" s="602"/>
      <c r="E2868" s="602"/>
      <c r="F2868" s="602"/>
      <c r="G2868" s="602"/>
      <c r="H2868" s="602"/>
      <c r="I2868" s="602"/>
      <c r="J2868" s="602"/>
      <c r="K2868" s="602"/>
      <c r="L2868" s="602"/>
      <c r="M2868" s="602"/>
      <c r="N2868" s="603"/>
    </row>
    <row r="2869" spans="1:15" ht="25.5" customHeight="1">
      <c r="E2869" s="206"/>
      <c r="F2869" s="206"/>
      <c r="G2869" s="206"/>
      <c r="H2869" s="206"/>
      <c r="I2869" s="206"/>
      <c r="J2869" s="206"/>
      <c r="K2869" s="206"/>
    </row>
    <row r="2870" spans="1:15" ht="21.6" thickBot="1"/>
    <row r="2871" spans="1:15" ht="95.25" customHeight="1" thickBot="1">
      <c r="A2871" s="592" t="s">
        <v>1883</v>
      </c>
      <c r="B2871" s="593"/>
      <c r="C2871" s="593"/>
      <c r="D2871" s="593"/>
      <c r="E2871" s="593"/>
      <c r="F2871" s="593"/>
      <c r="G2871" s="593"/>
      <c r="H2871" s="593"/>
      <c r="I2871" s="593"/>
      <c r="J2871" s="593"/>
      <c r="K2871" s="593"/>
      <c r="L2871" s="593"/>
      <c r="M2871" s="593"/>
      <c r="N2871" s="594"/>
    </row>
    <row r="2872" spans="1:15" s="3" customFormat="1" ht="37.5" customHeight="1">
      <c r="A2872" s="134" t="s">
        <v>1884</v>
      </c>
      <c r="B2872" s="166"/>
      <c r="C2872" s="166"/>
      <c r="D2872" s="123"/>
      <c r="E2872" s="123"/>
      <c r="F2872" s="167" t="s">
        <v>1885</v>
      </c>
      <c r="G2872" s="167" t="s">
        <v>1886</v>
      </c>
      <c r="H2872" s="167"/>
      <c r="I2872" s="167"/>
      <c r="J2872" s="167"/>
      <c r="K2872" s="167"/>
      <c r="L2872" s="167"/>
      <c r="M2872" s="167"/>
      <c r="N2872" s="152"/>
      <c r="O2872" s="201"/>
    </row>
    <row r="2873" spans="1:15" s="4" customFormat="1" ht="25.2">
      <c r="A2873" s="125" t="s">
        <v>1887</v>
      </c>
      <c r="B2873" s="123"/>
      <c r="C2873" s="123"/>
      <c r="D2873" s="123"/>
      <c r="E2873" s="123"/>
      <c r="F2873" s="167"/>
      <c r="G2873" s="167" t="s">
        <v>1888</v>
      </c>
      <c r="H2873" s="167"/>
      <c r="I2873" s="167"/>
      <c r="J2873" s="167"/>
      <c r="K2873" s="167"/>
      <c r="L2873" s="167"/>
      <c r="M2873" s="167"/>
      <c r="N2873" s="152"/>
    </row>
    <row r="2874" spans="1:15" s="3" customFormat="1" ht="9.9" customHeight="1">
      <c r="A2874" s="125"/>
      <c r="B2874" s="123"/>
      <c r="C2874" s="123"/>
      <c r="D2874" s="123"/>
      <c r="E2874" s="123"/>
      <c r="F2874" s="167"/>
      <c r="G2874" s="123"/>
      <c r="H2874" s="123"/>
      <c r="I2874" s="123"/>
      <c r="J2874" s="123"/>
      <c r="K2874" s="123"/>
      <c r="L2874" s="123"/>
      <c r="M2874" s="123"/>
      <c r="N2874" s="126"/>
    </row>
    <row r="2875" spans="1:15" s="3" customFormat="1" ht="42.75" customHeight="1">
      <c r="A2875" s="125" t="s">
        <v>1889</v>
      </c>
      <c r="B2875" s="123"/>
      <c r="C2875" s="123"/>
      <c r="D2875" s="123"/>
      <c r="E2875" s="123"/>
      <c r="F2875" s="167" t="s">
        <v>1885</v>
      </c>
      <c r="G2875" s="167" t="str">
        <f>PL!$B$13</f>
        <v>Branch of JSC "Doosan Enerbility" in the Turkestan region</v>
      </c>
      <c r="H2875" s="123"/>
      <c r="I2875" s="123"/>
      <c r="J2875" s="123"/>
      <c r="K2875" s="123"/>
      <c r="L2875" s="123"/>
      <c r="M2875" s="123"/>
      <c r="N2875" s="126"/>
    </row>
    <row r="2876" spans="1:15" s="3" customFormat="1" ht="24" customHeight="1">
      <c r="A2876" s="125" t="s">
        <v>1890</v>
      </c>
      <c r="B2876" s="123"/>
      <c r="C2876" s="123"/>
      <c r="D2876" s="123"/>
      <c r="E2876" s="123"/>
      <c r="F2876" s="168"/>
      <c r="G2876" s="167" t="str">
        <f>PL!$B$14</f>
        <v>321 Tauke Khan Avenue, Turkestan region, Turkestan, Kazakhstan, 161200</v>
      </c>
      <c r="H2876" s="123"/>
      <c r="I2876" s="123"/>
      <c r="J2876" s="123"/>
      <c r="K2876" s="123"/>
      <c r="L2876" s="123"/>
      <c r="M2876" s="123"/>
      <c r="N2876" s="126"/>
    </row>
    <row r="2877" spans="1:15" s="4" customFormat="1" ht="25.2">
      <c r="A2877" s="125"/>
      <c r="B2877" s="123"/>
      <c r="C2877" s="123"/>
      <c r="D2877" s="123"/>
      <c r="E2877" s="123"/>
      <c r="F2877" s="168"/>
      <c r="G2877" s="167" t="str">
        <f>PL!$B$15</f>
        <v>BIN: 230741006561</v>
      </c>
      <c r="H2877" s="123"/>
      <c r="I2877" s="123"/>
      <c r="J2877" s="123"/>
      <c r="K2877" s="123"/>
      <c r="L2877" s="123"/>
      <c r="M2877" s="123"/>
      <c r="N2877" s="126"/>
    </row>
    <row r="2878" spans="1:15" s="3" customFormat="1" ht="9.9" customHeight="1">
      <c r="A2878" s="125"/>
      <c r="B2878" s="123"/>
      <c r="C2878" s="123"/>
      <c r="D2878" s="123"/>
      <c r="E2878" s="123"/>
      <c r="F2878" s="169"/>
      <c r="G2878" s="169"/>
      <c r="H2878" s="123"/>
      <c r="I2878" s="123"/>
      <c r="J2878" s="123"/>
      <c r="K2878" s="123"/>
      <c r="L2878" s="123"/>
      <c r="M2878" s="123"/>
      <c r="N2878" s="126"/>
    </row>
    <row r="2879" spans="1:15" s="3" customFormat="1" ht="25.2">
      <c r="A2879" s="125" t="s">
        <v>1891</v>
      </c>
      <c r="B2879" s="123"/>
      <c r="C2879" s="123"/>
      <c r="D2879" s="123"/>
      <c r="E2879" s="123"/>
      <c r="F2879" s="167" t="s">
        <v>1892</v>
      </c>
      <c r="G2879" s="123"/>
      <c r="H2879" s="123"/>
      <c r="I2879" s="123"/>
      <c r="J2879" s="123"/>
      <c r="K2879" s="123"/>
      <c r="L2879" s="123"/>
      <c r="M2879" s="123"/>
      <c r="N2879" s="126"/>
    </row>
    <row r="2880" spans="1:15" s="4" customFormat="1" ht="25.2">
      <c r="A2880" s="125" t="s">
        <v>1893</v>
      </c>
      <c r="B2880" s="123"/>
      <c r="C2880" s="123"/>
      <c r="D2880" s="123"/>
      <c r="E2880" s="123"/>
      <c r="F2880" s="167" t="s">
        <v>1894</v>
      </c>
      <c r="G2880" s="123"/>
      <c r="H2880" s="123"/>
      <c r="I2880" s="123"/>
      <c r="J2880" s="123"/>
      <c r="K2880" s="123"/>
      <c r="L2880" s="123"/>
      <c r="M2880" s="123"/>
      <c r="N2880" s="126"/>
    </row>
    <row r="2881" spans="1:14" s="3" customFormat="1" ht="9.9" customHeight="1">
      <c r="A2881" s="125"/>
      <c r="B2881" s="123"/>
      <c r="C2881" s="123"/>
      <c r="D2881" s="123"/>
      <c r="E2881" s="123"/>
      <c r="F2881" s="167"/>
      <c r="G2881" s="123"/>
      <c r="H2881" s="123"/>
      <c r="I2881" s="123"/>
      <c r="J2881" s="123"/>
      <c r="K2881" s="123"/>
      <c r="L2881" s="123"/>
      <c r="M2881" s="123"/>
      <c r="N2881" s="126"/>
    </row>
    <row r="2882" spans="1:14" s="3" customFormat="1" ht="25.2">
      <c r="A2882" s="125" t="s">
        <v>1895</v>
      </c>
      <c r="B2882" s="123"/>
      <c r="C2882" s="123"/>
      <c r="D2882" s="123"/>
      <c r="E2882" s="123"/>
      <c r="F2882" s="167" t="s">
        <v>1896</v>
      </c>
      <c r="G2882" s="167" t="str">
        <f>PL!$V$8</f>
        <v>PGU-DE-0139-001</v>
      </c>
      <c r="H2882" s="123"/>
      <c r="I2882" s="123"/>
      <c r="J2882" s="123"/>
      <c r="K2882" s="123"/>
      <c r="L2882" s="123"/>
      <c r="M2882" s="123"/>
      <c r="N2882" s="126"/>
    </row>
    <row r="2883" spans="1:14" s="3" customFormat="1" ht="25.2">
      <c r="A2883" s="125" t="s">
        <v>1897</v>
      </c>
      <c r="B2883" s="123"/>
      <c r="C2883" s="123"/>
      <c r="D2883" s="123"/>
      <c r="E2883" s="123"/>
      <c r="F2883" s="167"/>
      <c r="G2883" s="123"/>
      <c r="H2883" s="123"/>
      <c r="I2883" s="123"/>
      <c r="J2883" s="123"/>
      <c r="K2883" s="123"/>
      <c r="L2883" s="123"/>
      <c r="M2883" s="123"/>
      <c r="N2883" s="126"/>
    </row>
    <row r="2884" spans="1:14" s="3" customFormat="1" ht="9.9" customHeight="1">
      <c r="A2884" s="125"/>
      <c r="B2884" s="123"/>
      <c r="C2884" s="123"/>
      <c r="D2884" s="123"/>
      <c r="E2884" s="123"/>
      <c r="F2884" s="167"/>
      <c r="G2884" s="123"/>
      <c r="H2884" s="123"/>
      <c r="I2884" s="123"/>
      <c r="J2884" s="123"/>
      <c r="K2884" s="123"/>
      <c r="L2884" s="123"/>
      <c r="M2884" s="123"/>
      <c r="N2884" s="126"/>
    </row>
    <row r="2885" spans="1:14" s="3" customFormat="1" ht="31.2" customHeight="1">
      <c r="A2885" s="127" t="s">
        <v>1898</v>
      </c>
      <c r="B2885" s="170"/>
      <c r="C2885" s="170"/>
      <c r="D2885" s="170"/>
      <c r="E2885" s="170"/>
      <c r="F2885" s="171" t="s">
        <v>1885</v>
      </c>
      <c r="G2885" s="597" t="e">
        <f>VLOOKUP(G2888, 'Detail PL'!$B$14:$Q$799,2)</f>
        <v>#N/A</v>
      </c>
      <c r="H2885" s="597"/>
      <c r="I2885" s="597"/>
      <c r="J2885" s="597"/>
      <c r="K2885" s="597"/>
      <c r="L2885" s="597"/>
      <c r="M2885" s="597"/>
      <c r="N2885" s="128"/>
    </row>
    <row r="2886" spans="1:14" s="3" customFormat="1" ht="25.2">
      <c r="A2886" s="127" t="s">
        <v>1899</v>
      </c>
      <c r="B2886" s="170"/>
      <c r="C2886" s="170"/>
      <c r="D2886" s="170"/>
      <c r="E2886" s="170"/>
      <c r="F2886" s="171"/>
      <c r="G2886" s="170"/>
      <c r="H2886" s="170"/>
      <c r="I2886" s="170"/>
      <c r="J2886" s="170"/>
      <c r="K2886" s="170"/>
      <c r="L2886" s="170"/>
      <c r="M2886" s="170"/>
      <c r="N2886" s="128"/>
    </row>
    <row r="2887" spans="1:14" s="3" customFormat="1" ht="9.9" customHeight="1">
      <c r="A2887" s="125"/>
      <c r="B2887" s="123"/>
      <c r="C2887" s="123"/>
      <c r="D2887" s="123"/>
      <c r="E2887" s="123"/>
      <c r="F2887" s="167"/>
      <c r="G2887" s="123"/>
      <c r="H2887" s="123"/>
      <c r="I2887" s="123"/>
      <c r="J2887" s="123"/>
      <c r="K2887" s="123"/>
      <c r="L2887" s="123"/>
      <c r="M2887" s="123"/>
      <c r="N2887" s="126"/>
    </row>
    <row r="2888" spans="1:14" s="3" customFormat="1" ht="25.2">
      <c r="A2888" s="125" t="s">
        <v>1900</v>
      </c>
      <c r="B2888" s="123"/>
      <c r="C2888" s="123"/>
      <c r="D2888" s="123"/>
      <c r="E2888" s="123"/>
      <c r="F2888" s="171" t="s">
        <v>1901</v>
      </c>
      <c r="G2888" s="604">
        <f t="shared" ref="G2888" si="80">G2853+1</f>
        <v>83</v>
      </c>
      <c r="H2888" s="604"/>
      <c r="I2888" s="604"/>
      <c r="J2888" s="604"/>
      <c r="K2888" s="604"/>
      <c r="L2888" s="123"/>
      <c r="M2888" s="123"/>
      <c r="N2888" s="126"/>
    </row>
    <row r="2889" spans="1:14" s="4" customFormat="1" ht="25.2">
      <c r="A2889" s="125" t="s">
        <v>1903</v>
      </c>
      <c r="B2889" s="123"/>
      <c r="C2889" s="123"/>
      <c r="D2889" s="123"/>
      <c r="E2889" s="123"/>
      <c r="F2889" s="167"/>
      <c r="G2889" s="167"/>
      <c r="H2889" s="123"/>
      <c r="I2889" s="123"/>
      <c r="J2889" s="123"/>
      <c r="K2889" s="123"/>
      <c r="L2889" s="123"/>
      <c r="M2889" s="123"/>
      <c r="N2889" s="126"/>
    </row>
    <row r="2890" spans="1:14" s="3" customFormat="1" ht="9.9" customHeight="1">
      <c r="A2890" s="125"/>
      <c r="B2890" s="123"/>
      <c r="C2890" s="123"/>
      <c r="D2890" s="123"/>
      <c r="E2890" s="123"/>
      <c r="F2890" s="167"/>
      <c r="G2890" s="167"/>
      <c r="H2890" s="123"/>
      <c r="I2890" s="123"/>
      <c r="J2890" s="123"/>
      <c r="K2890" s="123"/>
      <c r="L2890" s="123"/>
      <c r="M2890" s="123"/>
      <c r="N2890" s="126"/>
    </row>
    <row r="2891" spans="1:14" s="3" customFormat="1" ht="25.2">
      <c r="A2891" s="125" t="s">
        <v>1904</v>
      </c>
      <c r="B2891" s="123"/>
      <c r="C2891" s="123"/>
      <c r="D2891" s="123"/>
      <c r="E2891" s="123"/>
      <c r="F2891" s="167" t="s">
        <v>1896</v>
      </c>
      <c r="G2891" s="204" t="e">
        <f>VLOOKUP(G2888, 'Detail PL'!$B$14:$Q$799, 10)</f>
        <v>#N/A</v>
      </c>
      <c r="H2891" s="204" t="s">
        <v>1905</v>
      </c>
      <c r="I2891" s="204"/>
      <c r="J2891" s="204"/>
      <c r="K2891" s="123"/>
      <c r="L2891" s="123"/>
      <c r="M2891" s="123"/>
      <c r="N2891" s="126"/>
    </row>
    <row r="2892" spans="1:14" s="4" customFormat="1" ht="25.2">
      <c r="A2892" s="125" t="s">
        <v>1906</v>
      </c>
      <c r="B2892" s="123"/>
      <c r="C2892" s="123"/>
      <c r="D2892" s="123"/>
      <c r="E2892" s="123"/>
      <c r="F2892" s="167"/>
      <c r="G2892" s="167"/>
      <c r="H2892" s="167"/>
      <c r="I2892" s="123"/>
      <c r="J2892" s="123"/>
      <c r="K2892" s="123"/>
      <c r="L2892" s="123"/>
      <c r="M2892" s="123"/>
      <c r="N2892" s="126"/>
    </row>
    <row r="2893" spans="1:14" s="3" customFormat="1" ht="9.9" customHeight="1">
      <c r="A2893" s="125"/>
      <c r="B2893" s="123"/>
      <c r="C2893" s="123"/>
      <c r="D2893" s="123"/>
      <c r="E2893" s="123"/>
      <c r="F2893" s="167"/>
      <c r="G2893" s="167"/>
      <c r="H2893" s="167"/>
      <c r="I2893" s="123"/>
      <c r="J2893" s="123"/>
      <c r="K2893" s="123"/>
      <c r="L2893" s="123"/>
      <c r="M2893" s="123"/>
      <c r="N2893" s="126"/>
    </row>
    <row r="2894" spans="1:14" s="3" customFormat="1" ht="25.2">
      <c r="A2894" s="125" t="s">
        <v>1907</v>
      </c>
      <c r="B2894" s="123"/>
      <c r="C2894" s="123"/>
      <c r="D2894" s="123"/>
      <c r="E2894" s="123"/>
      <c r="F2894" s="167" t="s">
        <v>1896</v>
      </c>
      <c r="G2894" s="204" t="e">
        <f>VLOOKUP(G2888, 'Detail PL'!$B$14:$Q$799, 11)</f>
        <v>#N/A</v>
      </c>
      <c r="H2894" s="204" t="s">
        <v>1905</v>
      </c>
      <c r="I2894" s="204"/>
      <c r="J2894" s="204"/>
      <c r="K2894" s="123"/>
      <c r="L2894" s="123"/>
      <c r="M2894" s="123"/>
      <c r="N2894" s="126"/>
    </row>
    <row r="2895" spans="1:14" s="4" customFormat="1" ht="25.2">
      <c r="A2895" s="125" t="s">
        <v>1908</v>
      </c>
      <c r="B2895" s="123"/>
      <c r="C2895" s="123"/>
      <c r="D2895" s="123"/>
      <c r="E2895" s="123"/>
      <c r="F2895" s="167"/>
      <c r="G2895" s="167"/>
      <c r="H2895" s="123"/>
      <c r="I2895" s="123"/>
      <c r="J2895" s="123"/>
      <c r="K2895" s="123"/>
      <c r="L2895" s="123"/>
      <c r="M2895" s="123"/>
      <c r="N2895" s="126"/>
    </row>
    <row r="2896" spans="1:14" s="3" customFormat="1" ht="9.9" customHeight="1">
      <c r="A2896" s="125"/>
      <c r="B2896" s="123"/>
      <c r="C2896" s="123"/>
      <c r="D2896" s="123"/>
      <c r="E2896" s="123"/>
      <c r="F2896" s="167"/>
      <c r="G2896" s="167"/>
      <c r="H2896" s="123"/>
      <c r="I2896" s="123"/>
      <c r="J2896" s="123"/>
      <c r="K2896" s="123"/>
      <c r="L2896" s="123"/>
      <c r="M2896" s="123"/>
      <c r="N2896" s="126"/>
    </row>
    <row r="2897" spans="1:15" s="3" customFormat="1" ht="25.2">
      <c r="A2897" s="129" t="s">
        <v>1909</v>
      </c>
      <c r="B2897" s="123"/>
      <c r="C2897" s="123"/>
      <c r="D2897" s="123"/>
      <c r="E2897" s="123"/>
      <c r="F2897" s="167" t="s">
        <v>1896</v>
      </c>
      <c r="G2897" s="204" t="e">
        <f>VLOOKUP(G2888, 'Detail PL'!$B$14:$Q$799, 9)</f>
        <v>#N/A</v>
      </c>
      <c r="H2897" s="205" t="s">
        <v>1910</v>
      </c>
      <c r="I2897" s="203"/>
      <c r="J2897" s="203"/>
      <c r="K2897" s="172"/>
      <c r="L2897" s="123"/>
      <c r="M2897" s="123"/>
      <c r="N2897" s="126"/>
    </row>
    <row r="2898" spans="1:15" s="4" customFormat="1" ht="25.2">
      <c r="A2898" s="125" t="s">
        <v>1911</v>
      </c>
      <c r="B2898" s="123"/>
      <c r="C2898" s="123"/>
      <c r="D2898" s="123"/>
      <c r="E2898" s="123"/>
      <c r="F2898" s="167"/>
      <c r="G2898" s="167"/>
      <c r="H2898" s="123"/>
      <c r="I2898" s="123"/>
      <c r="J2898" s="123"/>
      <c r="K2898" s="123"/>
      <c r="L2898" s="123"/>
      <c r="M2898" s="123"/>
      <c r="N2898" s="126"/>
    </row>
    <row r="2899" spans="1:15" s="3" customFormat="1" ht="9.9" customHeight="1">
      <c r="A2899" s="125"/>
      <c r="B2899" s="123"/>
      <c r="C2899" s="123"/>
      <c r="D2899" s="123"/>
      <c r="E2899" s="123"/>
      <c r="F2899" s="167"/>
      <c r="G2899" s="167"/>
      <c r="H2899" s="123"/>
      <c r="I2899" s="123"/>
      <c r="J2899" s="123"/>
      <c r="K2899" s="123"/>
      <c r="L2899" s="123"/>
      <c r="M2899" s="123"/>
      <c r="N2899" s="126"/>
    </row>
    <row r="2900" spans="1:15" s="3" customFormat="1" ht="42" customHeight="1">
      <c r="A2900" s="125" t="s">
        <v>1912</v>
      </c>
      <c r="B2900" s="123"/>
      <c r="C2900" s="123"/>
      <c r="D2900" s="123"/>
      <c r="E2900" s="123"/>
      <c r="F2900" s="166" t="s">
        <v>1913</v>
      </c>
      <c r="G2900" s="595" t="s">
        <v>1914</v>
      </c>
      <c r="H2900" s="595"/>
      <c r="I2900" s="595"/>
      <c r="J2900" s="595"/>
      <c r="K2900" s="595"/>
      <c r="L2900" s="595"/>
      <c r="M2900" s="595"/>
      <c r="N2900" s="596"/>
    </row>
    <row r="2901" spans="1:15" s="4" customFormat="1" ht="25.8" thickBot="1">
      <c r="A2901" s="125" t="s">
        <v>1915</v>
      </c>
      <c r="B2901" s="123"/>
      <c r="C2901" s="123"/>
      <c r="D2901" s="123"/>
      <c r="E2901" s="123"/>
      <c r="F2901" s="167"/>
      <c r="G2901" s="167"/>
      <c r="H2901" s="123"/>
      <c r="I2901" s="123"/>
      <c r="J2901" s="123"/>
      <c r="K2901" s="123"/>
      <c r="L2901" s="123"/>
      <c r="M2901" s="123"/>
      <c r="N2901" s="126"/>
    </row>
    <row r="2902" spans="1:15" ht="21" customHeight="1">
      <c r="A2902" s="598" t="s">
        <v>1916</v>
      </c>
      <c r="B2902" s="599"/>
      <c r="C2902" s="599"/>
      <c r="D2902" s="599"/>
      <c r="E2902" s="599"/>
      <c r="F2902" s="599"/>
      <c r="G2902" s="599"/>
      <c r="H2902" s="599"/>
      <c r="I2902" s="599"/>
      <c r="J2902" s="599"/>
      <c r="K2902" s="599"/>
      <c r="L2902" s="599"/>
      <c r="M2902" s="599"/>
      <c r="N2902" s="600"/>
    </row>
    <row r="2903" spans="1:15" ht="25.5" customHeight="1" thickBot="1">
      <c r="A2903" s="601"/>
      <c r="B2903" s="602"/>
      <c r="C2903" s="602"/>
      <c r="D2903" s="602"/>
      <c r="E2903" s="602"/>
      <c r="F2903" s="602"/>
      <c r="G2903" s="602"/>
      <c r="H2903" s="602"/>
      <c r="I2903" s="602"/>
      <c r="J2903" s="602"/>
      <c r="K2903" s="602"/>
      <c r="L2903" s="602"/>
      <c r="M2903" s="602"/>
      <c r="N2903" s="603"/>
    </row>
    <row r="2904" spans="1:15" ht="25.5" customHeight="1">
      <c r="E2904" s="206"/>
      <c r="F2904" s="206"/>
      <c r="G2904" s="206"/>
      <c r="H2904" s="206"/>
      <c r="I2904" s="206"/>
      <c r="J2904" s="206"/>
      <c r="K2904" s="206"/>
    </row>
    <row r="2905" spans="1:15" ht="21.6" thickBot="1"/>
    <row r="2906" spans="1:15" ht="95.25" customHeight="1" thickBot="1">
      <c r="A2906" s="592" t="s">
        <v>1883</v>
      </c>
      <c r="B2906" s="593"/>
      <c r="C2906" s="593"/>
      <c r="D2906" s="593"/>
      <c r="E2906" s="593"/>
      <c r="F2906" s="593"/>
      <c r="G2906" s="593"/>
      <c r="H2906" s="593"/>
      <c r="I2906" s="593"/>
      <c r="J2906" s="593"/>
      <c r="K2906" s="593"/>
      <c r="L2906" s="593"/>
      <c r="M2906" s="593"/>
      <c r="N2906" s="594"/>
    </row>
    <row r="2907" spans="1:15" s="3" customFormat="1" ht="37.5" customHeight="1">
      <c r="A2907" s="134" t="s">
        <v>1884</v>
      </c>
      <c r="B2907" s="166"/>
      <c r="C2907" s="166"/>
      <c r="D2907" s="123"/>
      <c r="E2907" s="123"/>
      <c r="F2907" s="167" t="s">
        <v>1885</v>
      </c>
      <c r="G2907" s="167" t="s">
        <v>1886</v>
      </c>
      <c r="H2907" s="167"/>
      <c r="I2907" s="167"/>
      <c r="J2907" s="167"/>
      <c r="K2907" s="167"/>
      <c r="L2907" s="167"/>
      <c r="M2907" s="167"/>
      <c r="N2907" s="152"/>
      <c r="O2907" s="201"/>
    </row>
    <row r="2908" spans="1:15" s="4" customFormat="1" ht="25.2">
      <c r="A2908" s="125" t="s">
        <v>1887</v>
      </c>
      <c r="B2908" s="123"/>
      <c r="C2908" s="123"/>
      <c r="D2908" s="123"/>
      <c r="E2908" s="123"/>
      <c r="F2908" s="167"/>
      <c r="G2908" s="167" t="s">
        <v>1888</v>
      </c>
      <c r="H2908" s="167"/>
      <c r="I2908" s="167"/>
      <c r="J2908" s="167"/>
      <c r="K2908" s="167"/>
      <c r="L2908" s="167"/>
      <c r="M2908" s="167"/>
      <c r="N2908" s="152"/>
    </row>
    <row r="2909" spans="1:15" s="3" customFormat="1" ht="9.9" customHeight="1">
      <c r="A2909" s="125"/>
      <c r="B2909" s="123"/>
      <c r="C2909" s="123"/>
      <c r="D2909" s="123"/>
      <c r="E2909" s="123"/>
      <c r="F2909" s="167"/>
      <c r="G2909" s="123"/>
      <c r="H2909" s="123"/>
      <c r="I2909" s="123"/>
      <c r="J2909" s="123"/>
      <c r="K2909" s="123"/>
      <c r="L2909" s="123"/>
      <c r="M2909" s="123"/>
      <c r="N2909" s="126"/>
    </row>
    <row r="2910" spans="1:15" s="3" customFormat="1" ht="42.75" customHeight="1">
      <c r="A2910" s="125" t="s">
        <v>1889</v>
      </c>
      <c r="B2910" s="123"/>
      <c r="C2910" s="123"/>
      <c r="D2910" s="123"/>
      <c r="E2910" s="123"/>
      <c r="F2910" s="167" t="s">
        <v>1885</v>
      </c>
      <c r="G2910" s="167" t="str">
        <f>PL!$B$13</f>
        <v>Branch of JSC "Doosan Enerbility" in the Turkestan region</v>
      </c>
      <c r="H2910" s="123"/>
      <c r="I2910" s="123"/>
      <c r="J2910" s="123"/>
      <c r="K2910" s="123"/>
      <c r="L2910" s="123"/>
      <c r="M2910" s="123"/>
      <c r="N2910" s="126"/>
    </row>
    <row r="2911" spans="1:15" s="3" customFormat="1" ht="24" customHeight="1">
      <c r="A2911" s="125" t="s">
        <v>1890</v>
      </c>
      <c r="B2911" s="123"/>
      <c r="C2911" s="123"/>
      <c r="D2911" s="123"/>
      <c r="E2911" s="123"/>
      <c r="F2911" s="168"/>
      <c r="G2911" s="167" t="str">
        <f>PL!$B$14</f>
        <v>321 Tauke Khan Avenue, Turkestan region, Turkestan, Kazakhstan, 161200</v>
      </c>
      <c r="H2911" s="123"/>
      <c r="I2911" s="123"/>
      <c r="J2911" s="123"/>
      <c r="K2911" s="123"/>
      <c r="L2911" s="123"/>
      <c r="M2911" s="123"/>
      <c r="N2911" s="126"/>
    </row>
    <row r="2912" spans="1:15" s="4" customFormat="1" ht="25.2">
      <c r="A2912" s="125"/>
      <c r="B2912" s="123"/>
      <c r="C2912" s="123"/>
      <c r="D2912" s="123"/>
      <c r="E2912" s="123"/>
      <c r="F2912" s="168"/>
      <c r="G2912" s="167" t="str">
        <f>PL!$B$15</f>
        <v>BIN: 230741006561</v>
      </c>
      <c r="H2912" s="123"/>
      <c r="I2912" s="123"/>
      <c r="J2912" s="123"/>
      <c r="K2912" s="123"/>
      <c r="L2912" s="123"/>
      <c r="M2912" s="123"/>
      <c r="N2912" s="126"/>
    </row>
    <row r="2913" spans="1:14" s="3" customFormat="1" ht="9.9" customHeight="1">
      <c r="A2913" s="125"/>
      <c r="B2913" s="123"/>
      <c r="C2913" s="123"/>
      <c r="D2913" s="123"/>
      <c r="E2913" s="123"/>
      <c r="F2913" s="169"/>
      <c r="G2913" s="169"/>
      <c r="H2913" s="123"/>
      <c r="I2913" s="123"/>
      <c r="J2913" s="123"/>
      <c r="K2913" s="123"/>
      <c r="L2913" s="123"/>
      <c r="M2913" s="123"/>
      <c r="N2913" s="126"/>
    </row>
    <row r="2914" spans="1:14" s="3" customFormat="1" ht="25.2">
      <c r="A2914" s="125" t="s">
        <v>1891</v>
      </c>
      <c r="B2914" s="123"/>
      <c r="C2914" s="123"/>
      <c r="D2914" s="123"/>
      <c r="E2914" s="123"/>
      <c r="F2914" s="167" t="s">
        <v>1892</v>
      </c>
      <c r="G2914" s="123"/>
      <c r="H2914" s="123"/>
      <c r="I2914" s="123"/>
      <c r="J2914" s="123"/>
      <c r="K2914" s="123"/>
      <c r="L2914" s="123"/>
      <c r="M2914" s="123"/>
      <c r="N2914" s="126"/>
    </row>
    <row r="2915" spans="1:14" s="4" customFormat="1" ht="25.2">
      <c r="A2915" s="125" t="s">
        <v>1893</v>
      </c>
      <c r="B2915" s="123"/>
      <c r="C2915" s="123"/>
      <c r="D2915" s="123"/>
      <c r="E2915" s="123"/>
      <c r="F2915" s="167" t="s">
        <v>1894</v>
      </c>
      <c r="G2915" s="123"/>
      <c r="H2915" s="123"/>
      <c r="I2915" s="123"/>
      <c r="J2915" s="123"/>
      <c r="K2915" s="123"/>
      <c r="L2915" s="123"/>
      <c r="M2915" s="123"/>
      <c r="N2915" s="126"/>
    </row>
    <row r="2916" spans="1:14" s="3" customFormat="1" ht="9.9" customHeight="1">
      <c r="A2916" s="125"/>
      <c r="B2916" s="123"/>
      <c r="C2916" s="123"/>
      <c r="D2916" s="123"/>
      <c r="E2916" s="123"/>
      <c r="F2916" s="167"/>
      <c r="G2916" s="123"/>
      <c r="H2916" s="123"/>
      <c r="I2916" s="123"/>
      <c r="J2916" s="123"/>
      <c r="K2916" s="123"/>
      <c r="L2916" s="123"/>
      <c r="M2916" s="123"/>
      <c r="N2916" s="126"/>
    </row>
    <row r="2917" spans="1:14" s="3" customFormat="1" ht="25.2">
      <c r="A2917" s="125" t="s">
        <v>1895</v>
      </c>
      <c r="B2917" s="123"/>
      <c r="C2917" s="123"/>
      <c r="D2917" s="123"/>
      <c r="E2917" s="123"/>
      <c r="F2917" s="167" t="s">
        <v>1896</v>
      </c>
      <c r="G2917" s="167" t="str">
        <f>PL!$V$8</f>
        <v>PGU-DE-0139-001</v>
      </c>
      <c r="H2917" s="123"/>
      <c r="I2917" s="123"/>
      <c r="J2917" s="123"/>
      <c r="K2917" s="123"/>
      <c r="L2917" s="123"/>
      <c r="M2917" s="123"/>
      <c r="N2917" s="126"/>
    </row>
    <row r="2918" spans="1:14" s="3" customFormat="1" ht="25.2">
      <c r="A2918" s="125" t="s">
        <v>1897</v>
      </c>
      <c r="B2918" s="123"/>
      <c r="C2918" s="123"/>
      <c r="D2918" s="123"/>
      <c r="E2918" s="123"/>
      <c r="F2918" s="167"/>
      <c r="G2918" s="123"/>
      <c r="H2918" s="123"/>
      <c r="I2918" s="123"/>
      <c r="J2918" s="123"/>
      <c r="K2918" s="123"/>
      <c r="L2918" s="123"/>
      <c r="M2918" s="123"/>
      <c r="N2918" s="126"/>
    </row>
    <row r="2919" spans="1:14" s="3" customFormat="1" ht="9.9" customHeight="1">
      <c r="A2919" s="125"/>
      <c r="B2919" s="123"/>
      <c r="C2919" s="123"/>
      <c r="D2919" s="123"/>
      <c r="E2919" s="123"/>
      <c r="F2919" s="167"/>
      <c r="G2919" s="123"/>
      <c r="H2919" s="123"/>
      <c r="I2919" s="123"/>
      <c r="J2919" s="123"/>
      <c r="K2919" s="123"/>
      <c r="L2919" s="123"/>
      <c r="M2919" s="123"/>
      <c r="N2919" s="126"/>
    </row>
    <row r="2920" spans="1:14" s="3" customFormat="1" ht="31.2" customHeight="1">
      <c r="A2920" s="127" t="s">
        <v>1898</v>
      </c>
      <c r="B2920" s="170"/>
      <c r="C2920" s="170"/>
      <c r="D2920" s="170"/>
      <c r="E2920" s="170"/>
      <c r="F2920" s="171" t="s">
        <v>1885</v>
      </c>
      <c r="G2920" s="597" t="e">
        <f>VLOOKUP(G2923, 'Detail PL'!$B$14:$Q$799,2)</f>
        <v>#N/A</v>
      </c>
      <c r="H2920" s="597"/>
      <c r="I2920" s="597"/>
      <c r="J2920" s="597"/>
      <c r="K2920" s="597"/>
      <c r="L2920" s="597"/>
      <c r="M2920" s="597"/>
      <c r="N2920" s="128"/>
    </row>
    <row r="2921" spans="1:14" s="3" customFormat="1" ht="25.2">
      <c r="A2921" s="127" t="s">
        <v>1899</v>
      </c>
      <c r="B2921" s="170"/>
      <c r="C2921" s="170"/>
      <c r="D2921" s="170"/>
      <c r="E2921" s="170"/>
      <c r="F2921" s="171"/>
      <c r="G2921" s="170"/>
      <c r="H2921" s="170"/>
      <c r="I2921" s="170"/>
      <c r="J2921" s="170"/>
      <c r="K2921" s="170"/>
      <c r="L2921" s="170"/>
      <c r="M2921" s="170"/>
      <c r="N2921" s="128"/>
    </row>
    <row r="2922" spans="1:14" s="3" customFormat="1" ht="9.9" customHeight="1">
      <c r="A2922" s="125"/>
      <c r="B2922" s="123"/>
      <c r="C2922" s="123"/>
      <c r="D2922" s="123"/>
      <c r="E2922" s="123"/>
      <c r="F2922" s="167"/>
      <c r="G2922" s="123"/>
      <c r="H2922" s="123"/>
      <c r="I2922" s="123"/>
      <c r="J2922" s="123"/>
      <c r="K2922" s="123"/>
      <c r="L2922" s="123"/>
      <c r="M2922" s="123"/>
      <c r="N2922" s="126"/>
    </row>
    <row r="2923" spans="1:14" s="3" customFormat="1" ht="25.2">
      <c r="A2923" s="125" t="s">
        <v>1900</v>
      </c>
      <c r="B2923" s="123"/>
      <c r="C2923" s="123"/>
      <c r="D2923" s="123"/>
      <c r="E2923" s="123"/>
      <c r="F2923" s="171" t="s">
        <v>1901</v>
      </c>
      <c r="G2923" s="604">
        <f t="shared" ref="G2923" si="81">G2888+1</f>
        <v>84</v>
      </c>
      <c r="H2923" s="604"/>
      <c r="I2923" s="604"/>
      <c r="J2923" s="604"/>
      <c r="K2923" s="604"/>
      <c r="L2923" s="123"/>
      <c r="M2923" s="123"/>
      <c r="N2923" s="126"/>
    </row>
    <row r="2924" spans="1:14" s="4" customFormat="1" ht="25.2">
      <c r="A2924" s="125" t="s">
        <v>1903</v>
      </c>
      <c r="B2924" s="123"/>
      <c r="C2924" s="123"/>
      <c r="D2924" s="123"/>
      <c r="E2924" s="123"/>
      <c r="F2924" s="167"/>
      <c r="G2924" s="167"/>
      <c r="H2924" s="123"/>
      <c r="I2924" s="123"/>
      <c r="J2924" s="123"/>
      <c r="K2924" s="123"/>
      <c r="L2924" s="123"/>
      <c r="M2924" s="123"/>
      <c r="N2924" s="126"/>
    </row>
    <row r="2925" spans="1:14" s="3" customFormat="1" ht="9.9" customHeight="1">
      <c r="A2925" s="125"/>
      <c r="B2925" s="123"/>
      <c r="C2925" s="123"/>
      <c r="D2925" s="123"/>
      <c r="E2925" s="123"/>
      <c r="F2925" s="167"/>
      <c r="G2925" s="167"/>
      <c r="H2925" s="123"/>
      <c r="I2925" s="123"/>
      <c r="J2925" s="123"/>
      <c r="K2925" s="123"/>
      <c r="L2925" s="123"/>
      <c r="M2925" s="123"/>
      <c r="N2925" s="126"/>
    </row>
    <row r="2926" spans="1:14" s="3" customFormat="1" ht="25.2">
      <c r="A2926" s="125" t="s">
        <v>1904</v>
      </c>
      <c r="B2926" s="123"/>
      <c r="C2926" s="123"/>
      <c r="D2926" s="123"/>
      <c r="E2926" s="123"/>
      <c r="F2926" s="167" t="s">
        <v>1896</v>
      </c>
      <c r="G2926" s="204" t="e">
        <f>VLOOKUP(G2923, 'Detail PL'!$B$14:$Q$799, 10)</f>
        <v>#N/A</v>
      </c>
      <c r="H2926" s="204" t="s">
        <v>1905</v>
      </c>
      <c r="I2926" s="204"/>
      <c r="J2926" s="204"/>
      <c r="K2926" s="123"/>
      <c r="L2926" s="123"/>
      <c r="M2926" s="123"/>
      <c r="N2926" s="126"/>
    </row>
    <row r="2927" spans="1:14" s="4" customFormat="1" ht="25.2">
      <c r="A2927" s="125" t="s">
        <v>1906</v>
      </c>
      <c r="B2927" s="123"/>
      <c r="C2927" s="123"/>
      <c r="D2927" s="123"/>
      <c r="E2927" s="123"/>
      <c r="F2927" s="167"/>
      <c r="G2927" s="167"/>
      <c r="H2927" s="167"/>
      <c r="I2927" s="123"/>
      <c r="J2927" s="123"/>
      <c r="K2927" s="123"/>
      <c r="L2927" s="123"/>
      <c r="M2927" s="123"/>
      <c r="N2927" s="126"/>
    </row>
    <row r="2928" spans="1:14" s="3" customFormat="1" ht="9.9" customHeight="1">
      <c r="A2928" s="125"/>
      <c r="B2928" s="123"/>
      <c r="C2928" s="123"/>
      <c r="D2928" s="123"/>
      <c r="E2928" s="123"/>
      <c r="F2928" s="167"/>
      <c r="G2928" s="167"/>
      <c r="H2928" s="167"/>
      <c r="I2928" s="123"/>
      <c r="J2928" s="123"/>
      <c r="K2928" s="123"/>
      <c r="L2928" s="123"/>
      <c r="M2928" s="123"/>
      <c r="N2928" s="126"/>
    </row>
    <row r="2929" spans="1:15" s="3" customFormat="1" ht="25.2">
      <c r="A2929" s="125" t="s">
        <v>1907</v>
      </c>
      <c r="B2929" s="123"/>
      <c r="C2929" s="123"/>
      <c r="D2929" s="123"/>
      <c r="E2929" s="123"/>
      <c r="F2929" s="167" t="s">
        <v>1896</v>
      </c>
      <c r="G2929" s="204" t="e">
        <f>VLOOKUP(G2923, 'Detail PL'!$B$14:$Q$799, 11)</f>
        <v>#N/A</v>
      </c>
      <c r="H2929" s="204" t="s">
        <v>1905</v>
      </c>
      <c r="I2929" s="204"/>
      <c r="J2929" s="204"/>
      <c r="K2929" s="123"/>
      <c r="L2929" s="123"/>
      <c r="M2929" s="123"/>
      <c r="N2929" s="126"/>
    </row>
    <row r="2930" spans="1:15" s="4" customFormat="1" ht="25.2">
      <c r="A2930" s="125" t="s">
        <v>1908</v>
      </c>
      <c r="B2930" s="123"/>
      <c r="C2930" s="123"/>
      <c r="D2930" s="123"/>
      <c r="E2930" s="123"/>
      <c r="F2930" s="167"/>
      <c r="G2930" s="167"/>
      <c r="H2930" s="123"/>
      <c r="I2930" s="123"/>
      <c r="J2930" s="123"/>
      <c r="K2930" s="123"/>
      <c r="L2930" s="123"/>
      <c r="M2930" s="123"/>
      <c r="N2930" s="126"/>
    </row>
    <row r="2931" spans="1:15" s="3" customFormat="1" ht="9.9" customHeight="1">
      <c r="A2931" s="125"/>
      <c r="B2931" s="123"/>
      <c r="C2931" s="123"/>
      <c r="D2931" s="123"/>
      <c r="E2931" s="123"/>
      <c r="F2931" s="167"/>
      <c r="G2931" s="167"/>
      <c r="H2931" s="123"/>
      <c r="I2931" s="123"/>
      <c r="J2931" s="123"/>
      <c r="K2931" s="123"/>
      <c r="L2931" s="123"/>
      <c r="M2931" s="123"/>
      <c r="N2931" s="126"/>
    </row>
    <row r="2932" spans="1:15" s="3" customFormat="1" ht="25.2">
      <c r="A2932" s="129" t="s">
        <v>1909</v>
      </c>
      <c r="B2932" s="123"/>
      <c r="C2932" s="123"/>
      <c r="D2932" s="123"/>
      <c r="E2932" s="123"/>
      <c r="F2932" s="167" t="s">
        <v>1896</v>
      </c>
      <c r="G2932" s="204" t="e">
        <f>VLOOKUP(G2923, 'Detail PL'!$B$14:$Q$799, 9)</f>
        <v>#N/A</v>
      </c>
      <c r="H2932" s="205" t="s">
        <v>1910</v>
      </c>
      <c r="I2932" s="203"/>
      <c r="J2932" s="203"/>
      <c r="K2932" s="172"/>
      <c r="L2932" s="123"/>
      <c r="M2932" s="123"/>
      <c r="N2932" s="126"/>
    </row>
    <row r="2933" spans="1:15" s="4" customFormat="1" ht="25.2">
      <c r="A2933" s="125" t="s">
        <v>1911</v>
      </c>
      <c r="B2933" s="123"/>
      <c r="C2933" s="123"/>
      <c r="D2933" s="123"/>
      <c r="E2933" s="123"/>
      <c r="F2933" s="167"/>
      <c r="G2933" s="167"/>
      <c r="H2933" s="123"/>
      <c r="I2933" s="123"/>
      <c r="J2933" s="123"/>
      <c r="K2933" s="123"/>
      <c r="L2933" s="123"/>
      <c r="M2933" s="123"/>
      <c r="N2933" s="126"/>
    </row>
    <row r="2934" spans="1:15" s="3" customFormat="1" ht="9.9" customHeight="1">
      <c r="A2934" s="125"/>
      <c r="B2934" s="123"/>
      <c r="C2934" s="123"/>
      <c r="D2934" s="123"/>
      <c r="E2934" s="123"/>
      <c r="F2934" s="167"/>
      <c r="G2934" s="167"/>
      <c r="H2934" s="123"/>
      <c r="I2934" s="123"/>
      <c r="J2934" s="123"/>
      <c r="K2934" s="123"/>
      <c r="L2934" s="123"/>
      <c r="M2934" s="123"/>
      <c r="N2934" s="126"/>
    </row>
    <row r="2935" spans="1:15" s="3" customFormat="1" ht="42" customHeight="1">
      <c r="A2935" s="125" t="s">
        <v>1912</v>
      </c>
      <c r="B2935" s="123"/>
      <c r="C2935" s="123"/>
      <c r="D2935" s="123"/>
      <c r="E2935" s="123"/>
      <c r="F2935" s="166" t="s">
        <v>1913</v>
      </c>
      <c r="G2935" s="595" t="s">
        <v>1914</v>
      </c>
      <c r="H2935" s="595"/>
      <c r="I2935" s="595"/>
      <c r="J2935" s="595"/>
      <c r="K2935" s="595"/>
      <c r="L2935" s="595"/>
      <c r="M2935" s="595"/>
      <c r="N2935" s="596"/>
    </row>
    <row r="2936" spans="1:15" s="4" customFormat="1" ht="25.8" thickBot="1">
      <c r="A2936" s="125" t="s">
        <v>1915</v>
      </c>
      <c r="B2936" s="123"/>
      <c r="C2936" s="123"/>
      <c r="D2936" s="123"/>
      <c r="E2936" s="123"/>
      <c r="F2936" s="167"/>
      <c r="G2936" s="167"/>
      <c r="H2936" s="123"/>
      <c r="I2936" s="123"/>
      <c r="J2936" s="123"/>
      <c r="K2936" s="123"/>
      <c r="L2936" s="123"/>
      <c r="M2936" s="123"/>
      <c r="N2936" s="126"/>
    </row>
    <row r="2937" spans="1:15" ht="21" customHeight="1">
      <c r="A2937" s="598" t="s">
        <v>1916</v>
      </c>
      <c r="B2937" s="599"/>
      <c r="C2937" s="599"/>
      <c r="D2937" s="599"/>
      <c r="E2937" s="599"/>
      <c r="F2937" s="599"/>
      <c r="G2937" s="599"/>
      <c r="H2937" s="599"/>
      <c r="I2937" s="599"/>
      <c r="J2937" s="599"/>
      <c r="K2937" s="599"/>
      <c r="L2937" s="599"/>
      <c r="M2937" s="599"/>
      <c r="N2937" s="600"/>
    </row>
    <row r="2938" spans="1:15" ht="25.5" customHeight="1" thickBot="1">
      <c r="A2938" s="601"/>
      <c r="B2938" s="602"/>
      <c r="C2938" s="602"/>
      <c r="D2938" s="602"/>
      <c r="E2938" s="602"/>
      <c r="F2938" s="602"/>
      <c r="G2938" s="602"/>
      <c r="H2938" s="602"/>
      <c r="I2938" s="602"/>
      <c r="J2938" s="602"/>
      <c r="K2938" s="602"/>
      <c r="L2938" s="602"/>
      <c r="M2938" s="602"/>
      <c r="N2938" s="603"/>
    </row>
    <row r="2939" spans="1:15" ht="25.5" customHeight="1">
      <c r="E2939" s="206"/>
      <c r="F2939" s="206"/>
      <c r="G2939" s="206"/>
      <c r="H2939" s="206"/>
      <c r="I2939" s="206"/>
      <c r="J2939" s="206"/>
      <c r="K2939" s="206"/>
    </row>
    <row r="2940" spans="1:15" ht="21.6" thickBot="1"/>
    <row r="2941" spans="1:15" ht="95.25" customHeight="1" thickBot="1">
      <c r="A2941" s="592" t="s">
        <v>1883</v>
      </c>
      <c r="B2941" s="593"/>
      <c r="C2941" s="593"/>
      <c r="D2941" s="593"/>
      <c r="E2941" s="593"/>
      <c r="F2941" s="593"/>
      <c r="G2941" s="593"/>
      <c r="H2941" s="593"/>
      <c r="I2941" s="593"/>
      <c r="J2941" s="593"/>
      <c r="K2941" s="593"/>
      <c r="L2941" s="593"/>
      <c r="M2941" s="593"/>
      <c r="N2941" s="594"/>
    </row>
    <row r="2942" spans="1:15" s="3" customFormat="1" ht="37.5" customHeight="1">
      <c r="A2942" s="134" t="s">
        <v>1884</v>
      </c>
      <c r="B2942" s="166"/>
      <c r="C2942" s="166"/>
      <c r="D2942" s="123"/>
      <c r="E2942" s="123"/>
      <c r="F2942" s="167" t="s">
        <v>1885</v>
      </c>
      <c r="G2942" s="167" t="s">
        <v>1886</v>
      </c>
      <c r="H2942" s="167"/>
      <c r="I2942" s="167"/>
      <c r="J2942" s="167"/>
      <c r="K2942" s="167"/>
      <c r="L2942" s="167"/>
      <c r="M2942" s="167"/>
      <c r="N2942" s="152"/>
      <c r="O2942" s="201"/>
    </row>
    <row r="2943" spans="1:15" s="4" customFormat="1" ht="25.2">
      <c r="A2943" s="125" t="s">
        <v>1887</v>
      </c>
      <c r="B2943" s="123"/>
      <c r="C2943" s="123"/>
      <c r="D2943" s="123"/>
      <c r="E2943" s="123"/>
      <c r="F2943" s="167"/>
      <c r="G2943" s="167" t="s">
        <v>1888</v>
      </c>
      <c r="H2943" s="167"/>
      <c r="I2943" s="167"/>
      <c r="J2943" s="167"/>
      <c r="K2943" s="167"/>
      <c r="L2943" s="167"/>
      <c r="M2943" s="167"/>
      <c r="N2943" s="152"/>
    </row>
    <row r="2944" spans="1:15" s="3" customFormat="1" ht="9.9" customHeight="1">
      <c r="A2944" s="125"/>
      <c r="B2944" s="123"/>
      <c r="C2944" s="123"/>
      <c r="D2944" s="123"/>
      <c r="E2944" s="123"/>
      <c r="F2944" s="167"/>
      <c r="G2944" s="123"/>
      <c r="H2944" s="123"/>
      <c r="I2944" s="123"/>
      <c r="J2944" s="123"/>
      <c r="K2944" s="123"/>
      <c r="L2944" s="123"/>
      <c r="M2944" s="123"/>
      <c r="N2944" s="126"/>
    </row>
    <row r="2945" spans="1:14" s="3" customFormat="1" ht="42.75" customHeight="1">
      <c r="A2945" s="125" t="s">
        <v>1889</v>
      </c>
      <c r="B2945" s="123"/>
      <c r="C2945" s="123"/>
      <c r="D2945" s="123"/>
      <c r="E2945" s="123"/>
      <c r="F2945" s="167" t="s">
        <v>1885</v>
      </c>
      <c r="G2945" s="167" t="str">
        <f>PL!$B$13</f>
        <v>Branch of JSC "Doosan Enerbility" in the Turkestan region</v>
      </c>
      <c r="H2945" s="123"/>
      <c r="I2945" s="123"/>
      <c r="J2945" s="123"/>
      <c r="K2945" s="123"/>
      <c r="L2945" s="123"/>
      <c r="M2945" s="123"/>
      <c r="N2945" s="126"/>
    </row>
    <row r="2946" spans="1:14" s="3" customFormat="1" ht="24" customHeight="1">
      <c r="A2946" s="125" t="s">
        <v>1890</v>
      </c>
      <c r="B2946" s="123"/>
      <c r="C2946" s="123"/>
      <c r="D2946" s="123"/>
      <c r="E2946" s="123"/>
      <c r="F2946" s="168"/>
      <c r="G2946" s="167" t="str">
        <f>PL!$B$14</f>
        <v>321 Tauke Khan Avenue, Turkestan region, Turkestan, Kazakhstan, 161200</v>
      </c>
      <c r="H2946" s="123"/>
      <c r="I2946" s="123"/>
      <c r="J2946" s="123"/>
      <c r="K2946" s="123"/>
      <c r="L2946" s="123"/>
      <c r="M2946" s="123"/>
      <c r="N2946" s="126"/>
    </row>
    <row r="2947" spans="1:14" s="4" customFormat="1" ht="25.2">
      <c r="A2947" s="125"/>
      <c r="B2947" s="123"/>
      <c r="C2947" s="123"/>
      <c r="D2947" s="123"/>
      <c r="E2947" s="123"/>
      <c r="F2947" s="168"/>
      <c r="G2947" s="167" t="str">
        <f>PL!$B$15</f>
        <v>BIN: 230741006561</v>
      </c>
      <c r="H2947" s="123"/>
      <c r="I2947" s="123"/>
      <c r="J2947" s="123"/>
      <c r="K2947" s="123"/>
      <c r="L2947" s="123"/>
      <c r="M2947" s="123"/>
      <c r="N2947" s="126"/>
    </row>
    <row r="2948" spans="1:14" s="3" customFormat="1" ht="9.9" customHeight="1">
      <c r="A2948" s="125"/>
      <c r="B2948" s="123"/>
      <c r="C2948" s="123"/>
      <c r="D2948" s="123"/>
      <c r="E2948" s="123"/>
      <c r="F2948" s="169"/>
      <c r="G2948" s="169"/>
      <c r="H2948" s="123"/>
      <c r="I2948" s="123"/>
      <c r="J2948" s="123"/>
      <c r="K2948" s="123"/>
      <c r="L2948" s="123"/>
      <c r="M2948" s="123"/>
      <c r="N2948" s="126"/>
    </row>
    <row r="2949" spans="1:14" s="3" customFormat="1" ht="25.2">
      <c r="A2949" s="125" t="s">
        <v>1891</v>
      </c>
      <c r="B2949" s="123"/>
      <c r="C2949" s="123"/>
      <c r="D2949" s="123"/>
      <c r="E2949" s="123"/>
      <c r="F2949" s="167" t="s">
        <v>1892</v>
      </c>
      <c r="G2949" s="123"/>
      <c r="H2949" s="123"/>
      <c r="I2949" s="123"/>
      <c r="J2949" s="123"/>
      <c r="K2949" s="123"/>
      <c r="L2949" s="123"/>
      <c r="M2949" s="123"/>
      <c r="N2949" s="126"/>
    </row>
    <row r="2950" spans="1:14" s="4" customFormat="1" ht="25.2">
      <c r="A2950" s="125" t="s">
        <v>1893</v>
      </c>
      <c r="B2950" s="123"/>
      <c r="C2950" s="123"/>
      <c r="D2950" s="123"/>
      <c r="E2950" s="123"/>
      <c r="F2950" s="167" t="s">
        <v>1894</v>
      </c>
      <c r="G2950" s="123"/>
      <c r="H2950" s="123"/>
      <c r="I2950" s="123"/>
      <c r="J2950" s="123"/>
      <c r="K2950" s="123"/>
      <c r="L2950" s="123"/>
      <c r="M2950" s="123"/>
      <c r="N2950" s="126"/>
    </row>
    <row r="2951" spans="1:14" s="3" customFormat="1" ht="9.9" customHeight="1">
      <c r="A2951" s="125"/>
      <c r="B2951" s="123"/>
      <c r="C2951" s="123"/>
      <c r="D2951" s="123"/>
      <c r="E2951" s="123"/>
      <c r="F2951" s="167"/>
      <c r="G2951" s="123"/>
      <c r="H2951" s="123"/>
      <c r="I2951" s="123"/>
      <c r="J2951" s="123"/>
      <c r="K2951" s="123"/>
      <c r="L2951" s="123"/>
      <c r="M2951" s="123"/>
      <c r="N2951" s="126"/>
    </row>
    <row r="2952" spans="1:14" s="3" customFormat="1" ht="25.2">
      <c r="A2952" s="125" t="s">
        <v>1895</v>
      </c>
      <c r="B2952" s="123"/>
      <c r="C2952" s="123"/>
      <c r="D2952" s="123"/>
      <c r="E2952" s="123"/>
      <c r="F2952" s="167" t="s">
        <v>1896</v>
      </c>
      <c r="G2952" s="167" t="str">
        <f>PL!$V$8</f>
        <v>PGU-DE-0139-001</v>
      </c>
      <c r="H2952" s="123"/>
      <c r="I2952" s="123"/>
      <c r="J2952" s="123"/>
      <c r="K2952" s="123"/>
      <c r="L2952" s="123"/>
      <c r="M2952" s="123"/>
      <c r="N2952" s="126"/>
    </row>
    <row r="2953" spans="1:14" s="3" customFormat="1" ht="25.2">
      <c r="A2953" s="125" t="s">
        <v>1897</v>
      </c>
      <c r="B2953" s="123"/>
      <c r="C2953" s="123"/>
      <c r="D2953" s="123"/>
      <c r="E2953" s="123"/>
      <c r="F2953" s="167"/>
      <c r="G2953" s="123"/>
      <c r="H2953" s="123"/>
      <c r="I2953" s="123"/>
      <c r="J2953" s="123"/>
      <c r="K2953" s="123"/>
      <c r="L2953" s="123"/>
      <c r="M2953" s="123"/>
      <c r="N2953" s="126"/>
    </row>
    <row r="2954" spans="1:14" s="3" customFormat="1" ht="9.9" customHeight="1">
      <c r="A2954" s="125"/>
      <c r="B2954" s="123"/>
      <c r="C2954" s="123"/>
      <c r="D2954" s="123"/>
      <c r="E2954" s="123"/>
      <c r="F2954" s="167"/>
      <c r="G2954" s="123"/>
      <c r="H2954" s="123"/>
      <c r="I2954" s="123"/>
      <c r="J2954" s="123"/>
      <c r="K2954" s="123"/>
      <c r="L2954" s="123"/>
      <c r="M2954" s="123"/>
      <c r="N2954" s="126"/>
    </row>
    <row r="2955" spans="1:14" s="3" customFormat="1" ht="31.2" customHeight="1">
      <c r="A2955" s="127" t="s">
        <v>1898</v>
      </c>
      <c r="B2955" s="170"/>
      <c r="C2955" s="170"/>
      <c r="D2955" s="170"/>
      <c r="E2955" s="170"/>
      <c r="F2955" s="171" t="s">
        <v>1885</v>
      </c>
      <c r="G2955" s="597" t="e">
        <f>VLOOKUP(G2958, 'Detail PL'!$B$14:$Q$799,2)</f>
        <v>#N/A</v>
      </c>
      <c r="H2955" s="597"/>
      <c r="I2955" s="597"/>
      <c r="J2955" s="597"/>
      <c r="K2955" s="597"/>
      <c r="L2955" s="597"/>
      <c r="M2955" s="597"/>
      <c r="N2955" s="128"/>
    </row>
    <row r="2956" spans="1:14" s="3" customFormat="1" ht="25.2">
      <c r="A2956" s="127" t="s">
        <v>1899</v>
      </c>
      <c r="B2956" s="170"/>
      <c r="C2956" s="170"/>
      <c r="D2956" s="170"/>
      <c r="E2956" s="170"/>
      <c r="F2956" s="171"/>
      <c r="G2956" s="170"/>
      <c r="H2956" s="170"/>
      <c r="I2956" s="170"/>
      <c r="J2956" s="170"/>
      <c r="K2956" s="170"/>
      <c r="L2956" s="170"/>
      <c r="M2956" s="170"/>
      <c r="N2956" s="128"/>
    </row>
    <row r="2957" spans="1:14" s="3" customFormat="1" ht="9.9" customHeight="1">
      <c r="A2957" s="125"/>
      <c r="B2957" s="123"/>
      <c r="C2957" s="123"/>
      <c r="D2957" s="123"/>
      <c r="E2957" s="123"/>
      <c r="F2957" s="167"/>
      <c r="G2957" s="123"/>
      <c r="H2957" s="123"/>
      <c r="I2957" s="123"/>
      <c r="J2957" s="123"/>
      <c r="K2957" s="123"/>
      <c r="L2957" s="123"/>
      <c r="M2957" s="123"/>
      <c r="N2957" s="126"/>
    </row>
    <row r="2958" spans="1:14" s="3" customFormat="1" ht="25.2">
      <c r="A2958" s="125" t="s">
        <v>1900</v>
      </c>
      <c r="B2958" s="123"/>
      <c r="C2958" s="123"/>
      <c r="D2958" s="123"/>
      <c r="E2958" s="123"/>
      <c r="F2958" s="171" t="s">
        <v>1901</v>
      </c>
      <c r="G2958" s="604">
        <f t="shared" ref="G2958" si="82">G2923+1</f>
        <v>85</v>
      </c>
      <c r="H2958" s="604"/>
      <c r="I2958" s="604"/>
      <c r="J2958" s="604"/>
      <c r="K2958" s="604"/>
      <c r="L2958" s="123"/>
      <c r="M2958" s="123"/>
      <c r="N2958" s="126"/>
    </row>
    <row r="2959" spans="1:14" s="4" customFormat="1" ht="25.2">
      <c r="A2959" s="125" t="s">
        <v>1903</v>
      </c>
      <c r="B2959" s="123"/>
      <c r="C2959" s="123"/>
      <c r="D2959" s="123"/>
      <c r="E2959" s="123"/>
      <c r="F2959" s="167"/>
      <c r="G2959" s="167"/>
      <c r="H2959" s="123"/>
      <c r="I2959" s="123"/>
      <c r="J2959" s="123"/>
      <c r="K2959" s="123"/>
      <c r="L2959" s="123"/>
      <c r="M2959" s="123"/>
      <c r="N2959" s="126"/>
    </row>
    <row r="2960" spans="1:14" s="3" customFormat="1" ht="9.9" customHeight="1">
      <c r="A2960" s="125"/>
      <c r="B2960" s="123"/>
      <c r="C2960" s="123"/>
      <c r="D2960" s="123"/>
      <c r="E2960" s="123"/>
      <c r="F2960" s="167"/>
      <c r="G2960" s="167"/>
      <c r="H2960" s="123"/>
      <c r="I2960" s="123"/>
      <c r="J2960" s="123"/>
      <c r="K2960" s="123"/>
      <c r="L2960" s="123"/>
      <c r="M2960" s="123"/>
      <c r="N2960" s="126"/>
    </row>
    <row r="2961" spans="1:14" s="3" customFormat="1" ht="25.2">
      <c r="A2961" s="125" t="s">
        <v>1904</v>
      </c>
      <c r="B2961" s="123"/>
      <c r="C2961" s="123"/>
      <c r="D2961" s="123"/>
      <c r="E2961" s="123"/>
      <c r="F2961" s="167" t="s">
        <v>1896</v>
      </c>
      <c r="G2961" s="204" t="e">
        <f>VLOOKUP(G2958, 'Detail PL'!$B$14:$Q$799, 10)</f>
        <v>#N/A</v>
      </c>
      <c r="H2961" s="204" t="s">
        <v>1905</v>
      </c>
      <c r="I2961" s="204"/>
      <c r="J2961" s="204"/>
      <c r="K2961" s="123"/>
      <c r="L2961" s="123"/>
      <c r="M2961" s="123"/>
      <c r="N2961" s="126"/>
    </row>
    <row r="2962" spans="1:14" s="4" customFormat="1" ht="25.2">
      <c r="A2962" s="125" t="s">
        <v>1906</v>
      </c>
      <c r="B2962" s="123"/>
      <c r="C2962" s="123"/>
      <c r="D2962" s="123"/>
      <c r="E2962" s="123"/>
      <c r="F2962" s="167"/>
      <c r="G2962" s="167"/>
      <c r="H2962" s="167"/>
      <c r="I2962" s="123"/>
      <c r="J2962" s="123"/>
      <c r="K2962" s="123"/>
      <c r="L2962" s="123"/>
      <c r="M2962" s="123"/>
      <c r="N2962" s="126"/>
    </row>
    <row r="2963" spans="1:14" s="3" customFormat="1" ht="9.9" customHeight="1">
      <c r="A2963" s="125"/>
      <c r="B2963" s="123"/>
      <c r="C2963" s="123"/>
      <c r="D2963" s="123"/>
      <c r="E2963" s="123"/>
      <c r="F2963" s="167"/>
      <c r="G2963" s="167"/>
      <c r="H2963" s="167"/>
      <c r="I2963" s="123"/>
      <c r="J2963" s="123"/>
      <c r="K2963" s="123"/>
      <c r="L2963" s="123"/>
      <c r="M2963" s="123"/>
      <c r="N2963" s="126"/>
    </row>
    <row r="2964" spans="1:14" s="3" customFormat="1" ht="25.2">
      <c r="A2964" s="125" t="s">
        <v>1907</v>
      </c>
      <c r="B2964" s="123"/>
      <c r="C2964" s="123"/>
      <c r="D2964" s="123"/>
      <c r="E2964" s="123"/>
      <c r="F2964" s="167" t="s">
        <v>1896</v>
      </c>
      <c r="G2964" s="204" t="e">
        <f>VLOOKUP(G2958, 'Detail PL'!$B$14:$Q$799, 11)</f>
        <v>#N/A</v>
      </c>
      <c r="H2964" s="204" t="s">
        <v>1905</v>
      </c>
      <c r="I2964" s="204"/>
      <c r="J2964" s="204"/>
      <c r="K2964" s="123"/>
      <c r="L2964" s="123"/>
      <c r="M2964" s="123"/>
      <c r="N2964" s="126"/>
    </row>
    <row r="2965" spans="1:14" s="4" customFormat="1" ht="25.2">
      <c r="A2965" s="125" t="s">
        <v>1908</v>
      </c>
      <c r="B2965" s="123"/>
      <c r="C2965" s="123"/>
      <c r="D2965" s="123"/>
      <c r="E2965" s="123"/>
      <c r="F2965" s="167"/>
      <c r="G2965" s="167"/>
      <c r="H2965" s="123"/>
      <c r="I2965" s="123"/>
      <c r="J2965" s="123"/>
      <c r="K2965" s="123"/>
      <c r="L2965" s="123"/>
      <c r="M2965" s="123"/>
      <c r="N2965" s="126"/>
    </row>
    <row r="2966" spans="1:14" s="3" customFormat="1" ht="9.9" customHeight="1">
      <c r="A2966" s="125"/>
      <c r="B2966" s="123"/>
      <c r="C2966" s="123"/>
      <c r="D2966" s="123"/>
      <c r="E2966" s="123"/>
      <c r="F2966" s="167"/>
      <c r="G2966" s="167"/>
      <c r="H2966" s="123"/>
      <c r="I2966" s="123"/>
      <c r="J2966" s="123"/>
      <c r="K2966" s="123"/>
      <c r="L2966" s="123"/>
      <c r="M2966" s="123"/>
      <c r="N2966" s="126"/>
    </row>
    <row r="2967" spans="1:14" s="3" customFormat="1" ht="25.2">
      <c r="A2967" s="129" t="s">
        <v>1909</v>
      </c>
      <c r="B2967" s="123"/>
      <c r="C2967" s="123"/>
      <c r="D2967" s="123"/>
      <c r="E2967" s="123"/>
      <c r="F2967" s="167" t="s">
        <v>1896</v>
      </c>
      <c r="G2967" s="204" t="e">
        <f>VLOOKUP(G2958, 'Detail PL'!$B$14:$Q$799, 9)</f>
        <v>#N/A</v>
      </c>
      <c r="H2967" s="205" t="s">
        <v>1910</v>
      </c>
      <c r="I2967" s="203"/>
      <c r="J2967" s="203"/>
      <c r="K2967" s="172"/>
      <c r="L2967" s="123"/>
      <c r="M2967" s="123"/>
      <c r="N2967" s="126"/>
    </row>
    <row r="2968" spans="1:14" s="4" customFormat="1" ht="25.2">
      <c r="A2968" s="125" t="s">
        <v>1911</v>
      </c>
      <c r="B2968" s="123"/>
      <c r="C2968" s="123"/>
      <c r="D2968" s="123"/>
      <c r="E2968" s="123"/>
      <c r="F2968" s="167"/>
      <c r="G2968" s="167"/>
      <c r="H2968" s="123"/>
      <c r="I2968" s="123"/>
      <c r="J2968" s="123"/>
      <c r="K2968" s="123"/>
      <c r="L2968" s="123"/>
      <c r="M2968" s="123"/>
      <c r="N2968" s="126"/>
    </row>
    <row r="2969" spans="1:14" s="3" customFormat="1" ht="9.9" customHeight="1">
      <c r="A2969" s="125"/>
      <c r="B2969" s="123"/>
      <c r="C2969" s="123"/>
      <c r="D2969" s="123"/>
      <c r="E2969" s="123"/>
      <c r="F2969" s="167"/>
      <c r="G2969" s="167"/>
      <c r="H2969" s="123"/>
      <c r="I2969" s="123"/>
      <c r="J2969" s="123"/>
      <c r="K2969" s="123"/>
      <c r="L2969" s="123"/>
      <c r="M2969" s="123"/>
      <c r="N2969" s="126"/>
    </row>
    <row r="2970" spans="1:14" s="3" customFormat="1" ht="42" customHeight="1">
      <c r="A2970" s="125" t="s">
        <v>1912</v>
      </c>
      <c r="B2970" s="123"/>
      <c r="C2970" s="123"/>
      <c r="D2970" s="123"/>
      <c r="E2970" s="123"/>
      <c r="F2970" s="166" t="s">
        <v>1913</v>
      </c>
      <c r="G2970" s="595" t="s">
        <v>1914</v>
      </c>
      <c r="H2970" s="595"/>
      <c r="I2970" s="595"/>
      <c r="J2970" s="595"/>
      <c r="K2970" s="595"/>
      <c r="L2970" s="595"/>
      <c r="M2970" s="595"/>
      <c r="N2970" s="596"/>
    </row>
    <row r="2971" spans="1:14" s="4" customFormat="1" ht="25.8" thickBot="1">
      <c r="A2971" s="125" t="s">
        <v>1915</v>
      </c>
      <c r="B2971" s="123"/>
      <c r="C2971" s="123"/>
      <c r="D2971" s="123"/>
      <c r="E2971" s="123"/>
      <c r="F2971" s="167"/>
      <c r="G2971" s="167"/>
      <c r="H2971" s="123"/>
      <c r="I2971" s="123"/>
      <c r="J2971" s="123"/>
      <c r="K2971" s="123"/>
      <c r="L2971" s="123"/>
      <c r="M2971" s="123"/>
      <c r="N2971" s="126"/>
    </row>
    <row r="2972" spans="1:14" ht="21" customHeight="1">
      <c r="A2972" s="598" t="s">
        <v>1916</v>
      </c>
      <c r="B2972" s="599"/>
      <c r="C2972" s="599"/>
      <c r="D2972" s="599"/>
      <c r="E2972" s="599"/>
      <c r="F2972" s="599"/>
      <c r="G2972" s="599"/>
      <c r="H2972" s="599"/>
      <c r="I2972" s="599"/>
      <c r="J2972" s="599"/>
      <c r="K2972" s="599"/>
      <c r="L2972" s="599"/>
      <c r="M2972" s="599"/>
      <c r="N2972" s="600"/>
    </row>
    <row r="2973" spans="1:14" ht="25.5" customHeight="1" thickBot="1">
      <c r="A2973" s="601"/>
      <c r="B2973" s="602"/>
      <c r="C2973" s="602"/>
      <c r="D2973" s="602"/>
      <c r="E2973" s="602"/>
      <c r="F2973" s="602"/>
      <c r="G2973" s="602"/>
      <c r="H2973" s="602"/>
      <c r="I2973" s="602"/>
      <c r="J2973" s="602"/>
      <c r="K2973" s="602"/>
      <c r="L2973" s="602"/>
      <c r="M2973" s="602"/>
      <c r="N2973" s="603"/>
    </row>
    <row r="2974" spans="1:14" ht="25.5" customHeight="1">
      <c r="E2974" s="206"/>
      <c r="F2974" s="206"/>
      <c r="G2974" s="206"/>
      <c r="H2974" s="206"/>
      <c r="I2974" s="206"/>
      <c r="J2974" s="206"/>
      <c r="K2974" s="206"/>
    </row>
    <row r="2975" spans="1:14" ht="21.6" thickBot="1"/>
    <row r="2976" spans="1:14" ht="95.25" customHeight="1" thickBot="1">
      <c r="A2976" s="592" t="s">
        <v>1883</v>
      </c>
      <c r="B2976" s="593"/>
      <c r="C2976" s="593"/>
      <c r="D2976" s="593"/>
      <c r="E2976" s="593"/>
      <c r="F2976" s="593"/>
      <c r="G2976" s="593"/>
      <c r="H2976" s="593"/>
      <c r="I2976" s="593"/>
      <c r="J2976" s="593"/>
      <c r="K2976" s="593"/>
      <c r="L2976" s="593"/>
      <c r="M2976" s="593"/>
      <c r="N2976" s="594"/>
    </row>
    <row r="2977" spans="1:15" s="3" customFormat="1" ht="37.5" customHeight="1">
      <c r="A2977" s="134" t="s">
        <v>1884</v>
      </c>
      <c r="B2977" s="166"/>
      <c r="C2977" s="166"/>
      <c r="D2977" s="123"/>
      <c r="E2977" s="123"/>
      <c r="F2977" s="167" t="s">
        <v>1885</v>
      </c>
      <c r="G2977" s="167" t="s">
        <v>1886</v>
      </c>
      <c r="H2977" s="167"/>
      <c r="I2977" s="167"/>
      <c r="J2977" s="167"/>
      <c r="K2977" s="167"/>
      <c r="L2977" s="167"/>
      <c r="M2977" s="167"/>
      <c r="N2977" s="152"/>
      <c r="O2977" s="201"/>
    </row>
    <row r="2978" spans="1:15" s="4" customFormat="1" ht="25.2">
      <c r="A2978" s="125" t="s">
        <v>1887</v>
      </c>
      <c r="B2978" s="123"/>
      <c r="C2978" s="123"/>
      <c r="D2978" s="123"/>
      <c r="E2978" s="123"/>
      <c r="F2978" s="167"/>
      <c r="G2978" s="167" t="s">
        <v>1888</v>
      </c>
      <c r="H2978" s="167"/>
      <c r="I2978" s="167"/>
      <c r="J2978" s="167"/>
      <c r="K2978" s="167"/>
      <c r="L2978" s="167"/>
      <c r="M2978" s="167"/>
      <c r="N2978" s="152"/>
    </row>
    <row r="2979" spans="1:15" s="3" customFormat="1" ht="9.9" customHeight="1">
      <c r="A2979" s="125"/>
      <c r="B2979" s="123"/>
      <c r="C2979" s="123"/>
      <c r="D2979" s="123"/>
      <c r="E2979" s="123"/>
      <c r="F2979" s="167"/>
      <c r="G2979" s="123"/>
      <c r="H2979" s="123"/>
      <c r="I2979" s="123"/>
      <c r="J2979" s="123"/>
      <c r="K2979" s="123"/>
      <c r="L2979" s="123"/>
      <c r="M2979" s="123"/>
      <c r="N2979" s="126"/>
    </row>
    <row r="2980" spans="1:15" s="3" customFormat="1" ht="42.75" customHeight="1">
      <c r="A2980" s="125" t="s">
        <v>1889</v>
      </c>
      <c r="B2980" s="123"/>
      <c r="C2980" s="123"/>
      <c r="D2980" s="123"/>
      <c r="E2980" s="123"/>
      <c r="F2980" s="167" t="s">
        <v>1885</v>
      </c>
      <c r="G2980" s="167" t="str">
        <f>PL!$B$13</f>
        <v>Branch of JSC "Doosan Enerbility" in the Turkestan region</v>
      </c>
      <c r="H2980" s="123"/>
      <c r="I2980" s="123"/>
      <c r="J2980" s="123"/>
      <c r="K2980" s="123"/>
      <c r="L2980" s="123"/>
      <c r="M2980" s="123"/>
      <c r="N2980" s="126"/>
    </row>
    <row r="2981" spans="1:15" s="3" customFormat="1" ht="24" customHeight="1">
      <c r="A2981" s="125" t="s">
        <v>1890</v>
      </c>
      <c r="B2981" s="123"/>
      <c r="C2981" s="123"/>
      <c r="D2981" s="123"/>
      <c r="E2981" s="123"/>
      <c r="F2981" s="168"/>
      <c r="G2981" s="167" t="str">
        <f>PL!$B$14</f>
        <v>321 Tauke Khan Avenue, Turkestan region, Turkestan, Kazakhstan, 161200</v>
      </c>
      <c r="H2981" s="123"/>
      <c r="I2981" s="123"/>
      <c r="J2981" s="123"/>
      <c r="K2981" s="123"/>
      <c r="L2981" s="123"/>
      <c r="M2981" s="123"/>
      <c r="N2981" s="126"/>
    </row>
    <row r="2982" spans="1:15" s="4" customFormat="1" ht="25.2">
      <c r="A2982" s="125"/>
      <c r="B2982" s="123"/>
      <c r="C2982" s="123"/>
      <c r="D2982" s="123"/>
      <c r="E2982" s="123"/>
      <c r="F2982" s="168"/>
      <c r="G2982" s="167" t="str">
        <f>PL!$B$15</f>
        <v>BIN: 230741006561</v>
      </c>
      <c r="H2982" s="123"/>
      <c r="I2982" s="123"/>
      <c r="J2982" s="123"/>
      <c r="K2982" s="123"/>
      <c r="L2982" s="123"/>
      <c r="M2982" s="123"/>
      <c r="N2982" s="126"/>
    </row>
    <row r="2983" spans="1:15" s="3" customFormat="1" ht="9.9" customHeight="1">
      <c r="A2983" s="125"/>
      <c r="B2983" s="123"/>
      <c r="C2983" s="123"/>
      <c r="D2983" s="123"/>
      <c r="E2983" s="123"/>
      <c r="F2983" s="169"/>
      <c r="G2983" s="169"/>
      <c r="H2983" s="123"/>
      <c r="I2983" s="123"/>
      <c r="J2983" s="123"/>
      <c r="K2983" s="123"/>
      <c r="L2983" s="123"/>
      <c r="M2983" s="123"/>
      <c r="N2983" s="126"/>
    </row>
    <row r="2984" spans="1:15" s="3" customFormat="1" ht="25.2">
      <c r="A2984" s="125" t="s">
        <v>1891</v>
      </c>
      <c r="B2984" s="123"/>
      <c r="C2984" s="123"/>
      <c r="D2984" s="123"/>
      <c r="E2984" s="123"/>
      <c r="F2984" s="167" t="s">
        <v>1892</v>
      </c>
      <c r="G2984" s="123"/>
      <c r="H2984" s="123"/>
      <c r="I2984" s="123"/>
      <c r="J2984" s="123"/>
      <c r="K2984" s="123"/>
      <c r="L2984" s="123"/>
      <c r="M2984" s="123"/>
      <c r="N2984" s="126"/>
    </row>
    <row r="2985" spans="1:15" s="4" customFormat="1" ht="25.2">
      <c r="A2985" s="125" t="s">
        <v>1893</v>
      </c>
      <c r="B2985" s="123"/>
      <c r="C2985" s="123"/>
      <c r="D2985" s="123"/>
      <c r="E2985" s="123"/>
      <c r="F2985" s="167" t="s">
        <v>1894</v>
      </c>
      <c r="G2985" s="123"/>
      <c r="H2985" s="123"/>
      <c r="I2985" s="123"/>
      <c r="J2985" s="123"/>
      <c r="K2985" s="123"/>
      <c r="L2985" s="123"/>
      <c r="M2985" s="123"/>
      <c r="N2985" s="126"/>
    </row>
    <row r="2986" spans="1:15" s="3" customFormat="1" ht="9.9" customHeight="1">
      <c r="A2986" s="125"/>
      <c r="B2986" s="123"/>
      <c r="C2986" s="123"/>
      <c r="D2986" s="123"/>
      <c r="E2986" s="123"/>
      <c r="F2986" s="167"/>
      <c r="G2986" s="123"/>
      <c r="H2986" s="123"/>
      <c r="I2986" s="123"/>
      <c r="J2986" s="123"/>
      <c r="K2986" s="123"/>
      <c r="L2986" s="123"/>
      <c r="M2986" s="123"/>
      <c r="N2986" s="126"/>
    </row>
    <row r="2987" spans="1:15" s="3" customFormat="1" ht="25.2">
      <c r="A2987" s="125" t="s">
        <v>1895</v>
      </c>
      <c r="B2987" s="123"/>
      <c r="C2987" s="123"/>
      <c r="D2987" s="123"/>
      <c r="E2987" s="123"/>
      <c r="F2987" s="167" t="s">
        <v>1896</v>
      </c>
      <c r="G2987" s="167" t="str">
        <f>PL!$V$8</f>
        <v>PGU-DE-0139-001</v>
      </c>
      <c r="H2987" s="123"/>
      <c r="I2987" s="123"/>
      <c r="J2987" s="123"/>
      <c r="K2987" s="123"/>
      <c r="L2987" s="123"/>
      <c r="M2987" s="123"/>
      <c r="N2987" s="126"/>
    </row>
    <row r="2988" spans="1:15" s="3" customFormat="1" ht="25.2">
      <c r="A2988" s="125" t="s">
        <v>1897</v>
      </c>
      <c r="B2988" s="123"/>
      <c r="C2988" s="123"/>
      <c r="D2988" s="123"/>
      <c r="E2988" s="123"/>
      <c r="F2988" s="167"/>
      <c r="G2988" s="123"/>
      <c r="H2988" s="123"/>
      <c r="I2988" s="123"/>
      <c r="J2988" s="123"/>
      <c r="K2988" s="123"/>
      <c r="L2988" s="123"/>
      <c r="M2988" s="123"/>
      <c r="N2988" s="126"/>
    </row>
    <row r="2989" spans="1:15" s="3" customFormat="1" ht="9.9" customHeight="1">
      <c r="A2989" s="125"/>
      <c r="B2989" s="123"/>
      <c r="C2989" s="123"/>
      <c r="D2989" s="123"/>
      <c r="E2989" s="123"/>
      <c r="F2989" s="167"/>
      <c r="G2989" s="123"/>
      <c r="H2989" s="123"/>
      <c r="I2989" s="123"/>
      <c r="J2989" s="123"/>
      <c r="K2989" s="123"/>
      <c r="L2989" s="123"/>
      <c r="M2989" s="123"/>
      <c r="N2989" s="126"/>
    </row>
    <row r="2990" spans="1:15" s="3" customFormat="1" ht="31.2" customHeight="1">
      <c r="A2990" s="127" t="s">
        <v>1898</v>
      </c>
      <c r="B2990" s="170"/>
      <c r="C2990" s="170"/>
      <c r="D2990" s="170"/>
      <c r="E2990" s="170"/>
      <c r="F2990" s="171" t="s">
        <v>1885</v>
      </c>
      <c r="G2990" s="597" t="e">
        <f>VLOOKUP(G2993, 'Detail PL'!$B$14:$Q$799,2)</f>
        <v>#N/A</v>
      </c>
      <c r="H2990" s="597"/>
      <c r="I2990" s="597"/>
      <c r="J2990" s="597"/>
      <c r="K2990" s="597"/>
      <c r="L2990" s="597"/>
      <c r="M2990" s="597"/>
      <c r="N2990" s="128"/>
    </row>
    <row r="2991" spans="1:15" s="3" customFormat="1" ht="25.2">
      <c r="A2991" s="127" t="s">
        <v>1899</v>
      </c>
      <c r="B2991" s="170"/>
      <c r="C2991" s="170"/>
      <c r="D2991" s="170"/>
      <c r="E2991" s="170"/>
      <c r="F2991" s="171"/>
      <c r="G2991" s="170"/>
      <c r="H2991" s="170"/>
      <c r="I2991" s="170"/>
      <c r="J2991" s="170"/>
      <c r="K2991" s="170"/>
      <c r="L2991" s="170"/>
      <c r="M2991" s="170"/>
      <c r="N2991" s="128"/>
    </row>
    <row r="2992" spans="1:15" s="3" customFormat="1" ht="9.9" customHeight="1">
      <c r="A2992" s="125"/>
      <c r="B2992" s="123"/>
      <c r="C2992" s="123"/>
      <c r="D2992" s="123"/>
      <c r="E2992" s="123"/>
      <c r="F2992" s="167"/>
      <c r="G2992" s="123"/>
      <c r="H2992" s="123"/>
      <c r="I2992" s="123"/>
      <c r="J2992" s="123"/>
      <c r="K2992" s="123"/>
      <c r="L2992" s="123"/>
      <c r="M2992" s="123"/>
      <c r="N2992" s="126"/>
    </row>
    <row r="2993" spans="1:14" s="3" customFormat="1" ht="25.2">
      <c r="A2993" s="125" t="s">
        <v>1900</v>
      </c>
      <c r="B2993" s="123"/>
      <c r="C2993" s="123"/>
      <c r="D2993" s="123"/>
      <c r="E2993" s="123"/>
      <c r="F2993" s="171" t="s">
        <v>1901</v>
      </c>
      <c r="G2993" s="604">
        <f t="shared" ref="G2993" si="83">G2958+1</f>
        <v>86</v>
      </c>
      <c r="H2993" s="604"/>
      <c r="I2993" s="604"/>
      <c r="J2993" s="604"/>
      <c r="K2993" s="604"/>
      <c r="L2993" s="123"/>
      <c r="M2993" s="123"/>
      <c r="N2993" s="126"/>
    </row>
    <row r="2994" spans="1:14" s="4" customFormat="1" ht="25.2">
      <c r="A2994" s="125" t="s">
        <v>1903</v>
      </c>
      <c r="B2994" s="123"/>
      <c r="C2994" s="123"/>
      <c r="D2994" s="123"/>
      <c r="E2994" s="123"/>
      <c r="F2994" s="167"/>
      <c r="G2994" s="167"/>
      <c r="H2994" s="123"/>
      <c r="I2994" s="123"/>
      <c r="J2994" s="123"/>
      <c r="K2994" s="123"/>
      <c r="L2994" s="123"/>
      <c r="M2994" s="123"/>
      <c r="N2994" s="126"/>
    </row>
    <row r="2995" spans="1:14" s="3" customFormat="1" ht="9.9" customHeight="1">
      <c r="A2995" s="125"/>
      <c r="B2995" s="123"/>
      <c r="C2995" s="123"/>
      <c r="D2995" s="123"/>
      <c r="E2995" s="123"/>
      <c r="F2995" s="167"/>
      <c r="G2995" s="167"/>
      <c r="H2995" s="123"/>
      <c r="I2995" s="123"/>
      <c r="J2995" s="123"/>
      <c r="K2995" s="123"/>
      <c r="L2995" s="123"/>
      <c r="M2995" s="123"/>
      <c r="N2995" s="126"/>
    </row>
    <row r="2996" spans="1:14" s="3" customFormat="1" ht="25.2">
      <c r="A2996" s="125" t="s">
        <v>1904</v>
      </c>
      <c r="B2996" s="123"/>
      <c r="C2996" s="123"/>
      <c r="D2996" s="123"/>
      <c r="E2996" s="123"/>
      <c r="F2996" s="167" t="s">
        <v>1896</v>
      </c>
      <c r="G2996" s="204" t="e">
        <f>VLOOKUP(G2993, 'Detail PL'!$B$14:$Q$799, 10)</f>
        <v>#N/A</v>
      </c>
      <c r="H2996" s="204" t="s">
        <v>1905</v>
      </c>
      <c r="I2996" s="204"/>
      <c r="J2996" s="204"/>
      <c r="K2996" s="123"/>
      <c r="L2996" s="123"/>
      <c r="M2996" s="123"/>
      <c r="N2996" s="126"/>
    </row>
    <row r="2997" spans="1:14" s="4" customFormat="1" ht="25.2">
      <c r="A2997" s="125" t="s">
        <v>1906</v>
      </c>
      <c r="B2997" s="123"/>
      <c r="C2997" s="123"/>
      <c r="D2997" s="123"/>
      <c r="E2997" s="123"/>
      <c r="F2997" s="167"/>
      <c r="G2997" s="167"/>
      <c r="H2997" s="167"/>
      <c r="I2997" s="123"/>
      <c r="J2997" s="123"/>
      <c r="K2997" s="123"/>
      <c r="L2997" s="123"/>
      <c r="M2997" s="123"/>
      <c r="N2997" s="126"/>
    </row>
    <row r="2998" spans="1:14" s="3" customFormat="1" ht="9.9" customHeight="1">
      <c r="A2998" s="125"/>
      <c r="B2998" s="123"/>
      <c r="C2998" s="123"/>
      <c r="D2998" s="123"/>
      <c r="E2998" s="123"/>
      <c r="F2998" s="167"/>
      <c r="G2998" s="167"/>
      <c r="H2998" s="167"/>
      <c r="I2998" s="123"/>
      <c r="J2998" s="123"/>
      <c r="K2998" s="123"/>
      <c r="L2998" s="123"/>
      <c r="M2998" s="123"/>
      <c r="N2998" s="126"/>
    </row>
    <row r="2999" spans="1:14" s="3" customFormat="1" ht="25.2">
      <c r="A2999" s="125" t="s">
        <v>1907</v>
      </c>
      <c r="B2999" s="123"/>
      <c r="C2999" s="123"/>
      <c r="D2999" s="123"/>
      <c r="E2999" s="123"/>
      <c r="F2999" s="167" t="s">
        <v>1896</v>
      </c>
      <c r="G2999" s="204" t="e">
        <f>VLOOKUP(G2993, 'Detail PL'!$B$14:$Q$799, 11)</f>
        <v>#N/A</v>
      </c>
      <c r="H2999" s="204" t="s">
        <v>1905</v>
      </c>
      <c r="I2999" s="204"/>
      <c r="J2999" s="204"/>
      <c r="K2999" s="123"/>
      <c r="L2999" s="123"/>
      <c r="M2999" s="123"/>
      <c r="N2999" s="126"/>
    </row>
    <row r="3000" spans="1:14" s="4" customFormat="1" ht="25.2">
      <c r="A3000" s="125" t="s">
        <v>1908</v>
      </c>
      <c r="B3000" s="123"/>
      <c r="C3000" s="123"/>
      <c r="D3000" s="123"/>
      <c r="E3000" s="123"/>
      <c r="F3000" s="167"/>
      <c r="G3000" s="167"/>
      <c r="H3000" s="123"/>
      <c r="I3000" s="123"/>
      <c r="J3000" s="123"/>
      <c r="K3000" s="123"/>
      <c r="L3000" s="123"/>
      <c r="M3000" s="123"/>
      <c r="N3000" s="126"/>
    </row>
    <row r="3001" spans="1:14" s="3" customFormat="1" ht="9.9" customHeight="1">
      <c r="A3001" s="125"/>
      <c r="B3001" s="123"/>
      <c r="C3001" s="123"/>
      <c r="D3001" s="123"/>
      <c r="E3001" s="123"/>
      <c r="F3001" s="167"/>
      <c r="G3001" s="167"/>
      <c r="H3001" s="123"/>
      <c r="I3001" s="123"/>
      <c r="J3001" s="123"/>
      <c r="K3001" s="123"/>
      <c r="L3001" s="123"/>
      <c r="M3001" s="123"/>
      <c r="N3001" s="126"/>
    </row>
    <row r="3002" spans="1:14" s="3" customFormat="1" ht="25.2">
      <c r="A3002" s="129" t="s">
        <v>1909</v>
      </c>
      <c r="B3002" s="123"/>
      <c r="C3002" s="123"/>
      <c r="D3002" s="123"/>
      <c r="E3002" s="123"/>
      <c r="F3002" s="167" t="s">
        <v>1896</v>
      </c>
      <c r="G3002" s="204" t="e">
        <f>VLOOKUP(G2993, 'Detail PL'!$B$14:$Q$799, 9)</f>
        <v>#N/A</v>
      </c>
      <c r="H3002" s="205" t="s">
        <v>1910</v>
      </c>
      <c r="I3002" s="203"/>
      <c r="J3002" s="203"/>
      <c r="K3002" s="172"/>
      <c r="L3002" s="123"/>
      <c r="M3002" s="123"/>
      <c r="N3002" s="126"/>
    </row>
    <row r="3003" spans="1:14" s="4" customFormat="1" ht="25.2">
      <c r="A3003" s="125" t="s">
        <v>1911</v>
      </c>
      <c r="B3003" s="123"/>
      <c r="C3003" s="123"/>
      <c r="D3003" s="123"/>
      <c r="E3003" s="123"/>
      <c r="F3003" s="167"/>
      <c r="G3003" s="167"/>
      <c r="H3003" s="123"/>
      <c r="I3003" s="123"/>
      <c r="J3003" s="123"/>
      <c r="K3003" s="123"/>
      <c r="L3003" s="123"/>
      <c r="M3003" s="123"/>
      <c r="N3003" s="126"/>
    </row>
    <row r="3004" spans="1:14" s="3" customFormat="1" ht="9.9" customHeight="1">
      <c r="A3004" s="125"/>
      <c r="B3004" s="123"/>
      <c r="C3004" s="123"/>
      <c r="D3004" s="123"/>
      <c r="E3004" s="123"/>
      <c r="F3004" s="167"/>
      <c r="G3004" s="167"/>
      <c r="H3004" s="123"/>
      <c r="I3004" s="123"/>
      <c r="J3004" s="123"/>
      <c r="K3004" s="123"/>
      <c r="L3004" s="123"/>
      <c r="M3004" s="123"/>
      <c r="N3004" s="126"/>
    </row>
    <row r="3005" spans="1:14" s="3" customFormat="1" ht="42" customHeight="1">
      <c r="A3005" s="125" t="s">
        <v>1912</v>
      </c>
      <c r="B3005" s="123"/>
      <c r="C3005" s="123"/>
      <c r="D3005" s="123"/>
      <c r="E3005" s="123"/>
      <c r="F3005" s="166" t="s">
        <v>1913</v>
      </c>
      <c r="G3005" s="595" t="s">
        <v>1914</v>
      </c>
      <c r="H3005" s="595"/>
      <c r="I3005" s="595"/>
      <c r="J3005" s="595"/>
      <c r="K3005" s="595"/>
      <c r="L3005" s="595"/>
      <c r="M3005" s="595"/>
      <c r="N3005" s="596"/>
    </row>
    <row r="3006" spans="1:14" s="4" customFormat="1" ht="25.8" thickBot="1">
      <c r="A3006" s="125" t="s">
        <v>1915</v>
      </c>
      <c r="B3006" s="123"/>
      <c r="C3006" s="123"/>
      <c r="D3006" s="123"/>
      <c r="E3006" s="123"/>
      <c r="F3006" s="167"/>
      <c r="G3006" s="167"/>
      <c r="H3006" s="123"/>
      <c r="I3006" s="123"/>
      <c r="J3006" s="123"/>
      <c r="K3006" s="123"/>
      <c r="L3006" s="123"/>
      <c r="M3006" s="123"/>
      <c r="N3006" s="126"/>
    </row>
    <row r="3007" spans="1:14" ht="21" customHeight="1">
      <c r="A3007" s="598" t="s">
        <v>1916</v>
      </c>
      <c r="B3007" s="599"/>
      <c r="C3007" s="599"/>
      <c r="D3007" s="599"/>
      <c r="E3007" s="599"/>
      <c r="F3007" s="599"/>
      <c r="G3007" s="599"/>
      <c r="H3007" s="599"/>
      <c r="I3007" s="599"/>
      <c r="J3007" s="599"/>
      <c r="K3007" s="599"/>
      <c r="L3007" s="599"/>
      <c r="M3007" s="599"/>
      <c r="N3007" s="600"/>
    </row>
    <row r="3008" spans="1:14" ht="25.5" customHeight="1" thickBot="1">
      <c r="A3008" s="601"/>
      <c r="B3008" s="602"/>
      <c r="C3008" s="602"/>
      <c r="D3008" s="602"/>
      <c r="E3008" s="602"/>
      <c r="F3008" s="602"/>
      <c r="G3008" s="602"/>
      <c r="H3008" s="602"/>
      <c r="I3008" s="602"/>
      <c r="J3008" s="602"/>
      <c r="K3008" s="602"/>
      <c r="L3008" s="602"/>
      <c r="M3008" s="602"/>
      <c r="N3008" s="603"/>
    </row>
    <row r="3009" spans="1:15" ht="25.5" customHeight="1">
      <c r="E3009" s="206"/>
      <c r="F3009" s="206"/>
      <c r="G3009" s="206"/>
      <c r="H3009" s="206"/>
      <c r="I3009" s="206"/>
      <c r="J3009" s="206"/>
      <c r="K3009" s="206"/>
    </row>
    <row r="3010" spans="1:15" ht="21.6" thickBot="1"/>
    <row r="3011" spans="1:15" ht="95.25" customHeight="1" thickBot="1">
      <c r="A3011" s="592" t="s">
        <v>1883</v>
      </c>
      <c r="B3011" s="593"/>
      <c r="C3011" s="593"/>
      <c r="D3011" s="593"/>
      <c r="E3011" s="593"/>
      <c r="F3011" s="593"/>
      <c r="G3011" s="593"/>
      <c r="H3011" s="593"/>
      <c r="I3011" s="593"/>
      <c r="J3011" s="593"/>
      <c r="K3011" s="593"/>
      <c r="L3011" s="593"/>
      <c r="M3011" s="593"/>
      <c r="N3011" s="594"/>
    </row>
    <row r="3012" spans="1:15" s="3" customFormat="1" ht="37.5" customHeight="1">
      <c r="A3012" s="134" t="s">
        <v>1884</v>
      </c>
      <c r="B3012" s="166"/>
      <c r="C3012" s="166"/>
      <c r="D3012" s="123"/>
      <c r="E3012" s="123"/>
      <c r="F3012" s="167" t="s">
        <v>1885</v>
      </c>
      <c r="G3012" s="167" t="s">
        <v>1886</v>
      </c>
      <c r="H3012" s="167"/>
      <c r="I3012" s="167"/>
      <c r="J3012" s="167"/>
      <c r="K3012" s="167"/>
      <c r="L3012" s="167"/>
      <c r="M3012" s="167"/>
      <c r="N3012" s="152"/>
      <c r="O3012" s="201"/>
    </row>
    <row r="3013" spans="1:15" s="4" customFormat="1" ht="25.2">
      <c r="A3013" s="125" t="s">
        <v>1887</v>
      </c>
      <c r="B3013" s="123"/>
      <c r="C3013" s="123"/>
      <c r="D3013" s="123"/>
      <c r="E3013" s="123"/>
      <c r="F3013" s="167"/>
      <c r="G3013" s="167" t="s">
        <v>1888</v>
      </c>
      <c r="H3013" s="167"/>
      <c r="I3013" s="167"/>
      <c r="J3013" s="167"/>
      <c r="K3013" s="167"/>
      <c r="L3013" s="167"/>
      <c r="M3013" s="167"/>
      <c r="N3013" s="152"/>
    </row>
    <row r="3014" spans="1:15" s="3" customFormat="1" ht="9.9" customHeight="1">
      <c r="A3014" s="125"/>
      <c r="B3014" s="123"/>
      <c r="C3014" s="123"/>
      <c r="D3014" s="123"/>
      <c r="E3014" s="123"/>
      <c r="F3014" s="167"/>
      <c r="G3014" s="123"/>
      <c r="H3014" s="123"/>
      <c r="I3014" s="123"/>
      <c r="J3014" s="123"/>
      <c r="K3014" s="123"/>
      <c r="L3014" s="123"/>
      <c r="M3014" s="123"/>
      <c r="N3014" s="126"/>
    </row>
    <row r="3015" spans="1:15" s="3" customFormat="1" ht="42.75" customHeight="1">
      <c r="A3015" s="125" t="s">
        <v>1889</v>
      </c>
      <c r="B3015" s="123"/>
      <c r="C3015" s="123"/>
      <c r="D3015" s="123"/>
      <c r="E3015" s="123"/>
      <c r="F3015" s="167" t="s">
        <v>1885</v>
      </c>
      <c r="G3015" s="167" t="str">
        <f>PL!$B$13</f>
        <v>Branch of JSC "Doosan Enerbility" in the Turkestan region</v>
      </c>
      <c r="H3015" s="123"/>
      <c r="I3015" s="123"/>
      <c r="J3015" s="123"/>
      <c r="K3015" s="123"/>
      <c r="L3015" s="123"/>
      <c r="M3015" s="123"/>
      <c r="N3015" s="126"/>
    </row>
    <row r="3016" spans="1:15" s="3" customFormat="1" ht="24" customHeight="1">
      <c r="A3016" s="125" t="s">
        <v>1890</v>
      </c>
      <c r="B3016" s="123"/>
      <c r="C3016" s="123"/>
      <c r="D3016" s="123"/>
      <c r="E3016" s="123"/>
      <c r="F3016" s="168"/>
      <c r="G3016" s="167" t="str">
        <f>PL!$B$14</f>
        <v>321 Tauke Khan Avenue, Turkestan region, Turkestan, Kazakhstan, 161200</v>
      </c>
      <c r="H3016" s="123"/>
      <c r="I3016" s="123"/>
      <c r="J3016" s="123"/>
      <c r="K3016" s="123"/>
      <c r="L3016" s="123"/>
      <c r="M3016" s="123"/>
      <c r="N3016" s="126"/>
    </row>
    <row r="3017" spans="1:15" s="4" customFormat="1" ht="25.2">
      <c r="A3017" s="125"/>
      <c r="B3017" s="123"/>
      <c r="C3017" s="123"/>
      <c r="D3017" s="123"/>
      <c r="E3017" s="123"/>
      <c r="F3017" s="168"/>
      <c r="G3017" s="167" t="str">
        <f>PL!$B$15</f>
        <v>BIN: 230741006561</v>
      </c>
      <c r="H3017" s="123"/>
      <c r="I3017" s="123"/>
      <c r="J3017" s="123"/>
      <c r="K3017" s="123"/>
      <c r="L3017" s="123"/>
      <c r="M3017" s="123"/>
      <c r="N3017" s="126"/>
    </row>
    <row r="3018" spans="1:15" s="3" customFormat="1" ht="9.9" customHeight="1">
      <c r="A3018" s="125"/>
      <c r="B3018" s="123"/>
      <c r="C3018" s="123"/>
      <c r="D3018" s="123"/>
      <c r="E3018" s="123"/>
      <c r="F3018" s="169"/>
      <c r="G3018" s="169"/>
      <c r="H3018" s="123"/>
      <c r="I3018" s="123"/>
      <c r="J3018" s="123"/>
      <c r="K3018" s="123"/>
      <c r="L3018" s="123"/>
      <c r="M3018" s="123"/>
      <c r="N3018" s="126"/>
    </row>
    <row r="3019" spans="1:15" s="3" customFormat="1" ht="25.2">
      <c r="A3019" s="125" t="s">
        <v>1891</v>
      </c>
      <c r="B3019" s="123"/>
      <c r="C3019" s="123"/>
      <c r="D3019" s="123"/>
      <c r="E3019" s="123"/>
      <c r="F3019" s="167" t="s">
        <v>1892</v>
      </c>
      <c r="G3019" s="123"/>
      <c r="H3019" s="123"/>
      <c r="I3019" s="123"/>
      <c r="J3019" s="123"/>
      <c r="K3019" s="123"/>
      <c r="L3019" s="123"/>
      <c r="M3019" s="123"/>
      <c r="N3019" s="126"/>
    </row>
    <row r="3020" spans="1:15" s="4" customFormat="1" ht="25.2">
      <c r="A3020" s="125" t="s">
        <v>1893</v>
      </c>
      <c r="B3020" s="123"/>
      <c r="C3020" s="123"/>
      <c r="D3020" s="123"/>
      <c r="E3020" s="123"/>
      <c r="F3020" s="167" t="s">
        <v>1894</v>
      </c>
      <c r="G3020" s="123"/>
      <c r="H3020" s="123"/>
      <c r="I3020" s="123"/>
      <c r="J3020" s="123"/>
      <c r="K3020" s="123"/>
      <c r="L3020" s="123"/>
      <c r="M3020" s="123"/>
      <c r="N3020" s="126"/>
    </row>
    <row r="3021" spans="1:15" s="3" customFormat="1" ht="9.9" customHeight="1">
      <c r="A3021" s="125"/>
      <c r="B3021" s="123"/>
      <c r="C3021" s="123"/>
      <c r="D3021" s="123"/>
      <c r="E3021" s="123"/>
      <c r="F3021" s="167"/>
      <c r="G3021" s="123"/>
      <c r="H3021" s="123"/>
      <c r="I3021" s="123"/>
      <c r="J3021" s="123"/>
      <c r="K3021" s="123"/>
      <c r="L3021" s="123"/>
      <c r="M3021" s="123"/>
      <c r="N3021" s="126"/>
    </row>
    <row r="3022" spans="1:15" s="3" customFormat="1" ht="25.2">
      <c r="A3022" s="125" t="s">
        <v>1895</v>
      </c>
      <c r="B3022" s="123"/>
      <c r="C3022" s="123"/>
      <c r="D3022" s="123"/>
      <c r="E3022" s="123"/>
      <c r="F3022" s="167" t="s">
        <v>1896</v>
      </c>
      <c r="G3022" s="167" t="str">
        <f>PL!$V$8</f>
        <v>PGU-DE-0139-001</v>
      </c>
      <c r="H3022" s="123"/>
      <c r="I3022" s="123"/>
      <c r="J3022" s="123"/>
      <c r="K3022" s="123"/>
      <c r="L3022" s="123"/>
      <c r="M3022" s="123"/>
      <c r="N3022" s="126"/>
    </row>
    <row r="3023" spans="1:15" s="3" customFormat="1" ht="25.2">
      <c r="A3023" s="125" t="s">
        <v>1897</v>
      </c>
      <c r="B3023" s="123"/>
      <c r="C3023" s="123"/>
      <c r="D3023" s="123"/>
      <c r="E3023" s="123"/>
      <c r="F3023" s="167"/>
      <c r="G3023" s="123"/>
      <c r="H3023" s="123"/>
      <c r="I3023" s="123"/>
      <c r="J3023" s="123"/>
      <c r="K3023" s="123"/>
      <c r="L3023" s="123"/>
      <c r="M3023" s="123"/>
      <c r="N3023" s="126"/>
    </row>
    <row r="3024" spans="1:15" s="3" customFormat="1" ht="9.9" customHeight="1">
      <c r="A3024" s="125"/>
      <c r="B3024" s="123"/>
      <c r="C3024" s="123"/>
      <c r="D3024" s="123"/>
      <c r="E3024" s="123"/>
      <c r="F3024" s="167"/>
      <c r="G3024" s="123"/>
      <c r="H3024" s="123"/>
      <c r="I3024" s="123"/>
      <c r="J3024" s="123"/>
      <c r="K3024" s="123"/>
      <c r="L3024" s="123"/>
      <c r="M3024" s="123"/>
      <c r="N3024" s="126"/>
    </row>
    <row r="3025" spans="1:14" s="3" customFormat="1" ht="31.2" customHeight="1">
      <c r="A3025" s="127" t="s">
        <v>1898</v>
      </c>
      <c r="B3025" s="170"/>
      <c r="C3025" s="170"/>
      <c r="D3025" s="170"/>
      <c r="E3025" s="170"/>
      <c r="F3025" s="171" t="s">
        <v>1885</v>
      </c>
      <c r="G3025" s="597" t="e">
        <f>VLOOKUP(G3028, 'Detail PL'!$B$14:$Q$799,2)</f>
        <v>#N/A</v>
      </c>
      <c r="H3025" s="597"/>
      <c r="I3025" s="597"/>
      <c r="J3025" s="597"/>
      <c r="K3025" s="597"/>
      <c r="L3025" s="597"/>
      <c r="M3025" s="597"/>
      <c r="N3025" s="128"/>
    </row>
    <row r="3026" spans="1:14" s="3" customFormat="1" ht="25.2">
      <c r="A3026" s="127" t="s">
        <v>1899</v>
      </c>
      <c r="B3026" s="170"/>
      <c r="C3026" s="170"/>
      <c r="D3026" s="170"/>
      <c r="E3026" s="170"/>
      <c r="F3026" s="171"/>
      <c r="G3026" s="170"/>
      <c r="H3026" s="170"/>
      <c r="I3026" s="170"/>
      <c r="J3026" s="170"/>
      <c r="K3026" s="170"/>
      <c r="L3026" s="170"/>
      <c r="M3026" s="170"/>
      <c r="N3026" s="128"/>
    </row>
    <row r="3027" spans="1:14" s="3" customFormat="1" ht="9.9" customHeight="1">
      <c r="A3027" s="125"/>
      <c r="B3027" s="123"/>
      <c r="C3027" s="123"/>
      <c r="D3027" s="123"/>
      <c r="E3027" s="123"/>
      <c r="F3027" s="167"/>
      <c r="G3027" s="123"/>
      <c r="H3027" s="123"/>
      <c r="I3027" s="123"/>
      <c r="J3027" s="123"/>
      <c r="K3027" s="123"/>
      <c r="L3027" s="123"/>
      <c r="M3027" s="123"/>
      <c r="N3027" s="126"/>
    </row>
    <row r="3028" spans="1:14" s="3" customFormat="1" ht="25.2">
      <c r="A3028" s="125" t="s">
        <v>1900</v>
      </c>
      <c r="B3028" s="123"/>
      <c r="C3028" s="123"/>
      <c r="D3028" s="123"/>
      <c r="E3028" s="123"/>
      <c r="F3028" s="171" t="s">
        <v>1901</v>
      </c>
      <c r="G3028" s="604">
        <f t="shared" ref="G3028" si="84">G2993+1</f>
        <v>87</v>
      </c>
      <c r="H3028" s="604"/>
      <c r="I3028" s="604"/>
      <c r="J3028" s="604"/>
      <c r="K3028" s="604"/>
      <c r="L3028" s="123"/>
      <c r="M3028" s="123"/>
      <c r="N3028" s="126"/>
    </row>
    <row r="3029" spans="1:14" s="4" customFormat="1" ht="25.2">
      <c r="A3029" s="125" t="s">
        <v>1903</v>
      </c>
      <c r="B3029" s="123"/>
      <c r="C3029" s="123"/>
      <c r="D3029" s="123"/>
      <c r="E3029" s="123"/>
      <c r="F3029" s="167"/>
      <c r="G3029" s="167"/>
      <c r="H3029" s="123"/>
      <c r="I3029" s="123"/>
      <c r="J3029" s="123"/>
      <c r="K3029" s="123"/>
      <c r="L3029" s="123"/>
      <c r="M3029" s="123"/>
      <c r="N3029" s="126"/>
    </row>
    <row r="3030" spans="1:14" s="3" customFormat="1" ht="9.9" customHeight="1">
      <c r="A3030" s="125"/>
      <c r="B3030" s="123"/>
      <c r="C3030" s="123"/>
      <c r="D3030" s="123"/>
      <c r="E3030" s="123"/>
      <c r="F3030" s="167"/>
      <c r="G3030" s="167"/>
      <c r="H3030" s="123"/>
      <c r="I3030" s="123"/>
      <c r="J3030" s="123"/>
      <c r="K3030" s="123"/>
      <c r="L3030" s="123"/>
      <c r="M3030" s="123"/>
      <c r="N3030" s="126"/>
    </row>
    <row r="3031" spans="1:14" s="3" customFormat="1" ht="25.2">
      <c r="A3031" s="125" t="s">
        <v>1904</v>
      </c>
      <c r="B3031" s="123"/>
      <c r="C3031" s="123"/>
      <c r="D3031" s="123"/>
      <c r="E3031" s="123"/>
      <c r="F3031" s="167" t="s">
        <v>1896</v>
      </c>
      <c r="G3031" s="204" t="e">
        <f>VLOOKUP(G3028, 'Detail PL'!$B$14:$Q$799, 10)</f>
        <v>#N/A</v>
      </c>
      <c r="H3031" s="204" t="s">
        <v>1905</v>
      </c>
      <c r="I3031" s="204"/>
      <c r="J3031" s="204"/>
      <c r="K3031" s="123"/>
      <c r="L3031" s="123"/>
      <c r="M3031" s="123"/>
      <c r="N3031" s="126"/>
    </row>
    <row r="3032" spans="1:14" s="4" customFormat="1" ht="25.2">
      <c r="A3032" s="125" t="s">
        <v>1906</v>
      </c>
      <c r="B3032" s="123"/>
      <c r="C3032" s="123"/>
      <c r="D3032" s="123"/>
      <c r="E3032" s="123"/>
      <c r="F3032" s="167"/>
      <c r="G3032" s="167"/>
      <c r="H3032" s="167"/>
      <c r="I3032" s="123"/>
      <c r="J3032" s="123"/>
      <c r="K3032" s="123"/>
      <c r="L3032" s="123"/>
      <c r="M3032" s="123"/>
      <c r="N3032" s="126"/>
    </row>
    <row r="3033" spans="1:14" s="3" customFormat="1" ht="9.9" customHeight="1">
      <c r="A3033" s="125"/>
      <c r="B3033" s="123"/>
      <c r="C3033" s="123"/>
      <c r="D3033" s="123"/>
      <c r="E3033" s="123"/>
      <c r="F3033" s="167"/>
      <c r="G3033" s="167"/>
      <c r="H3033" s="167"/>
      <c r="I3033" s="123"/>
      <c r="J3033" s="123"/>
      <c r="K3033" s="123"/>
      <c r="L3033" s="123"/>
      <c r="M3033" s="123"/>
      <c r="N3033" s="126"/>
    </row>
    <row r="3034" spans="1:14" s="3" customFormat="1" ht="25.2">
      <c r="A3034" s="125" t="s">
        <v>1907</v>
      </c>
      <c r="B3034" s="123"/>
      <c r="C3034" s="123"/>
      <c r="D3034" s="123"/>
      <c r="E3034" s="123"/>
      <c r="F3034" s="167" t="s">
        <v>1896</v>
      </c>
      <c r="G3034" s="204" t="e">
        <f>VLOOKUP(G3028, 'Detail PL'!$B$14:$Q$799, 11)</f>
        <v>#N/A</v>
      </c>
      <c r="H3034" s="204" t="s">
        <v>1905</v>
      </c>
      <c r="I3034" s="204"/>
      <c r="J3034" s="204"/>
      <c r="K3034" s="123"/>
      <c r="L3034" s="123"/>
      <c r="M3034" s="123"/>
      <c r="N3034" s="126"/>
    </row>
    <row r="3035" spans="1:14" s="4" customFormat="1" ht="25.2">
      <c r="A3035" s="125" t="s">
        <v>1908</v>
      </c>
      <c r="B3035" s="123"/>
      <c r="C3035" s="123"/>
      <c r="D3035" s="123"/>
      <c r="E3035" s="123"/>
      <c r="F3035" s="167"/>
      <c r="G3035" s="167"/>
      <c r="H3035" s="123"/>
      <c r="I3035" s="123"/>
      <c r="J3035" s="123"/>
      <c r="K3035" s="123"/>
      <c r="L3035" s="123"/>
      <c r="M3035" s="123"/>
      <c r="N3035" s="126"/>
    </row>
    <row r="3036" spans="1:14" s="3" customFormat="1" ht="9.9" customHeight="1">
      <c r="A3036" s="125"/>
      <c r="B3036" s="123"/>
      <c r="C3036" s="123"/>
      <c r="D3036" s="123"/>
      <c r="E3036" s="123"/>
      <c r="F3036" s="167"/>
      <c r="G3036" s="167"/>
      <c r="H3036" s="123"/>
      <c r="I3036" s="123"/>
      <c r="J3036" s="123"/>
      <c r="K3036" s="123"/>
      <c r="L3036" s="123"/>
      <c r="M3036" s="123"/>
      <c r="N3036" s="126"/>
    </row>
    <row r="3037" spans="1:14" s="3" customFormat="1" ht="25.2">
      <c r="A3037" s="129" t="s">
        <v>1909</v>
      </c>
      <c r="B3037" s="123"/>
      <c r="C3037" s="123"/>
      <c r="D3037" s="123"/>
      <c r="E3037" s="123"/>
      <c r="F3037" s="167" t="s">
        <v>1896</v>
      </c>
      <c r="G3037" s="204" t="e">
        <f>VLOOKUP(G3028, 'Detail PL'!$B$14:$Q$799, 9)</f>
        <v>#N/A</v>
      </c>
      <c r="H3037" s="205" t="s">
        <v>1910</v>
      </c>
      <c r="I3037" s="203"/>
      <c r="J3037" s="203"/>
      <c r="K3037" s="172"/>
      <c r="L3037" s="123"/>
      <c r="M3037" s="123"/>
      <c r="N3037" s="126"/>
    </row>
    <row r="3038" spans="1:14" s="4" customFormat="1" ht="25.2">
      <c r="A3038" s="125" t="s">
        <v>1911</v>
      </c>
      <c r="B3038" s="123"/>
      <c r="C3038" s="123"/>
      <c r="D3038" s="123"/>
      <c r="E3038" s="123"/>
      <c r="F3038" s="167"/>
      <c r="G3038" s="167"/>
      <c r="H3038" s="123"/>
      <c r="I3038" s="123"/>
      <c r="J3038" s="123"/>
      <c r="K3038" s="123"/>
      <c r="L3038" s="123"/>
      <c r="M3038" s="123"/>
      <c r="N3038" s="126"/>
    </row>
    <row r="3039" spans="1:14" s="3" customFormat="1" ht="9.9" customHeight="1">
      <c r="A3039" s="125"/>
      <c r="B3039" s="123"/>
      <c r="C3039" s="123"/>
      <c r="D3039" s="123"/>
      <c r="E3039" s="123"/>
      <c r="F3039" s="167"/>
      <c r="G3039" s="167"/>
      <c r="H3039" s="123"/>
      <c r="I3039" s="123"/>
      <c r="J3039" s="123"/>
      <c r="K3039" s="123"/>
      <c r="L3039" s="123"/>
      <c r="M3039" s="123"/>
      <c r="N3039" s="126"/>
    </row>
    <row r="3040" spans="1:14" s="3" customFormat="1" ht="42" customHeight="1">
      <c r="A3040" s="125" t="s">
        <v>1912</v>
      </c>
      <c r="B3040" s="123"/>
      <c r="C3040" s="123"/>
      <c r="D3040" s="123"/>
      <c r="E3040" s="123"/>
      <c r="F3040" s="166" t="s">
        <v>1913</v>
      </c>
      <c r="G3040" s="595" t="s">
        <v>1914</v>
      </c>
      <c r="H3040" s="595"/>
      <c r="I3040" s="595"/>
      <c r="J3040" s="595"/>
      <c r="K3040" s="595"/>
      <c r="L3040" s="595"/>
      <c r="M3040" s="595"/>
      <c r="N3040" s="596"/>
    </row>
    <row r="3041" spans="1:15" s="4" customFormat="1" ht="25.8" thickBot="1">
      <c r="A3041" s="125" t="s">
        <v>1915</v>
      </c>
      <c r="B3041" s="123"/>
      <c r="C3041" s="123"/>
      <c r="D3041" s="123"/>
      <c r="E3041" s="123"/>
      <c r="F3041" s="167"/>
      <c r="G3041" s="167"/>
      <c r="H3041" s="123"/>
      <c r="I3041" s="123"/>
      <c r="J3041" s="123"/>
      <c r="K3041" s="123"/>
      <c r="L3041" s="123"/>
      <c r="M3041" s="123"/>
      <c r="N3041" s="126"/>
    </row>
    <row r="3042" spans="1:15" ht="21" customHeight="1">
      <c r="A3042" s="598" t="s">
        <v>1916</v>
      </c>
      <c r="B3042" s="599"/>
      <c r="C3042" s="599"/>
      <c r="D3042" s="599"/>
      <c r="E3042" s="599"/>
      <c r="F3042" s="599"/>
      <c r="G3042" s="599"/>
      <c r="H3042" s="599"/>
      <c r="I3042" s="599"/>
      <c r="J3042" s="599"/>
      <c r="K3042" s="599"/>
      <c r="L3042" s="599"/>
      <c r="M3042" s="599"/>
      <c r="N3042" s="600"/>
    </row>
    <row r="3043" spans="1:15" ht="25.5" customHeight="1" thickBot="1">
      <c r="A3043" s="601"/>
      <c r="B3043" s="602"/>
      <c r="C3043" s="602"/>
      <c r="D3043" s="602"/>
      <c r="E3043" s="602"/>
      <c r="F3043" s="602"/>
      <c r="G3043" s="602"/>
      <c r="H3043" s="602"/>
      <c r="I3043" s="602"/>
      <c r="J3043" s="602"/>
      <c r="K3043" s="602"/>
      <c r="L3043" s="602"/>
      <c r="M3043" s="602"/>
      <c r="N3043" s="603"/>
    </row>
    <row r="3044" spans="1:15" ht="25.5" customHeight="1">
      <c r="E3044" s="206"/>
      <c r="F3044" s="206"/>
      <c r="G3044" s="206"/>
      <c r="H3044" s="206"/>
      <c r="I3044" s="206"/>
      <c r="J3044" s="206"/>
      <c r="K3044" s="206"/>
    </row>
    <row r="3045" spans="1:15" ht="21.6" thickBot="1"/>
    <row r="3046" spans="1:15" ht="95.25" customHeight="1" thickBot="1">
      <c r="A3046" s="592" t="s">
        <v>1883</v>
      </c>
      <c r="B3046" s="593"/>
      <c r="C3046" s="593"/>
      <c r="D3046" s="593"/>
      <c r="E3046" s="593"/>
      <c r="F3046" s="593"/>
      <c r="G3046" s="593"/>
      <c r="H3046" s="593"/>
      <c r="I3046" s="593"/>
      <c r="J3046" s="593"/>
      <c r="K3046" s="593"/>
      <c r="L3046" s="593"/>
      <c r="M3046" s="593"/>
      <c r="N3046" s="594"/>
    </row>
    <row r="3047" spans="1:15" s="3" customFormat="1" ht="37.5" customHeight="1">
      <c r="A3047" s="134" t="s">
        <v>1884</v>
      </c>
      <c r="B3047" s="166"/>
      <c r="C3047" s="166"/>
      <c r="D3047" s="123"/>
      <c r="E3047" s="123"/>
      <c r="F3047" s="167" t="s">
        <v>1885</v>
      </c>
      <c r="G3047" s="167" t="s">
        <v>1886</v>
      </c>
      <c r="H3047" s="167"/>
      <c r="I3047" s="167"/>
      <c r="J3047" s="167"/>
      <c r="K3047" s="167"/>
      <c r="L3047" s="167"/>
      <c r="M3047" s="167"/>
      <c r="N3047" s="152"/>
      <c r="O3047" s="201"/>
    </row>
    <row r="3048" spans="1:15" s="4" customFormat="1" ht="25.2">
      <c r="A3048" s="125" t="s">
        <v>1887</v>
      </c>
      <c r="B3048" s="123"/>
      <c r="C3048" s="123"/>
      <c r="D3048" s="123"/>
      <c r="E3048" s="123"/>
      <c r="F3048" s="167"/>
      <c r="G3048" s="167" t="s">
        <v>1888</v>
      </c>
      <c r="H3048" s="167"/>
      <c r="I3048" s="167"/>
      <c r="J3048" s="167"/>
      <c r="K3048" s="167"/>
      <c r="L3048" s="167"/>
      <c r="M3048" s="167"/>
      <c r="N3048" s="152"/>
    </row>
    <row r="3049" spans="1:15" s="3" customFormat="1" ht="9.9" customHeight="1">
      <c r="A3049" s="125"/>
      <c r="B3049" s="123"/>
      <c r="C3049" s="123"/>
      <c r="D3049" s="123"/>
      <c r="E3049" s="123"/>
      <c r="F3049" s="167"/>
      <c r="G3049" s="123"/>
      <c r="H3049" s="123"/>
      <c r="I3049" s="123"/>
      <c r="J3049" s="123"/>
      <c r="K3049" s="123"/>
      <c r="L3049" s="123"/>
      <c r="M3049" s="123"/>
      <c r="N3049" s="126"/>
    </row>
    <row r="3050" spans="1:15" s="3" customFormat="1" ht="42.75" customHeight="1">
      <c r="A3050" s="125" t="s">
        <v>1889</v>
      </c>
      <c r="B3050" s="123"/>
      <c r="C3050" s="123"/>
      <c r="D3050" s="123"/>
      <c r="E3050" s="123"/>
      <c r="F3050" s="167" t="s">
        <v>1885</v>
      </c>
      <c r="G3050" s="167" t="str">
        <f>PL!$B$13</f>
        <v>Branch of JSC "Doosan Enerbility" in the Turkestan region</v>
      </c>
      <c r="H3050" s="123"/>
      <c r="I3050" s="123"/>
      <c r="J3050" s="123"/>
      <c r="K3050" s="123"/>
      <c r="L3050" s="123"/>
      <c r="M3050" s="123"/>
      <c r="N3050" s="126"/>
    </row>
    <row r="3051" spans="1:15" s="3" customFormat="1" ht="24" customHeight="1">
      <c r="A3051" s="125" t="s">
        <v>1890</v>
      </c>
      <c r="B3051" s="123"/>
      <c r="C3051" s="123"/>
      <c r="D3051" s="123"/>
      <c r="E3051" s="123"/>
      <c r="F3051" s="168"/>
      <c r="G3051" s="167" t="str">
        <f>PL!$B$14</f>
        <v>321 Tauke Khan Avenue, Turkestan region, Turkestan, Kazakhstan, 161200</v>
      </c>
      <c r="H3051" s="123"/>
      <c r="I3051" s="123"/>
      <c r="J3051" s="123"/>
      <c r="K3051" s="123"/>
      <c r="L3051" s="123"/>
      <c r="M3051" s="123"/>
      <c r="N3051" s="126"/>
    </row>
    <row r="3052" spans="1:15" s="4" customFormat="1" ht="25.2">
      <c r="A3052" s="125"/>
      <c r="B3052" s="123"/>
      <c r="C3052" s="123"/>
      <c r="D3052" s="123"/>
      <c r="E3052" s="123"/>
      <c r="F3052" s="168"/>
      <c r="G3052" s="167" t="str">
        <f>PL!$B$15</f>
        <v>BIN: 230741006561</v>
      </c>
      <c r="H3052" s="123"/>
      <c r="I3052" s="123"/>
      <c r="J3052" s="123"/>
      <c r="K3052" s="123"/>
      <c r="L3052" s="123"/>
      <c r="M3052" s="123"/>
      <c r="N3052" s="126"/>
    </row>
    <row r="3053" spans="1:15" s="3" customFormat="1" ht="9.9" customHeight="1">
      <c r="A3053" s="125"/>
      <c r="B3053" s="123"/>
      <c r="C3053" s="123"/>
      <c r="D3053" s="123"/>
      <c r="E3053" s="123"/>
      <c r="F3053" s="169"/>
      <c r="G3053" s="169"/>
      <c r="H3053" s="123"/>
      <c r="I3053" s="123"/>
      <c r="J3053" s="123"/>
      <c r="K3053" s="123"/>
      <c r="L3053" s="123"/>
      <c r="M3053" s="123"/>
      <c r="N3053" s="126"/>
    </row>
    <row r="3054" spans="1:15" s="3" customFormat="1" ht="25.2">
      <c r="A3054" s="125" t="s">
        <v>1891</v>
      </c>
      <c r="B3054" s="123"/>
      <c r="C3054" s="123"/>
      <c r="D3054" s="123"/>
      <c r="E3054" s="123"/>
      <c r="F3054" s="167" t="s">
        <v>1892</v>
      </c>
      <c r="G3054" s="123"/>
      <c r="H3054" s="123"/>
      <c r="I3054" s="123"/>
      <c r="J3054" s="123"/>
      <c r="K3054" s="123"/>
      <c r="L3054" s="123"/>
      <c r="M3054" s="123"/>
      <c r="N3054" s="126"/>
    </row>
    <row r="3055" spans="1:15" s="4" customFormat="1" ht="25.2">
      <c r="A3055" s="125" t="s">
        <v>1893</v>
      </c>
      <c r="B3055" s="123"/>
      <c r="C3055" s="123"/>
      <c r="D3055" s="123"/>
      <c r="E3055" s="123"/>
      <c r="F3055" s="167" t="s">
        <v>1894</v>
      </c>
      <c r="G3055" s="123"/>
      <c r="H3055" s="123"/>
      <c r="I3055" s="123"/>
      <c r="J3055" s="123"/>
      <c r="K3055" s="123"/>
      <c r="L3055" s="123"/>
      <c r="M3055" s="123"/>
      <c r="N3055" s="126"/>
    </row>
    <row r="3056" spans="1:15" s="3" customFormat="1" ht="9.9" customHeight="1">
      <c r="A3056" s="125"/>
      <c r="B3056" s="123"/>
      <c r="C3056" s="123"/>
      <c r="D3056" s="123"/>
      <c r="E3056" s="123"/>
      <c r="F3056" s="167"/>
      <c r="G3056" s="123"/>
      <c r="H3056" s="123"/>
      <c r="I3056" s="123"/>
      <c r="J3056" s="123"/>
      <c r="K3056" s="123"/>
      <c r="L3056" s="123"/>
      <c r="M3056" s="123"/>
      <c r="N3056" s="126"/>
    </row>
    <row r="3057" spans="1:14" s="3" customFormat="1" ht="25.2">
      <c r="A3057" s="125" t="s">
        <v>1895</v>
      </c>
      <c r="B3057" s="123"/>
      <c r="C3057" s="123"/>
      <c r="D3057" s="123"/>
      <c r="E3057" s="123"/>
      <c r="F3057" s="167" t="s">
        <v>1896</v>
      </c>
      <c r="G3057" s="167" t="str">
        <f>PL!$V$8</f>
        <v>PGU-DE-0139-001</v>
      </c>
      <c r="H3057" s="123"/>
      <c r="I3057" s="123"/>
      <c r="J3057" s="123"/>
      <c r="K3057" s="123"/>
      <c r="L3057" s="123"/>
      <c r="M3057" s="123"/>
      <c r="N3057" s="126"/>
    </row>
    <row r="3058" spans="1:14" s="3" customFormat="1" ht="25.2">
      <c r="A3058" s="125" t="s">
        <v>1897</v>
      </c>
      <c r="B3058" s="123"/>
      <c r="C3058" s="123"/>
      <c r="D3058" s="123"/>
      <c r="E3058" s="123"/>
      <c r="F3058" s="167"/>
      <c r="G3058" s="123"/>
      <c r="H3058" s="123"/>
      <c r="I3058" s="123"/>
      <c r="J3058" s="123"/>
      <c r="K3058" s="123"/>
      <c r="L3058" s="123"/>
      <c r="M3058" s="123"/>
      <c r="N3058" s="126"/>
    </row>
    <row r="3059" spans="1:14" s="3" customFormat="1" ht="9.9" customHeight="1">
      <c r="A3059" s="125"/>
      <c r="B3059" s="123"/>
      <c r="C3059" s="123"/>
      <c r="D3059" s="123"/>
      <c r="E3059" s="123"/>
      <c r="F3059" s="167"/>
      <c r="G3059" s="123"/>
      <c r="H3059" s="123"/>
      <c r="I3059" s="123"/>
      <c r="J3059" s="123"/>
      <c r="K3059" s="123"/>
      <c r="L3059" s="123"/>
      <c r="M3059" s="123"/>
      <c r="N3059" s="126"/>
    </row>
    <row r="3060" spans="1:14" s="3" customFormat="1" ht="31.2" customHeight="1">
      <c r="A3060" s="127" t="s">
        <v>1898</v>
      </c>
      <c r="B3060" s="170"/>
      <c r="C3060" s="170"/>
      <c r="D3060" s="170"/>
      <c r="E3060" s="170"/>
      <c r="F3060" s="171" t="s">
        <v>1885</v>
      </c>
      <c r="G3060" s="597" t="e">
        <f>VLOOKUP(G3063, 'Detail PL'!$B$14:$Q$799,2)</f>
        <v>#N/A</v>
      </c>
      <c r="H3060" s="597"/>
      <c r="I3060" s="597"/>
      <c r="J3060" s="597"/>
      <c r="K3060" s="597"/>
      <c r="L3060" s="597"/>
      <c r="M3060" s="597"/>
      <c r="N3060" s="128"/>
    </row>
    <row r="3061" spans="1:14" s="3" customFormat="1" ht="25.2">
      <c r="A3061" s="127" t="s">
        <v>1899</v>
      </c>
      <c r="B3061" s="170"/>
      <c r="C3061" s="170"/>
      <c r="D3061" s="170"/>
      <c r="E3061" s="170"/>
      <c r="F3061" s="171"/>
      <c r="G3061" s="170"/>
      <c r="H3061" s="170"/>
      <c r="I3061" s="170"/>
      <c r="J3061" s="170"/>
      <c r="K3061" s="170"/>
      <c r="L3061" s="170"/>
      <c r="M3061" s="170"/>
      <c r="N3061" s="128"/>
    </row>
    <row r="3062" spans="1:14" s="3" customFormat="1" ht="9.9" customHeight="1">
      <c r="A3062" s="125"/>
      <c r="B3062" s="123"/>
      <c r="C3062" s="123"/>
      <c r="D3062" s="123"/>
      <c r="E3062" s="123"/>
      <c r="F3062" s="167"/>
      <c r="G3062" s="123"/>
      <c r="H3062" s="123"/>
      <c r="I3062" s="123"/>
      <c r="J3062" s="123"/>
      <c r="K3062" s="123"/>
      <c r="L3062" s="123"/>
      <c r="M3062" s="123"/>
      <c r="N3062" s="126"/>
    </row>
    <row r="3063" spans="1:14" s="3" customFormat="1" ht="25.2">
      <c r="A3063" s="125" t="s">
        <v>1900</v>
      </c>
      <c r="B3063" s="123"/>
      <c r="C3063" s="123"/>
      <c r="D3063" s="123"/>
      <c r="E3063" s="123"/>
      <c r="F3063" s="171" t="s">
        <v>1901</v>
      </c>
      <c r="G3063" s="604">
        <f t="shared" ref="G3063" si="85">G3028+1</f>
        <v>88</v>
      </c>
      <c r="H3063" s="604"/>
      <c r="I3063" s="604"/>
      <c r="J3063" s="604"/>
      <c r="K3063" s="604"/>
      <c r="L3063" s="123"/>
      <c r="M3063" s="123"/>
      <c r="N3063" s="126"/>
    </row>
    <row r="3064" spans="1:14" s="4" customFormat="1" ht="25.2">
      <c r="A3064" s="125" t="s">
        <v>1903</v>
      </c>
      <c r="B3064" s="123"/>
      <c r="C3064" s="123"/>
      <c r="D3064" s="123"/>
      <c r="E3064" s="123"/>
      <c r="F3064" s="167"/>
      <c r="G3064" s="167"/>
      <c r="H3064" s="123"/>
      <c r="I3064" s="123"/>
      <c r="J3064" s="123"/>
      <c r="K3064" s="123"/>
      <c r="L3064" s="123"/>
      <c r="M3064" s="123"/>
      <c r="N3064" s="126"/>
    </row>
    <row r="3065" spans="1:14" s="3" customFormat="1" ht="9.9" customHeight="1">
      <c r="A3065" s="125"/>
      <c r="B3065" s="123"/>
      <c r="C3065" s="123"/>
      <c r="D3065" s="123"/>
      <c r="E3065" s="123"/>
      <c r="F3065" s="167"/>
      <c r="G3065" s="167"/>
      <c r="H3065" s="123"/>
      <c r="I3065" s="123"/>
      <c r="J3065" s="123"/>
      <c r="K3065" s="123"/>
      <c r="L3065" s="123"/>
      <c r="M3065" s="123"/>
      <c r="N3065" s="126"/>
    </row>
    <row r="3066" spans="1:14" s="3" customFormat="1" ht="25.2">
      <c r="A3066" s="125" t="s">
        <v>1904</v>
      </c>
      <c r="B3066" s="123"/>
      <c r="C3066" s="123"/>
      <c r="D3066" s="123"/>
      <c r="E3066" s="123"/>
      <c r="F3066" s="167" t="s">
        <v>1896</v>
      </c>
      <c r="G3066" s="204" t="e">
        <f>VLOOKUP(G3063, 'Detail PL'!$B$14:$Q$799, 10)</f>
        <v>#N/A</v>
      </c>
      <c r="H3066" s="204" t="s">
        <v>1905</v>
      </c>
      <c r="I3066" s="204"/>
      <c r="J3066" s="204"/>
      <c r="K3066" s="123"/>
      <c r="L3066" s="123"/>
      <c r="M3066" s="123"/>
      <c r="N3066" s="126"/>
    </row>
    <row r="3067" spans="1:14" s="4" customFormat="1" ht="25.2">
      <c r="A3067" s="125" t="s">
        <v>1906</v>
      </c>
      <c r="B3067" s="123"/>
      <c r="C3067" s="123"/>
      <c r="D3067" s="123"/>
      <c r="E3067" s="123"/>
      <c r="F3067" s="167"/>
      <c r="G3067" s="167"/>
      <c r="H3067" s="167"/>
      <c r="I3067" s="123"/>
      <c r="J3067" s="123"/>
      <c r="K3067" s="123"/>
      <c r="L3067" s="123"/>
      <c r="M3067" s="123"/>
      <c r="N3067" s="126"/>
    </row>
    <row r="3068" spans="1:14" s="3" customFormat="1" ht="9.9" customHeight="1">
      <c r="A3068" s="125"/>
      <c r="B3068" s="123"/>
      <c r="C3068" s="123"/>
      <c r="D3068" s="123"/>
      <c r="E3068" s="123"/>
      <c r="F3068" s="167"/>
      <c r="G3068" s="167"/>
      <c r="H3068" s="167"/>
      <c r="I3068" s="123"/>
      <c r="J3068" s="123"/>
      <c r="K3068" s="123"/>
      <c r="L3068" s="123"/>
      <c r="M3068" s="123"/>
      <c r="N3068" s="126"/>
    </row>
    <row r="3069" spans="1:14" s="3" customFormat="1" ht="25.2">
      <c r="A3069" s="125" t="s">
        <v>1907</v>
      </c>
      <c r="B3069" s="123"/>
      <c r="C3069" s="123"/>
      <c r="D3069" s="123"/>
      <c r="E3069" s="123"/>
      <c r="F3069" s="167" t="s">
        <v>1896</v>
      </c>
      <c r="G3069" s="204" t="e">
        <f>VLOOKUP(G3063, 'Detail PL'!$B$14:$Q$799, 11)</f>
        <v>#N/A</v>
      </c>
      <c r="H3069" s="204" t="s">
        <v>1905</v>
      </c>
      <c r="I3069" s="204"/>
      <c r="J3069" s="204"/>
      <c r="K3069" s="123"/>
      <c r="L3069" s="123"/>
      <c r="M3069" s="123"/>
      <c r="N3069" s="126"/>
    </row>
    <row r="3070" spans="1:14" s="4" customFormat="1" ht="25.2">
      <c r="A3070" s="125" t="s">
        <v>1908</v>
      </c>
      <c r="B3070" s="123"/>
      <c r="C3070" s="123"/>
      <c r="D3070" s="123"/>
      <c r="E3070" s="123"/>
      <c r="F3070" s="167"/>
      <c r="G3070" s="167"/>
      <c r="H3070" s="123"/>
      <c r="I3070" s="123"/>
      <c r="J3070" s="123"/>
      <c r="K3070" s="123"/>
      <c r="L3070" s="123"/>
      <c r="M3070" s="123"/>
      <c r="N3070" s="126"/>
    </row>
    <row r="3071" spans="1:14" s="3" customFormat="1" ht="9.9" customHeight="1">
      <c r="A3071" s="125"/>
      <c r="B3071" s="123"/>
      <c r="C3071" s="123"/>
      <c r="D3071" s="123"/>
      <c r="E3071" s="123"/>
      <c r="F3071" s="167"/>
      <c r="G3071" s="167"/>
      <c r="H3071" s="123"/>
      <c r="I3071" s="123"/>
      <c r="J3071" s="123"/>
      <c r="K3071" s="123"/>
      <c r="L3071" s="123"/>
      <c r="M3071" s="123"/>
      <c r="N3071" s="126"/>
    </row>
    <row r="3072" spans="1:14" s="3" customFormat="1" ht="25.2">
      <c r="A3072" s="129" t="s">
        <v>1909</v>
      </c>
      <c r="B3072" s="123"/>
      <c r="C3072" s="123"/>
      <c r="D3072" s="123"/>
      <c r="E3072" s="123"/>
      <c r="F3072" s="167" t="s">
        <v>1896</v>
      </c>
      <c r="G3072" s="204" t="e">
        <f>VLOOKUP(G3063, 'Detail PL'!$B$14:$Q$799, 9)</f>
        <v>#N/A</v>
      </c>
      <c r="H3072" s="205" t="s">
        <v>1910</v>
      </c>
      <c r="I3072" s="203"/>
      <c r="J3072" s="203"/>
      <c r="K3072" s="172"/>
      <c r="L3072" s="123"/>
      <c r="M3072" s="123"/>
      <c r="N3072" s="126"/>
    </row>
    <row r="3073" spans="1:15" s="4" customFormat="1" ht="25.2">
      <c r="A3073" s="125" t="s">
        <v>1911</v>
      </c>
      <c r="B3073" s="123"/>
      <c r="C3073" s="123"/>
      <c r="D3073" s="123"/>
      <c r="E3073" s="123"/>
      <c r="F3073" s="167"/>
      <c r="G3073" s="167"/>
      <c r="H3073" s="123"/>
      <c r="I3073" s="123"/>
      <c r="J3073" s="123"/>
      <c r="K3073" s="123"/>
      <c r="L3073" s="123"/>
      <c r="M3073" s="123"/>
      <c r="N3073" s="126"/>
    </row>
    <row r="3074" spans="1:15" s="3" customFormat="1" ht="9.9" customHeight="1">
      <c r="A3074" s="125"/>
      <c r="B3074" s="123"/>
      <c r="C3074" s="123"/>
      <c r="D3074" s="123"/>
      <c r="E3074" s="123"/>
      <c r="F3074" s="167"/>
      <c r="G3074" s="167"/>
      <c r="H3074" s="123"/>
      <c r="I3074" s="123"/>
      <c r="J3074" s="123"/>
      <c r="K3074" s="123"/>
      <c r="L3074" s="123"/>
      <c r="M3074" s="123"/>
      <c r="N3074" s="126"/>
    </row>
    <row r="3075" spans="1:15" s="3" customFormat="1" ht="42" customHeight="1">
      <c r="A3075" s="125" t="s">
        <v>1912</v>
      </c>
      <c r="B3075" s="123"/>
      <c r="C3075" s="123"/>
      <c r="D3075" s="123"/>
      <c r="E3075" s="123"/>
      <c r="F3075" s="166" t="s">
        <v>1913</v>
      </c>
      <c r="G3075" s="595" t="s">
        <v>1914</v>
      </c>
      <c r="H3075" s="595"/>
      <c r="I3075" s="595"/>
      <c r="J3075" s="595"/>
      <c r="K3075" s="595"/>
      <c r="L3075" s="595"/>
      <c r="M3075" s="595"/>
      <c r="N3075" s="596"/>
    </row>
    <row r="3076" spans="1:15" s="4" customFormat="1" ht="25.8" thickBot="1">
      <c r="A3076" s="125" t="s">
        <v>1915</v>
      </c>
      <c r="B3076" s="123"/>
      <c r="C3076" s="123"/>
      <c r="D3076" s="123"/>
      <c r="E3076" s="123"/>
      <c r="F3076" s="167"/>
      <c r="G3076" s="167"/>
      <c r="H3076" s="123"/>
      <c r="I3076" s="123"/>
      <c r="J3076" s="123"/>
      <c r="K3076" s="123"/>
      <c r="L3076" s="123"/>
      <c r="M3076" s="123"/>
      <c r="N3076" s="126"/>
    </row>
    <row r="3077" spans="1:15" ht="21" customHeight="1">
      <c r="A3077" s="598" t="s">
        <v>1916</v>
      </c>
      <c r="B3077" s="599"/>
      <c r="C3077" s="599"/>
      <c r="D3077" s="599"/>
      <c r="E3077" s="599"/>
      <c r="F3077" s="599"/>
      <c r="G3077" s="599"/>
      <c r="H3077" s="599"/>
      <c r="I3077" s="599"/>
      <c r="J3077" s="599"/>
      <c r="K3077" s="599"/>
      <c r="L3077" s="599"/>
      <c r="M3077" s="599"/>
      <c r="N3077" s="600"/>
    </row>
    <row r="3078" spans="1:15" ht="25.5" customHeight="1" thickBot="1">
      <c r="A3078" s="601"/>
      <c r="B3078" s="602"/>
      <c r="C3078" s="602"/>
      <c r="D3078" s="602"/>
      <c r="E3078" s="602"/>
      <c r="F3078" s="602"/>
      <c r="G3078" s="602"/>
      <c r="H3078" s="602"/>
      <c r="I3078" s="602"/>
      <c r="J3078" s="602"/>
      <c r="K3078" s="602"/>
      <c r="L3078" s="602"/>
      <c r="M3078" s="602"/>
      <c r="N3078" s="603"/>
    </row>
    <row r="3079" spans="1:15" ht="25.5" customHeight="1">
      <c r="E3079" s="206"/>
      <c r="F3079" s="206"/>
      <c r="G3079" s="206"/>
      <c r="H3079" s="206"/>
      <c r="I3079" s="206"/>
      <c r="J3079" s="206"/>
      <c r="K3079" s="206"/>
    </row>
    <row r="3080" spans="1:15" ht="21.6" thickBot="1"/>
    <row r="3081" spans="1:15" ht="95.25" customHeight="1" thickBot="1">
      <c r="A3081" s="592" t="s">
        <v>1883</v>
      </c>
      <c r="B3081" s="593"/>
      <c r="C3081" s="593"/>
      <c r="D3081" s="593"/>
      <c r="E3081" s="593"/>
      <c r="F3081" s="593"/>
      <c r="G3081" s="593"/>
      <c r="H3081" s="593"/>
      <c r="I3081" s="593"/>
      <c r="J3081" s="593"/>
      <c r="K3081" s="593"/>
      <c r="L3081" s="593"/>
      <c r="M3081" s="593"/>
      <c r="N3081" s="594"/>
    </row>
    <row r="3082" spans="1:15" s="3" customFormat="1" ht="37.5" customHeight="1">
      <c r="A3082" s="134" t="s">
        <v>1884</v>
      </c>
      <c r="B3082" s="166"/>
      <c r="C3082" s="166"/>
      <c r="D3082" s="123"/>
      <c r="E3082" s="123"/>
      <c r="F3082" s="167" t="s">
        <v>1885</v>
      </c>
      <c r="G3082" s="167" t="s">
        <v>1886</v>
      </c>
      <c r="H3082" s="167"/>
      <c r="I3082" s="167"/>
      <c r="J3082" s="167"/>
      <c r="K3082" s="167"/>
      <c r="L3082" s="167"/>
      <c r="M3082" s="167"/>
      <c r="N3082" s="152"/>
      <c r="O3082" s="201"/>
    </row>
    <row r="3083" spans="1:15" s="4" customFormat="1" ht="25.2">
      <c r="A3083" s="125" t="s">
        <v>1887</v>
      </c>
      <c r="B3083" s="123"/>
      <c r="C3083" s="123"/>
      <c r="D3083" s="123"/>
      <c r="E3083" s="123"/>
      <c r="F3083" s="167"/>
      <c r="G3083" s="167" t="s">
        <v>1888</v>
      </c>
      <c r="H3083" s="167"/>
      <c r="I3083" s="167"/>
      <c r="J3083" s="167"/>
      <c r="K3083" s="167"/>
      <c r="L3083" s="167"/>
      <c r="M3083" s="167"/>
      <c r="N3083" s="152"/>
    </row>
    <row r="3084" spans="1:15" s="3" customFormat="1" ht="9.9" customHeight="1">
      <c r="A3084" s="125"/>
      <c r="B3084" s="123"/>
      <c r="C3084" s="123"/>
      <c r="D3084" s="123"/>
      <c r="E3084" s="123"/>
      <c r="F3084" s="167"/>
      <c r="G3084" s="123"/>
      <c r="H3084" s="123"/>
      <c r="I3084" s="123"/>
      <c r="J3084" s="123"/>
      <c r="K3084" s="123"/>
      <c r="L3084" s="123"/>
      <c r="M3084" s="123"/>
      <c r="N3084" s="126"/>
    </row>
    <row r="3085" spans="1:15" s="3" customFormat="1" ht="42.75" customHeight="1">
      <c r="A3085" s="125" t="s">
        <v>1889</v>
      </c>
      <c r="B3085" s="123"/>
      <c r="C3085" s="123"/>
      <c r="D3085" s="123"/>
      <c r="E3085" s="123"/>
      <c r="F3085" s="167" t="s">
        <v>1885</v>
      </c>
      <c r="G3085" s="167" t="str">
        <f>PL!$B$13</f>
        <v>Branch of JSC "Doosan Enerbility" in the Turkestan region</v>
      </c>
      <c r="H3085" s="123"/>
      <c r="I3085" s="123"/>
      <c r="J3085" s="123"/>
      <c r="K3085" s="123"/>
      <c r="L3085" s="123"/>
      <c r="M3085" s="123"/>
      <c r="N3085" s="126"/>
    </row>
    <row r="3086" spans="1:15" s="3" customFormat="1" ht="24" customHeight="1">
      <c r="A3086" s="125" t="s">
        <v>1890</v>
      </c>
      <c r="B3086" s="123"/>
      <c r="C3086" s="123"/>
      <c r="D3086" s="123"/>
      <c r="E3086" s="123"/>
      <c r="F3086" s="168"/>
      <c r="G3086" s="167" t="str">
        <f>PL!$B$14</f>
        <v>321 Tauke Khan Avenue, Turkestan region, Turkestan, Kazakhstan, 161200</v>
      </c>
      <c r="H3086" s="123"/>
      <c r="I3086" s="123"/>
      <c r="J3086" s="123"/>
      <c r="K3086" s="123"/>
      <c r="L3086" s="123"/>
      <c r="M3086" s="123"/>
      <c r="N3086" s="126"/>
    </row>
    <row r="3087" spans="1:15" s="4" customFormat="1" ht="25.2">
      <c r="A3087" s="125"/>
      <c r="B3087" s="123"/>
      <c r="C3087" s="123"/>
      <c r="D3087" s="123"/>
      <c r="E3087" s="123"/>
      <c r="F3087" s="168"/>
      <c r="G3087" s="167" t="str">
        <f>PL!$B$15</f>
        <v>BIN: 230741006561</v>
      </c>
      <c r="H3087" s="123"/>
      <c r="I3087" s="123"/>
      <c r="J3087" s="123"/>
      <c r="K3087" s="123"/>
      <c r="L3087" s="123"/>
      <c r="M3087" s="123"/>
      <c r="N3087" s="126"/>
    </row>
    <row r="3088" spans="1:15" s="3" customFormat="1" ht="9.9" customHeight="1">
      <c r="A3088" s="125"/>
      <c r="B3088" s="123"/>
      <c r="C3088" s="123"/>
      <c r="D3088" s="123"/>
      <c r="E3088" s="123"/>
      <c r="F3088" s="169"/>
      <c r="G3088" s="169"/>
      <c r="H3088" s="123"/>
      <c r="I3088" s="123"/>
      <c r="J3088" s="123"/>
      <c r="K3088" s="123"/>
      <c r="L3088" s="123"/>
      <c r="M3088" s="123"/>
      <c r="N3088" s="126"/>
    </row>
    <row r="3089" spans="1:14" s="3" customFormat="1" ht="25.2">
      <c r="A3089" s="125" t="s">
        <v>1891</v>
      </c>
      <c r="B3089" s="123"/>
      <c r="C3089" s="123"/>
      <c r="D3089" s="123"/>
      <c r="E3089" s="123"/>
      <c r="F3089" s="167" t="s">
        <v>1892</v>
      </c>
      <c r="G3089" s="123"/>
      <c r="H3089" s="123"/>
      <c r="I3089" s="123"/>
      <c r="J3089" s="123"/>
      <c r="K3089" s="123"/>
      <c r="L3089" s="123"/>
      <c r="M3089" s="123"/>
      <c r="N3089" s="126"/>
    </row>
    <row r="3090" spans="1:14" s="4" customFormat="1" ht="25.2">
      <c r="A3090" s="125" t="s">
        <v>1893</v>
      </c>
      <c r="B3090" s="123"/>
      <c r="C3090" s="123"/>
      <c r="D3090" s="123"/>
      <c r="E3090" s="123"/>
      <c r="F3090" s="167" t="s">
        <v>1894</v>
      </c>
      <c r="G3090" s="123"/>
      <c r="H3090" s="123"/>
      <c r="I3090" s="123"/>
      <c r="J3090" s="123"/>
      <c r="K3090" s="123"/>
      <c r="L3090" s="123"/>
      <c r="M3090" s="123"/>
      <c r="N3090" s="126"/>
    </row>
    <row r="3091" spans="1:14" s="3" customFormat="1" ht="9.9" customHeight="1">
      <c r="A3091" s="125"/>
      <c r="B3091" s="123"/>
      <c r="C3091" s="123"/>
      <c r="D3091" s="123"/>
      <c r="E3091" s="123"/>
      <c r="F3091" s="167"/>
      <c r="G3091" s="123"/>
      <c r="H3091" s="123"/>
      <c r="I3091" s="123"/>
      <c r="J3091" s="123"/>
      <c r="K3091" s="123"/>
      <c r="L3091" s="123"/>
      <c r="M3091" s="123"/>
      <c r="N3091" s="126"/>
    </row>
    <row r="3092" spans="1:14" s="3" customFormat="1" ht="25.2">
      <c r="A3092" s="125" t="s">
        <v>1895</v>
      </c>
      <c r="B3092" s="123"/>
      <c r="C3092" s="123"/>
      <c r="D3092" s="123"/>
      <c r="E3092" s="123"/>
      <c r="F3092" s="167" t="s">
        <v>1896</v>
      </c>
      <c r="G3092" s="167" t="str">
        <f>PL!$V$8</f>
        <v>PGU-DE-0139-001</v>
      </c>
      <c r="H3092" s="123"/>
      <c r="I3092" s="123"/>
      <c r="J3092" s="123"/>
      <c r="K3092" s="123"/>
      <c r="L3092" s="123"/>
      <c r="M3092" s="123"/>
      <c r="N3092" s="126"/>
    </row>
    <row r="3093" spans="1:14" s="3" customFormat="1" ht="25.2">
      <c r="A3093" s="125" t="s">
        <v>1897</v>
      </c>
      <c r="B3093" s="123"/>
      <c r="C3093" s="123"/>
      <c r="D3093" s="123"/>
      <c r="E3093" s="123"/>
      <c r="F3093" s="167"/>
      <c r="G3093" s="123"/>
      <c r="H3093" s="123"/>
      <c r="I3093" s="123"/>
      <c r="J3093" s="123"/>
      <c r="K3093" s="123"/>
      <c r="L3093" s="123"/>
      <c r="M3093" s="123"/>
      <c r="N3093" s="126"/>
    </row>
    <row r="3094" spans="1:14" s="3" customFormat="1" ht="9.9" customHeight="1">
      <c r="A3094" s="125"/>
      <c r="B3094" s="123"/>
      <c r="C3094" s="123"/>
      <c r="D3094" s="123"/>
      <c r="E3094" s="123"/>
      <c r="F3094" s="167"/>
      <c r="G3094" s="123"/>
      <c r="H3094" s="123"/>
      <c r="I3094" s="123"/>
      <c r="J3094" s="123"/>
      <c r="K3094" s="123"/>
      <c r="L3094" s="123"/>
      <c r="M3094" s="123"/>
      <c r="N3094" s="126"/>
    </row>
    <row r="3095" spans="1:14" s="3" customFormat="1" ht="31.2" customHeight="1">
      <c r="A3095" s="127" t="s">
        <v>1898</v>
      </c>
      <c r="B3095" s="170"/>
      <c r="C3095" s="170"/>
      <c r="D3095" s="170"/>
      <c r="E3095" s="170"/>
      <c r="F3095" s="171" t="s">
        <v>1885</v>
      </c>
      <c r="G3095" s="597" t="e">
        <f>VLOOKUP(G3098, 'Detail PL'!$B$14:$Q$799,2)</f>
        <v>#N/A</v>
      </c>
      <c r="H3095" s="597"/>
      <c r="I3095" s="597"/>
      <c r="J3095" s="597"/>
      <c r="K3095" s="597"/>
      <c r="L3095" s="597"/>
      <c r="M3095" s="597"/>
      <c r="N3095" s="128"/>
    </row>
    <row r="3096" spans="1:14" s="3" customFormat="1" ht="25.2">
      <c r="A3096" s="127" t="s">
        <v>1899</v>
      </c>
      <c r="B3096" s="170"/>
      <c r="C3096" s="170"/>
      <c r="D3096" s="170"/>
      <c r="E3096" s="170"/>
      <c r="F3096" s="171"/>
      <c r="G3096" s="170"/>
      <c r="H3096" s="170"/>
      <c r="I3096" s="170"/>
      <c r="J3096" s="170"/>
      <c r="K3096" s="170"/>
      <c r="L3096" s="170"/>
      <c r="M3096" s="170"/>
      <c r="N3096" s="128"/>
    </row>
    <row r="3097" spans="1:14" s="3" customFormat="1" ht="9.9" customHeight="1">
      <c r="A3097" s="125"/>
      <c r="B3097" s="123"/>
      <c r="C3097" s="123"/>
      <c r="D3097" s="123"/>
      <c r="E3097" s="123"/>
      <c r="F3097" s="167"/>
      <c r="G3097" s="123"/>
      <c r="H3097" s="123"/>
      <c r="I3097" s="123"/>
      <c r="J3097" s="123"/>
      <c r="K3097" s="123"/>
      <c r="L3097" s="123"/>
      <c r="M3097" s="123"/>
      <c r="N3097" s="126"/>
    </row>
    <row r="3098" spans="1:14" s="3" customFormat="1" ht="25.2">
      <c r="A3098" s="125" t="s">
        <v>1900</v>
      </c>
      <c r="B3098" s="123"/>
      <c r="C3098" s="123"/>
      <c r="D3098" s="123"/>
      <c r="E3098" s="123"/>
      <c r="F3098" s="171" t="s">
        <v>1901</v>
      </c>
      <c r="G3098" s="604">
        <f t="shared" ref="G3098" si="86">G3063+1</f>
        <v>89</v>
      </c>
      <c r="H3098" s="604"/>
      <c r="I3098" s="604"/>
      <c r="J3098" s="604"/>
      <c r="K3098" s="604"/>
      <c r="L3098" s="123"/>
      <c r="M3098" s="123"/>
      <c r="N3098" s="126"/>
    </row>
    <row r="3099" spans="1:14" s="4" customFormat="1" ht="25.2">
      <c r="A3099" s="125" t="s">
        <v>1903</v>
      </c>
      <c r="B3099" s="123"/>
      <c r="C3099" s="123"/>
      <c r="D3099" s="123"/>
      <c r="E3099" s="123"/>
      <c r="F3099" s="167"/>
      <c r="G3099" s="167"/>
      <c r="H3099" s="123"/>
      <c r="I3099" s="123"/>
      <c r="J3099" s="123"/>
      <c r="K3099" s="123"/>
      <c r="L3099" s="123"/>
      <c r="M3099" s="123"/>
      <c r="N3099" s="126"/>
    </row>
    <row r="3100" spans="1:14" s="3" customFormat="1" ht="9.9" customHeight="1">
      <c r="A3100" s="125"/>
      <c r="B3100" s="123"/>
      <c r="C3100" s="123"/>
      <c r="D3100" s="123"/>
      <c r="E3100" s="123"/>
      <c r="F3100" s="167"/>
      <c r="G3100" s="167"/>
      <c r="H3100" s="123"/>
      <c r="I3100" s="123"/>
      <c r="J3100" s="123"/>
      <c r="K3100" s="123"/>
      <c r="L3100" s="123"/>
      <c r="M3100" s="123"/>
      <c r="N3100" s="126"/>
    </row>
    <row r="3101" spans="1:14" s="3" customFormat="1" ht="25.2">
      <c r="A3101" s="125" t="s">
        <v>1904</v>
      </c>
      <c r="B3101" s="123"/>
      <c r="C3101" s="123"/>
      <c r="D3101" s="123"/>
      <c r="E3101" s="123"/>
      <c r="F3101" s="167" t="s">
        <v>1896</v>
      </c>
      <c r="G3101" s="204" t="e">
        <f>VLOOKUP(G3098, 'Detail PL'!$B$14:$Q$799, 10)</f>
        <v>#N/A</v>
      </c>
      <c r="H3101" s="204" t="s">
        <v>1905</v>
      </c>
      <c r="I3101" s="204"/>
      <c r="J3101" s="204"/>
      <c r="K3101" s="123"/>
      <c r="L3101" s="123"/>
      <c r="M3101" s="123"/>
      <c r="N3101" s="126"/>
    </row>
    <row r="3102" spans="1:14" s="4" customFormat="1" ht="25.2">
      <c r="A3102" s="125" t="s">
        <v>1906</v>
      </c>
      <c r="B3102" s="123"/>
      <c r="C3102" s="123"/>
      <c r="D3102" s="123"/>
      <c r="E3102" s="123"/>
      <c r="F3102" s="167"/>
      <c r="G3102" s="167"/>
      <c r="H3102" s="167"/>
      <c r="I3102" s="123"/>
      <c r="J3102" s="123"/>
      <c r="K3102" s="123"/>
      <c r="L3102" s="123"/>
      <c r="M3102" s="123"/>
      <c r="N3102" s="126"/>
    </row>
    <row r="3103" spans="1:14" s="3" customFormat="1" ht="9.9" customHeight="1">
      <c r="A3103" s="125"/>
      <c r="B3103" s="123"/>
      <c r="C3103" s="123"/>
      <c r="D3103" s="123"/>
      <c r="E3103" s="123"/>
      <c r="F3103" s="167"/>
      <c r="G3103" s="167"/>
      <c r="H3103" s="167"/>
      <c r="I3103" s="123"/>
      <c r="J3103" s="123"/>
      <c r="K3103" s="123"/>
      <c r="L3103" s="123"/>
      <c r="M3103" s="123"/>
      <c r="N3103" s="126"/>
    </row>
    <row r="3104" spans="1:14" s="3" customFormat="1" ht="25.2">
      <c r="A3104" s="125" t="s">
        <v>1907</v>
      </c>
      <c r="B3104" s="123"/>
      <c r="C3104" s="123"/>
      <c r="D3104" s="123"/>
      <c r="E3104" s="123"/>
      <c r="F3104" s="167" t="s">
        <v>1896</v>
      </c>
      <c r="G3104" s="204" t="e">
        <f>VLOOKUP(G3098, 'Detail PL'!$B$14:$Q$799, 11)</f>
        <v>#N/A</v>
      </c>
      <c r="H3104" s="204" t="s">
        <v>1905</v>
      </c>
      <c r="I3104" s="204"/>
      <c r="J3104" s="204"/>
      <c r="K3104" s="123"/>
      <c r="L3104" s="123"/>
      <c r="M3104" s="123"/>
      <c r="N3104" s="126"/>
    </row>
    <row r="3105" spans="1:15" s="4" customFormat="1" ht="25.2">
      <c r="A3105" s="125" t="s">
        <v>1908</v>
      </c>
      <c r="B3105" s="123"/>
      <c r="C3105" s="123"/>
      <c r="D3105" s="123"/>
      <c r="E3105" s="123"/>
      <c r="F3105" s="167"/>
      <c r="G3105" s="167"/>
      <c r="H3105" s="123"/>
      <c r="I3105" s="123"/>
      <c r="J3105" s="123"/>
      <c r="K3105" s="123"/>
      <c r="L3105" s="123"/>
      <c r="M3105" s="123"/>
      <c r="N3105" s="126"/>
    </row>
    <row r="3106" spans="1:15" s="3" customFormat="1" ht="9.9" customHeight="1">
      <c r="A3106" s="125"/>
      <c r="B3106" s="123"/>
      <c r="C3106" s="123"/>
      <c r="D3106" s="123"/>
      <c r="E3106" s="123"/>
      <c r="F3106" s="167"/>
      <c r="G3106" s="167"/>
      <c r="H3106" s="123"/>
      <c r="I3106" s="123"/>
      <c r="J3106" s="123"/>
      <c r="K3106" s="123"/>
      <c r="L3106" s="123"/>
      <c r="M3106" s="123"/>
      <c r="N3106" s="126"/>
    </row>
    <row r="3107" spans="1:15" s="3" customFormat="1" ht="25.2">
      <c r="A3107" s="129" t="s">
        <v>1909</v>
      </c>
      <c r="B3107" s="123"/>
      <c r="C3107" s="123"/>
      <c r="D3107" s="123"/>
      <c r="E3107" s="123"/>
      <c r="F3107" s="167" t="s">
        <v>1896</v>
      </c>
      <c r="G3107" s="204" t="e">
        <f>VLOOKUP(G3098, 'Detail PL'!$B$14:$Q$799, 9)</f>
        <v>#N/A</v>
      </c>
      <c r="H3107" s="205" t="s">
        <v>1910</v>
      </c>
      <c r="I3107" s="203"/>
      <c r="J3107" s="203"/>
      <c r="K3107" s="172"/>
      <c r="L3107" s="123"/>
      <c r="M3107" s="123"/>
      <c r="N3107" s="126"/>
    </row>
    <row r="3108" spans="1:15" s="4" customFormat="1" ht="25.2">
      <c r="A3108" s="125" t="s">
        <v>1911</v>
      </c>
      <c r="B3108" s="123"/>
      <c r="C3108" s="123"/>
      <c r="D3108" s="123"/>
      <c r="E3108" s="123"/>
      <c r="F3108" s="167"/>
      <c r="G3108" s="167"/>
      <c r="H3108" s="123"/>
      <c r="I3108" s="123"/>
      <c r="J3108" s="123"/>
      <c r="K3108" s="123"/>
      <c r="L3108" s="123"/>
      <c r="M3108" s="123"/>
      <c r="N3108" s="126"/>
    </row>
    <row r="3109" spans="1:15" s="3" customFormat="1" ht="9.9" customHeight="1">
      <c r="A3109" s="125"/>
      <c r="B3109" s="123"/>
      <c r="C3109" s="123"/>
      <c r="D3109" s="123"/>
      <c r="E3109" s="123"/>
      <c r="F3109" s="167"/>
      <c r="G3109" s="167"/>
      <c r="H3109" s="123"/>
      <c r="I3109" s="123"/>
      <c r="J3109" s="123"/>
      <c r="K3109" s="123"/>
      <c r="L3109" s="123"/>
      <c r="M3109" s="123"/>
      <c r="N3109" s="126"/>
    </row>
    <row r="3110" spans="1:15" s="3" customFormat="1" ht="42" customHeight="1">
      <c r="A3110" s="125" t="s">
        <v>1912</v>
      </c>
      <c r="B3110" s="123"/>
      <c r="C3110" s="123"/>
      <c r="D3110" s="123"/>
      <c r="E3110" s="123"/>
      <c r="F3110" s="166" t="s">
        <v>1913</v>
      </c>
      <c r="G3110" s="595" t="s">
        <v>1914</v>
      </c>
      <c r="H3110" s="595"/>
      <c r="I3110" s="595"/>
      <c r="J3110" s="595"/>
      <c r="K3110" s="595"/>
      <c r="L3110" s="595"/>
      <c r="M3110" s="595"/>
      <c r="N3110" s="596"/>
    </row>
    <row r="3111" spans="1:15" s="4" customFormat="1" ht="25.8" thickBot="1">
      <c r="A3111" s="125" t="s">
        <v>1915</v>
      </c>
      <c r="B3111" s="123"/>
      <c r="C3111" s="123"/>
      <c r="D3111" s="123"/>
      <c r="E3111" s="123"/>
      <c r="F3111" s="167"/>
      <c r="G3111" s="167"/>
      <c r="H3111" s="123"/>
      <c r="I3111" s="123"/>
      <c r="J3111" s="123"/>
      <c r="K3111" s="123"/>
      <c r="L3111" s="123"/>
      <c r="M3111" s="123"/>
      <c r="N3111" s="126"/>
    </row>
    <row r="3112" spans="1:15" ht="21" customHeight="1">
      <c r="A3112" s="598" t="s">
        <v>1916</v>
      </c>
      <c r="B3112" s="599"/>
      <c r="C3112" s="599"/>
      <c r="D3112" s="599"/>
      <c r="E3112" s="599"/>
      <c r="F3112" s="599"/>
      <c r="G3112" s="599"/>
      <c r="H3112" s="599"/>
      <c r="I3112" s="599"/>
      <c r="J3112" s="599"/>
      <c r="K3112" s="599"/>
      <c r="L3112" s="599"/>
      <c r="M3112" s="599"/>
      <c r="N3112" s="600"/>
    </row>
    <row r="3113" spans="1:15" ht="25.5" customHeight="1" thickBot="1">
      <c r="A3113" s="601"/>
      <c r="B3113" s="602"/>
      <c r="C3113" s="602"/>
      <c r="D3113" s="602"/>
      <c r="E3113" s="602"/>
      <c r="F3113" s="602"/>
      <c r="G3113" s="602"/>
      <c r="H3113" s="602"/>
      <c r="I3113" s="602"/>
      <c r="J3113" s="602"/>
      <c r="K3113" s="602"/>
      <c r="L3113" s="602"/>
      <c r="M3113" s="602"/>
      <c r="N3113" s="603"/>
    </row>
    <row r="3114" spans="1:15" ht="25.5" customHeight="1">
      <c r="E3114" s="206"/>
      <c r="F3114" s="206"/>
      <c r="G3114" s="206"/>
      <c r="H3114" s="206"/>
      <c r="I3114" s="206"/>
      <c r="J3114" s="206"/>
      <c r="K3114" s="206"/>
    </row>
    <row r="3115" spans="1:15" ht="21.6" thickBot="1"/>
    <row r="3116" spans="1:15" ht="95.25" customHeight="1" thickBot="1">
      <c r="A3116" s="592" t="s">
        <v>1883</v>
      </c>
      <c r="B3116" s="593"/>
      <c r="C3116" s="593"/>
      <c r="D3116" s="593"/>
      <c r="E3116" s="593"/>
      <c r="F3116" s="593"/>
      <c r="G3116" s="593"/>
      <c r="H3116" s="593"/>
      <c r="I3116" s="593"/>
      <c r="J3116" s="593"/>
      <c r="K3116" s="593"/>
      <c r="L3116" s="593"/>
      <c r="M3116" s="593"/>
      <c r="N3116" s="594"/>
    </row>
    <row r="3117" spans="1:15" s="3" customFormat="1" ht="37.5" customHeight="1">
      <c r="A3117" s="134" t="s">
        <v>1884</v>
      </c>
      <c r="B3117" s="166"/>
      <c r="C3117" s="166"/>
      <c r="D3117" s="123"/>
      <c r="E3117" s="123"/>
      <c r="F3117" s="167" t="s">
        <v>1885</v>
      </c>
      <c r="G3117" s="167" t="s">
        <v>1886</v>
      </c>
      <c r="H3117" s="167"/>
      <c r="I3117" s="167"/>
      <c r="J3117" s="167"/>
      <c r="K3117" s="167"/>
      <c r="L3117" s="167"/>
      <c r="M3117" s="167"/>
      <c r="N3117" s="152"/>
      <c r="O3117" s="201"/>
    </row>
    <row r="3118" spans="1:15" s="4" customFormat="1" ht="25.2">
      <c r="A3118" s="125" t="s">
        <v>1887</v>
      </c>
      <c r="B3118" s="123"/>
      <c r="C3118" s="123"/>
      <c r="D3118" s="123"/>
      <c r="E3118" s="123"/>
      <c r="F3118" s="167"/>
      <c r="G3118" s="167" t="s">
        <v>1888</v>
      </c>
      <c r="H3118" s="167"/>
      <c r="I3118" s="167"/>
      <c r="J3118" s="167"/>
      <c r="K3118" s="167"/>
      <c r="L3118" s="167"/>
      <c r="M3118" s="167"/>
      <c r="N3118" s="152"/>
    </row>
    <row r="3119" spans="1:15" s="3" customFormat="1" ht="9.9" customHeight="1">
      <c r="A3119" s="125"/>
      <c r="B3119" s="123"/>
      <c r="C3119" s="123"/>
      <c r="D3119" s="123"/>
      <c r="E3119" s="123"/>
      <c r="F3119" s="167"/>
      <c r="G3119" s="123"/>
      <c r="H3119" s="123"/>
      <c r="I3119" s="123"/>
      <c r="J3119" s="123"/>
      <c r="K3119" s="123"/>
      <c r="L3119" s="123"/>
      <c r="M3119" s="123"/>
      <c r="N3119" s="126"/>
    </row>
    <row r="3120" spans="1:15" s="3" customFormat="1" ht="42.75" customHeight="1">
      <c r="A3120" s="125" t="s">
        <v>1889</v>
      </c>
      <c r="B3120" s="123"/>
      <c r="C3120" s="123"/>
      <c r="D3120" s="123"/>
      <c r="E3120" s="123"/>
      <c r="F3120" s="167" t="s">
        <v>1885</v>
      </c>
      <c r="G3120" s="167" t="str">
        <f>PL!$B$13</f>
        <v>Branch of JSC "Doosan Enerbility" in the Turkestan region</v>
      </c>
      <c r="H3120" s="123"/>
      <c r="I3120" s="123"/>
      <c r="J3120" s="123"/>
      <c r="K3120" s="123"/>
      <c r="L3120" s="123"/>
      <c r="M3120" s="123"/>
      <c r="N3120" s="126"/>
    </row>
    <row r="3121" spans="1:14" s="3" customFormat="1" ht="24" customHeight="1">
      <c r="A3121" s="125" t="s">
        <v>1890</v>
      </c>
      <c r="B3121" s="123"/>
      <c r="C3121" s="123"/>
      <c r="D3121" s="123"/>
      <c r="E3121" s="123"/>
      <c r="F3121" s="168"/>
      <c r="G3121" s="167" t="str">
        <f>PL!$B$14</f>
        <v>321 Tauke Khan Avenue, Turkestan region, Turkestan, Kazakhstan, 161200</v>
      </c>
      <c r="H3121" s="123"/>
      <c r="I3121" s="123"/>
      <c r="J3121" s="123"/>
      <c r="K3121" s="123"/>
      <c r="L3121" s="123"/>
      <c r="M3121" s="123"/>
      <c r="N3121" s="126"/>
    </row>
    <row r="3122" spans="1:14" s="4" customFormat="1" ht="25.2">
      <c r="A3122" s="125"/>
      <c r="B3122" s="123"/>
      <c r="C3122" s="123"/>
      <c r="D3122" s="123"/>
      <c r="E3122" s="123"/>
      <c r="F3122" s="168"/>
      <c r="G3122" s="167" t="str">
        <f>PL!$B$15</f>
        <v>BIN: 230741006561</v>
      </c>
      <c r="H3122" s="123"/>
      <c r="I3122" s="123"/>
      <c r="J3122" s="123"/>
      <c r="K3122" s="123"/>
      <c r="L3122" s="123"/>
      <c r="M3122" s="123"/>
      <c r="N3122" s="126"/>
    </row>
    <row r="3123" spans="1:14" s="3" customFormat="1" ht="9.9" customHeight="1">
      <c r="A3123" s="125"/>
      <c r="B3123" s="123"/>
      <c r="C3123" s="123"/>
      <c r="D3123" s="123"/>
      <c r="E3123" s="123"/>
      <c r="F3123" s="169"/>
      <c r="G3123" s="169"/>
      <c r="H3123" s="123"/>
      <c r="I3123" s="123"/>
      <c r="J3123" s="123"/>
      <c r="K3123" s="123"/>
      <c r="L3123" s="123"/>
      <c r="M3123" s="123"/>
      <c r="N3123" s="126"/>
    </row>
    <row r="3124" spans="1:14" s="3" customFormat="1" ht="25.2">
      <c r="A3124" s="125" t="s">
        <v>1891</v>
      </c>
      <c r="B3124" s="123"/>
      <c r="C3124" s="123"/>
      <c r="D3124" s="123"/>
      <c r="E3124" s="123"/>
      <c r="F3124" s="167" t="s">
        <v>1892</v>
      </c>
      <c r="G3124" s="123"/>
      <c r="H3124" s="123"/>
      <c r="I3124" s="123"/>
      <c r="J3124" s="123"/>
      <c r="K3124" s="123"/>
      <c r="L3124" s="123"/>
      <c r="M3124" s="123"/>
      <c r="N3124" s="126"/>
    </row>
    <row r="3125" spans="1:14" s="4" customFormat="1" ht="25.2">
      <c r="A3125" s="125" t="s">
        <v>1893</v>
      </c>
      <c r="B3125" s="123"/>
      <c r="C3125" s="123"/>
      <c r="D3125" s="123"/>
      <c r="E3125" s="123"/>
      <c r="F3125" s="167" t="s">
        <v>1894</v>
      </c>
      <c r="G3125" s="123"/>
      <c r="H3125" s="123"/>
      <c r="I3125" s="123"/>
      <c r="J3125" s="123"/>
      <c r="K3125" s="123"/>
      <c r="L3125" s="123"/>
      <c r="M3125" s="123"/>
      <c r="N3125" s="126"/>
    </row>
    <row r="3126" spans="1:14" s="3" customFormat="1" ht="9.9" customHeight="1">
      <c r="A3126" s="125"/>
      <c r="B3126" s="123"/>
      <c r="C3126" s="123"/>
      <c r="D3126" s="123"/>
      <c r="E3126" s="123"/>
      <c r="F3126" s="167"/>
      <c r="G3126" s="123"/>
      <c r="H3126" s="123"/>
      <c r="I3126" s="123"/>
      <c r="J3126" s="123"/>
      <c r="K3126" s="123"/>
      <c r="L3126" s="123"/>
      <c r="M3126" s="123"/>
      <c r="N3126" s="126"/>
    </row>
    <row r="3127" spans="1:14" s="3" customFormat="1" ht="25.2">
      <c r="A3127" s="125" t="s">
        <v>1895</v>
      </c>
      <c r="B3127" s="123"/>
      <c r="C3127" s="123"/>
      <c r="D3127" s="123"/>
      <c r="E3127" s="123"/>
      <c r="F3127" s="167" t="s">
        <v>1896</v>
      </c>
      <c r="G3127" s="167" t="str">
        <f>PL!$V$8</f>
        <v>PGU-DE-0139-001</v>
      </c>
      <c r="H3127" s="123"/>
      <c r="I3127" s="123"/>
      <c r="J3127" s="123"/>
      <c r="K3127" s="123"/>
      <c r="L3127" s="123"/>
      <c r="M3127" s="123"/>
      <c r="N3127" s="126"/>
    </row>
    <row r="3128" spans="1:14" s="3" customFormat="1" ht="25.2">
      <c r="A3128" s="125" t="s">
        <v>1897</v>
      </c>
      <c r="B3128" s="123"/>
      <c r="C3128" s="123"/>
      <c r="D3128" s="123"/>
      <c r="E3128" s="123"/>
      <c r="F3128" s="167"/>
      <c r="G3128" s="123"/>
      <c r="H3128" s="123"/>
      <c r="I3128" s="123"/>
      <c r="J3128" s="123"/>
      <c r="K3128" s="123"/>
      <c r="L3128" s="123"/>
      <c r="M3128" s="123"/>
      <c r="N3128" s="126"/>
    </row>
    <row r="3129" spans="1:14" s="3" customFormat="1" ht="9.9" customHeight="1">
      <c r="A3129" s="125"/>
      <c r="B3129" s="123"/>
      <c r="C3129" s="123"/>
      <c r="D3129" s="123"/>
      <c r="E3129" s="123"/>
      <c r="F3129" s="167"/>
      <c r="G3129" s="123"/>
      <c r="H3129" s="123"/>
      <c r="I3129" s="123"/>
      <c r="J3129" s="123"/>
      <c r="K3129" s="123"/>
      <c r="L3129" s="123"/>
      <c r="M3129" s="123"/>
      <c r="N3129" s="126"/>
    </row>
    <row r="3130" spans="1:14" s="3" customFormat="1" ht="31.2" customHeight="1">
      <c r="A3130" s="127" t="s">
        <v>1898</v>
      </c>
      <c r="B3130" s="170"/>
      <c r="C3130" s="170"/>
      <c r="D3130" s="170"/>
      <c r="E3130" s="170"/>
      <c r="F3130" s="171" t="s">
        <v>1885</v>
      </c>
      <c r="G3130" s="597" t="e">
        <f>VLOOKUP(G3133, 'Detail PL'!$B$14:$Q$799,2)</f>
        <v>#N/A</v>
      </c>
      <c r="H3130" s="597"/>
      <c r="I3130" s="597"/>
      <c r="J3130" s="597"/>
      <c r="K3130" s="597"/>
      <c r="L3130" s="597"/>
      <c r="M3130" s="597"/>
      <c r="N3130" s="128"/>
    </row>
    <row r="3131" spans="1:14" s="3" customFormat="1" ht="25.2">
      <c r="A3131" s="127" t="s">
        <v>1899</v>
      </c>
      <c r="B3131" s="170"/>
      <c r="C3131" s="170"/>
      <c r="D3131" s="170"/>
      <c r="E3131" s="170"/>
      <c r="F3131" s="171"/>
      <c r="G3131" s="170"/>
      <c r="H3131" s="170"/>
      <c r="I3131" s="170"/>
      <c r="J3131" s="170"/>
      <c r="K3131" s="170"/>
      <c r="L3131" s="170"/>
      <c r="M3131" s="170"/>
      <c r="N3131" s="128"/>
    </row>
    <row r="3132" spans="1:14" s="3" customFormat="1" ht="9.9" customHeight="1">
      <c r="A3132" s="125"/>
      <c r="B3132" s="123"/>
      <c r="C3132" s="123"/>
      <c r="D3132" s="123"/>
      <c r="E3132" s="123"/>
      <c r="F3132" s="167"/>
      <c r="G3132" s="123"/>
      <c r="H3132" s="123"/>
      <c r="I3132" s="123"/>
      <c r="J3132" s="123"/>
      <c r="K3132" s="123"/>
      <c r="L3132" s="123"/>
      <c r="M3132" s="123"/>
      <c r="N3132" s="126"/>
    </row>
    <row r="3133" spans="1:14" s="3" customFormat="1" ht="25.2">
      <c r="A3133" s="125" t="s">
        <v>1900</v>
      </c>
      <c r="B3133" s="123"/>
      <c r="C3133" s="123"/>
      <c r="D3133" s="123"/>
      <c r="E3133" s="123"/>
      <c r="F3133" s="171" t="s">
        <v>1901</v>
      </c>
      <c r="G3133" s="604">
        <f t="shared" ref="G3133" si="87">G3098+1</f>
        <v>90</v>
      </c>
      <c r="H3133" s="604"/>
      <c r="I3133" s="604"/>
      <c r="J3133" s="604"/>
      <c r="K3133" s="604"/>
      <c r="L3133" s="123"/>
      <c r="M3133" s="123"/>
      <c r="N3133" s="126"/>
    </row>
    <row r="3134" spans="1:14" s="4" customFormat="1" ht="25.2">
      <c r="A3134" s="125" t="s">
        <v>1903</v>
      </c>
      <c r="B3134" s="123"/>
      <c r="C3134" s="123"/>
      <c r="D3134" s="123"/>
      <c r="E3134" s="123"/>
      <c r="F3134" s="167"/>
      <c r="G3134" s="167"/>
      <c r="H3134" s="123"/>
      <c r="I3134" s="123"/>
      <c r="J3134" s="123"/>
      <c r="K3134" s="123"/>
      <c r="L3134" s="123"/>
      <c r="M3134" s="123"/>
      <c r="N3134" s="126"/>
    </row>
    <row r="3135" spans="1:14" s="3" customFormat="1" ht="9.9" customHeight="1">
      <c r="A3135" s="125"/>
      <c r="B3135" s="123"/>
      <c r="C3135" s="123"/>
      <c r="D3135" s="123"/>
      <c r="E3135" s="123"/>
      <c r="F3135" s="167"/>
      <c r="G3135" s="167"/>
      <c r="H3135" s="123"/>
      <c r="I3135" s="123"/>
      <c r="J3135" s="123"/>
      <c r="K3135" s="123"/>
      <c r="L3135" s="123"/>
      <c r="M3135" s="123"/>
      <c r="N3135" s="126"/>
    </row>
    <row r="3136" spans="1:14" s="3" customFormat="1" ht="25.2">
      <c r="A3136" s="125" t="s">
        <v>1904</v>
      </c>
      <c r="B3136" s="123"/>
      <c r="C3136" s="123"/>
      <c r="D3136" s="123"/>
      <c r="E3136" s="123"/>
      <c r="F3136" s="167" t="s">
        <v>1896</v>
      </c>
      <c r="G3136" s="204" t="e">
        <f>VLOOKUP(G3133, 'Detail PL'!$B$14:$Q$799, 10)</f>
        <v>#N/A</v>
      </c>
      <c r="H3136" s="204" t="s">
        <v>1905</v>
      </c>
      <c r="I3136" s="204"/>
      <c r="J3136" s="204"/>
      <c r="K3136" s="123"/>
      <c r="L3136" s="123"/>
      <c r="M3136" s="123"/>
      <c r="N3136" s="126"/>
    </row>
    <row r="3137" spans="1:15" s="4" customFormat="1" ht="25.2">
      <c r="A3137" s="125" t="s">
        <v>1906</v>
      </c>
      <c r="B3137" s="123"/>
      <c r="C3137" s="123"/>
      <c r="D3137" s="123"/>
      <c r="E3137" s="123"/>
      <c r="F3137" s="167"/>
      <c r="G3137" s="167"/>
      <c r="H3137" s="167"/>
      <c r="I3137" s="123"/>
      <c r="J3137" s="123"/>
      <c r="K3137" s="123"/>
      <c r="L3137" s="123"/>
      <c r="M3137" s="123"/>
      <c r="N3137" s="126"/>
    </row>
    <row r="3138" spans="1:15" s="3" customFormat="1" ht="9.9" customHeight="1">
      <c r="A3138" s="125"/>
      <c r="B3138" s="123"/>
      <c r="C3138" s="123"/>
      <c r="D3138" s="123"/>
      <c r="E3138" s="123"/>
      <c r="F3138" s="167"/>
      <c r="G3138" s="167"/>
      <c r="H3138" s="167"/>
      <c r="I3138" s="123"/>
      <c r="J3138" s="123"/>
      <c r="K3138" s="123"/>
      <c r="L3138" s="123"/>
      <c r="M3138" s="123"/>
      <c r="N3138" s="126"/>
    </row>
    <row r="3139" spans="1:15" s="3" customFormat="1" ht="25.2">
      <c r="A3139" s="125" t="s">
        <v>1907</v>
      </c>
      <c r="B3139" s="123"/>
      <c r="C3139" s="123"/>
      <c r="D3139" s="123"/>
      <c r="E3139" s="123"/>
      <c r="F3139" s="167" t="s">
        <v>1896</v>
      </c>
      <c r="G3139" s="204" t="e">
        <f>VLOOKUP(G3133, 'Detail PL'!$B$14:$Q$799, 11)</f>
        <v>#N/A</v>
      </c>
      <c r="H3139" s="204" t="s">
        <v>1905</v>
      </c>
      <c r="I3139" s="204"/>
      <c r="J3139" s="204"/>
      <c r="K3139" s="123"/>
      <c r="L3139" s="123"/>
      <c r="M3139" s="123"/>
      <c r="N3139" s="126"/>
    </row>
    <row r="3140" spans="1:15" s="4" customFormat="1" ht="25.2">
      <c r="A3140" s="125" t="s">
        <v>1908</v>
      </c>
      <c r="B3140" s="123"/>
      <c r="C3140" s="123"/>
      <c r="D3140" s="123"/>
      <c r="E3140" s="123"/>
      <c r="F3140" s="167"/>
      <c r="G3140" s="167"/>
      <c r="H3140" s="123"/>
      <c r="I3140" s="123"/>
      <c r="J3140" s="123"/>
      <c r="K3140" s="123"/>
      <c r="L3140" s="123"/>
      <c r="M3140" s="123"/>
      <c r="N3140" s="126"/>
    </row>
    <row r="3141" spans="1:15" s="3" customFormat="1" ht="9.9" customHeight="1">
      <c r="A3141" s="125"/>
      <c r="B3141" s="123"/>
      <c r="C3141" s="123"/>
      <c r="D3141" s="123"/>
      <c r="E3141" s="123"/>
      <c r="F3141" s="167"/>
      <c r="G3141" s="167"/>
      <c r="H3141" s="123"/>
      <c r="I3141" s="123"/>
      <c r="J3141" s="123"/>
      <c r="K3141" s="123"/>
      <c r="L3141" s="123"/>
      <c r="M3141" s="123"/>
      <c r="N3141" s="126"/>
    </row>
    <row r="3142" spans="1:15" s="3" customFormat="1" ht="25.2">
      <c r="A3142" s="129" t="s">
        <v>1909</v>
      </c>
      <c r="B3142" s="123"/>
      <c r="C3142" s="123"/>
      <c r="D3142" s="123"/>
      <c r="E3142" s="123"/>
      <c r="F3142" s="167" t="s">
        <v>1896</v>
      </c>
      <c r="G3142" s="204" t="e">
        <f>VLOOKUP(G3133, 'Detail PL'!$B$14:$Q$799, 9)</f>
        <v>#N/A</v>
      </c>
      <c r="H3142" s="205" t="s">
        <v>1910</v>
      </c>
      <c r="I3142" s="203"/>
      <c r="J3142" s="203"/>
      <c r="K3142" s="172"/>
      <c r="L3142" s="123"/>
      <c r="M3142" s="123"/>
      <c r="N3142" s="126"/>
    </row>
    <row r="3143" spans="1:15" s="4" customFormat="1" ht="25.2">
      <c r="A3143" s="125" t="s">
        <v>1911</v>
      </c>
      <c r="B3143" s="123"/>
      <c r="C3143" s="123"/>
      <c r="D3143" s="123"/>
      <c r="E3143" s="123"/>
      <c r="F3143" s="167"/>
      <c r="G3143" s="167"/>
      <c r="H3143" s="123"/>
      <c r="I3143" s="123"/>
      <c r="J3143" s="123"/>
      <c r="K3143" s="123"/>
      <c r="L3143" s="123"/>
      <c r="M3143" s="123"/>
      <c r="N3143" s="126"/>
    </row>
    <row r="3144" spans="1:15" s="3" customFormat="1" ht="9.9" customHeight="1">
      <c r="A3144" s="125"/>
      <c r="B3144" s="123"/>
      <c r="C3144" s="123"/>
      <c r="D3144" s="123"/>
      <c r="E3144" s="123"/>
      <c r="F3144" s="167"/>
      <c r="G3144" s="167"/>
      <c r="H3144" s="123"/>
      <c r="I3144" s="123"/>
      <c r="J3144" s="123"/>
      <c r="K3144" s="123"/>
      <c r="L3144" s="123"/>
      <c r="M3144" s="123"/>
      <c r="N3144" s="126"/>
    </row>
    <row r="3145" spans="1:15" s="3" customFormat="1" ht="42" customHeight="1">
      <c r="A3145" s="125" t="s">
        <v>1912</v>
      </c>
      <c r="B3145" s="123"/>
      <c r="C3145" s="123"/>
      <c r="D3145" s="123"/>
      <c r="E3145" s="123"/>
      <c r="F3145" s="166" t="s">
        <v>1913</v>
      </c>
      <c r="G3145" s="595" t="s">
        <v>1914</v>
      </c>
      <c r="H3145" s="595"/>
      <c r="I3145" s="595"/>
      <c r="J3145" s="595"/>
      <c r="K3145" s="595"/>
      <c r="L3145" s="595"/>
      <c r="M3145" s="595"/>
      <c r="N3145" s="596"/>
    </row>
    <row r="3146" spans="1:15" s="4" customFormat="1" ht="25.8" thickBot="1">
      <c r="A3146" s="125" t="s">
        <v>1915</v>
      </c>
      <c r="B3146" s="123"/>
      <c r="C3146" s="123"/>
      <c r="D3146" s="123"/>
      <c r="E3146" s="123"/>
      <c r="F3146" s="167"/>
      <c r="G3146" s="167"/>
      <c r="H3146" s="123"/>
      <c r="I3146" s="123"/>
      <c r="J3146" s="123"/>
      <c r="K3146" s="123"/>
      <c r="L3146" s="123"/>
      <c r="M3146" s="123"/>
      <c r="N3146" s="126"/>
    </row>
    <row r="3147" spans="1:15" ht="21" customHeight="1">
      <c r="A3147" s="598" t="s">
        <v>1916</v>
      </c>
      <c r="B3147" s="599"/>
      <c r="C3147" s="599"/>
      <c r="D3147" s="599"/>
      <c r="E3147" s="599"/>
      <c r="F3147" s="599"/>
      <c r="G3147" s="599"/>
      <c r="H3147" s="599"/>
      <c r="I3147" s="599"/>
      <c r="J3147" s="599"/>
      <c r="K3147" s="599"/>
      <c r="L3147" s="599"/>
      <c r="M3147" s="599"/>
      <c r="N3147" s="600"/>
    </row>
    <row r="3148" spans="1:15" ht="25.5" customHeight="1" thickBot="1">
      <c r="A3148" s="601"/>
      <c r="B3148" s="602"/>
      <c r="C3148" s="602"/>
      <c r="D3148" s="602"/>
      <c r="E3148" s="602"/>
      <c r="F3148" s="602"/>
      <c r="G3148" s="602"/>
      <c r="H3148" s="602"/>
      <c r="I3148" s="602"/>
      <c r="J3148" s="602"/>
      <c r="K3148" s="602"/>
      <c r="L3148" s="602"/>
      <c r="M3148" s="602"/>
      <c r="N3148" s="603"/>
    </row>
    <row r="3149" spans="1:15" ht="25.5" customHeight="1">
      <c r="E3149" s="206"/>
      <c r="F3149" s="206"/>
      <c r="G3149" s="206"/>
      <c r="H3149" s="206"/>
      <c r="I3149" s="206"/>
      <c r="J3149" s="206"/>
      <c r="K3149" s="206"/>
    </row>
    <row r="3150" spans="1:15" ht="21.6" thickBot="1"/>
    <row r="3151" spans="1:15" ht="95.25" customHeight="1" thickBot="1">
      <c r="A3151" s="592" t="s">
        <v>1883</v>
      </c>
      <c r="B3151" s="593"/>
      <c r="C3151" s="593"/>
      <c r="D3151" s="593"/>
      <c r="E3151" s="593"/>
      <c r="F3151" s="593"/>
      <c r="G3151" s="593"/>
      <c r="H3151" s="593"/>
      <c r="I3151" s="593"/>
      <c r="J3151" s="593"/>
      <c r="K3151" s="593"/>
      <c r="L3151" s="593"/>
      <c r="M3151" s="593"/>
      <c r="N3151" s="594"/>
    </row>
    <row r="3152" spans="1:15" s="3" customFormat="1" ht="37.5" customHeight="1">
      <c r="A3152" s="134" t="s">
        <v>1884</v>
      </c>
      <c r="B3152" s="166"/>
      <c r="C3152" s="166"/>
      <c r="D3152" s="123"/>
      <c r="E3152" s="123"/>
      <c r="F3152" s="167" t="s">
        <v>1885</v>
      </c>
      <c r="G3152" s="167" t="s">
        <v>1886</v>
      </c>
      <c r="H3152" s="167"/>
      <c r="I3152" s="167"/>
      <c r="J3152" s="167"/>
      <c r="K3152" s="167"/>
      <c r="L3152" s="167"/>
      <c r="M3152" s="167"/>
      <c r="N3152" s="152"/>
      <c r="O3152" s="201"/>
    </row>
    <row r="3153" spans="1:14" s="4" customFormat="1" ht="25.2">
      <c r="A3153" s="125" t="s">
        <v>1887</v>
      </c>
      <c r="B3153" s="123"/>
      <c r="C3153" s="123"/>
      <c r="D3153" s="123"/>
      <c r="E3153" s="123"/>
      <c r="F3153" s="167"/>
      <c r="G3153" s="167" t="s">
        <v>1888</v>
      </c>
      <c r="H3153" s="167"/>
      <c r="I3153" s="167"/>
      <c r="J3153" s="167"/>
      <c r="K3153" s="167"/>
      <c r="L3153" s="167"/>
      <c r="M3153" s="167"/>
      <c r="N3153" s="152"/>
    </row>
    <row r="3154" spans="1:14" s="3" customFormat="1" ht="9.9" customHeight="1">
      <c r="A3154" s="125"/>
      <c r="B3154" s="123"/>
      <c r="C3154" s="123"/>
      <c r="D3154" s="123"/>
      <c r="E3154" s="123"/>
      <c r="F3154" s="167"/>
      <c r="G3154" s="123"/>
      <c r="H3154" s="123"/>
      <c r="I3154" s="123"/>
      <c r="J3154" s="123"/>
      <c r="K3154" s="123"/>
      <c r="L3154" s="123"/>
      <c r="M3154" s="123"/>
      <c r="N3154" s="126"/>
    </row>
    <row r="3155" spans="1:14" s="3" customFormat="1" ht="42.75" customHeight="1">
      <c r="A3155" s="125" t="s">
        <v>1889</v>
      </c>
      <c r="B3155" s="123"/>
      <c r="C3155" s="123"/>
      <c r="D3155" s="123"/>
      <c r="E3155" s="123"/>
      <c r="F3155" s="167" t="s">
        <v>1885</v>
      </c>
      <c r="G3155" s="167" t="str">
        <f>PL!$B$13</f>
        <v>Branch of JSC "Doosan Enerbility" in the Turkestan region</v>
      </c>
      <c r="H3155" s="123"/>
      <c r="I3155" s="123"/>
      <c r="J3155" s="123"/>
      <c r="K3155" s="123"/>
      <c r="L3155" s="123"/>
      <c r="M3155" s="123"/>
      <c r="N3155" s="126"/>
    </row>
    <row r="3156" spans="1:14" s="3" customFormat="1" ht="24" customHeight="1">
      <c r="A3156" s="125" t="s">
        <v>1890</v>
      </c>
      <c r="B3156" s="123"/>
      <c r="C3156" s="123"/>
      <c r="D3156" s="123"/>
      <c r="E3156" s="123"/>
      <c r="F3156" s="168"/>
      <c r="G3156" s="167" t="str">
        <f>PL!$B$14</f>
        <v>321 Tauke Khan Avenue, Turkestan region, Turkestan, Kazakhstan, 161200</v>
      </c>
      <c r="H3156" s="123"/>
      <c r="I3156" s="123"/>
      <c r="J3156" s="123"/>
      <c r="K3156" s="123"/>
      <c r="L3156" s="123"/>
      <c r="M3156" s="123"/>
      <c r="N3156" s="126"/>
    </row>
    <row r="3157" spans="1:14" s="4" customFormat="1" ht="25.2">
      <c r="A3157" s="125"/>
      <c r="B3157" s="123"/>
      <c r="C3157" s="123"/>
      <c r="D3157" s="123"/>
      <c r="E3157" s="123"/>
      <c r="F3157" s="168"/>
      <c r="G3157" s="167" t="str">
        <f>PL!$B$15</f>
        <v>BIN: 230741006561</v>
      </c>
      <c r="H3157" s="123"/>
      <c r="I3157" s="123"/>
      <c r="J3157" s="123"/>
      <c r="K3157" s="123"/>
      <c r="L3157" s="123"/>
      <c r="M3157" s="123"/>
      <c r="N3157" s="126"/>
    </row>
    <row r="3158" spans="1:14" s="3" customFormat="1" ht="9.9" customHeight="1">
      <c r="A3158" s="125"/>
      <c r="B3158" s="123"/>
      <c r="C3158" s="123"/>
      <c r="D3158" s="123"/>
      <c r="E3158" s="123"/>
      <c r="F3158" s="169"/>
      <c r="G3158" s="169"/>
      <c r="H3158" s="123"/>
      <c r="I3158" s="123"/>
      <c r="J3158" s="123"/>
      <c r="K3158" s="123"/>
      <c r="L3158" s="123"/>
      <c r="M3158" s="123"/>
      <c r="N3158" s="126"/>
    </row>
    <row r="3159" spans="1:14" s="3" customFormat="1" ht="25.2">
      <c r="A3159" s="125" t="s">
        <v>1891</v>
      </c>
      <c r="B3159" s="123"/>
      <c r="C3159" s="123"/>
      <c r="D3159" s="123"/>
      <c r="E3159" s="123"/>
      <c r="F3159" s="167" t="s">
        <v>1892</v>
      </c>
      <c r="G3159" s="123"/>
      <c r="H3159" s="123"/>
      <c r="I3159" s="123"/>
      <c r="J3159" s="123"/>
      <c r="K3159" s="123"/>
      <c r="L3159" s="123"/>
      <c r="M3159" s="123"/>
      <c r="N3159" s="126"/>
    </row>
    <row r="3160" spans="1:14" s="4" customFormat="1" ht="25.2">
      <c r="A3160" s="125" t="s">
        <v>1893</v>
      </c>
      <c r="B3160" s="123"/>
      <c r="C3160" s="123"/>
      <c r="D3160" s="123"/>
      <c r="E3160" s="123"/>
      <c r="F3160" s="167" t="s">
        <v>1894</v>
      </c>
      <c r="G3160" s="123"/>
      <c r="H3160" s="123"/>
      <c r="I3160" s="123"/>
      <c r="J3160" s="123"/>
      <c r="K3160" s="123"/>
      <c r="L3160" s="123"/>
      <c r="M3160" s="123"/>
      <c r="N3160" s="126"/>
    </row>
    <row r="3161" spans="1:14" s="3" customFormat="1" ht="9.9" customHeight="1">
      <c r="A3161" s="125"/>
      <c r="B3161" s="123"/>
      <c r="C3161" s="123"/>
      <c r="D3161" s="123"/>
      <c r="E3161" s="123"/>
      <c r="F3161" s="167"/>
      <c r="G3161" s="123"/>
      <c r="H3161" s="123"/>
      <c r="I3161" s="123"/>
      <c r="J3161" s="123"/>
      <c r="K3161" s="123"/>
      <c r="L3161" s="123"/>
      <c r="M3161" s="123"/>
      <c r="N3161" s="126"/>
    </row>
    <row r="3162" spans="1:14" s="3" customFormat="1" ht="25.2">
      <c r="A3162" s="125" t="s">
        <v>1895</v>
      </c>
      <c r="B3162" s="123"/>
      <c r="C3162" s="123"/>
      <c r="D3162" s="123"/>
      <c r="E3162" s="123"/>
      <c r="F3162" s="167" t="s">
        <v>1896</v>
      </c>
      <c r="G3162" s="167" t="str">
        <f>PL!$V$8</f>
        <v>PGU-DE-0139-001</v>
      </c>
      <c r="H3162" s="123"/>
      <c r="I3162" s="123"/>
      <c r="J3162" s="123"/>
      <c r="K3162" s="123"/>
      <c r="L3162" s="123"/>
      <c r="M3162" s="123"/>
      <c r="N3162" s="126"/>
    </row>
    <row r="3163" spans="1:14" s="3" customFormat="1" ht="25.2">
      <c r="A3163" s="125" t="s">
        <v>1897</v>
      </c>
      <c r="B3163" s="123"/>
      <c r="C3163" s="123"/>
      <c r="D3163" s="123"/>
      <c r="E3163" s="123"/>
      <c r="F3163" s="167"/>
      <c r="G3163" s="123"/>
      <c r="H3163" s="123"/>
      <c r="I3163" s="123"/>
      <c r="J3163" s="123"/>
      <c r="K3163" s="123"/>
      <c r="L3163" s="123"/>
      <c r="M3163" s="123"/>
      <c r="N3163" s="126"/>
    </row>
    <row r="3164" spans="1:14" s="3" customFormat="1" ht="9.9" customHeight="1">
      <c r="A3164" s="125"/>
      <c r="B3164" s="123"/>
      <c r="C3164" s="123"/>
      <c r="D3164" s="123"/>
      <c r="E3164" s="123"/>
      <c r="F3164" s="167"/>
      <c r="G3164" s="123"/>
      <c r="H3164" s="123"/>
      <c r="I3164" s="123"/>
      <c r="J3164" s="123"/>
      <c r="K3164" s="123"/>
      <c r="L3164" s="123"/>
      <c r="M3164" s="123"/>
      <c r="N3164" s="126"/>
    </row>
    <row r="3165" spans="1:14" s="3" customFormat="1" ht="31.2" customHeight="1">
      <c r="A3165" s="127" t="s">
        <v>1898</v>
      </c>
      <c r="B3165" s="170"/>
      <c r="C3165" s="170"/>
      <c r="D3165" s="170"/>
      <c r="E3165" s="170"/>
      <c r="F3165" s="171" t="s">
        <v>1885</v>
      </c>
      <c r="G3165" s="597" t="e">
        <f>VLOOKUP(G3168, 'Detail PL'!$B$14:$Q$799,2)</f>
        <v>#N/A</v>
      </c>
      <c r="H3165" s="597"/>
      <c r="I3165" s="597"/>
      <c r="J3165" s="597"/>
      <c r="K3165" s="597"/>
      <c r="L3165" s="597"/>
      <c r="M3165" s="597"/>
      <c r="N3165" s="128"/>
    </row>
    <row r="3166" spans="1:14" s="3" customFormat="1" ht="25.2">
      <c r="A3166" s="127" t="s">
        <v>1899</v>
      </c>
      <c r="B3166" s="170"/>
      <c r="C3166" s="170"/>
      <c r="D3166" s="170"/>
      <c r="E3166" s="170"/>
      <c r="F3166" s="171"/>
      <c r="G3166" s="170"/>
      <c r="H3166" s="170"/>
      <c r="I3166" s="170"/>
      <c r="J3166" s="170"/>
      <c r="K3166" s="170"/>
      <c r="L3166" s="170"/>
      <c r="M3166" s="170"/>
      <c r="N3166" s="128"/>
    </row>
    <row r="3167" spans="1:14" s="3" customFormat="1" ht="9.9" customHeight="1">
      <c r="A3167" s="125"/>
      <c r="B3167" s="123"/>
      <c r="C3167" s="123"/>
      <c r="D3167" s="123"/>
      <c r="E3167" s="123"/>
      <c r="F3167" s="167"/>
      <c r="G3167" s="123"/>
      <c r="H3167" s="123"/>
      <c r="I3167" s="123"/>
      <c r="J3167" s="123"/>
      <c r="K3167" s="123"/>
      <c r="L3167" s="123"/>
      <c r="M3167" s="123"/>
      <c r="N3167" s="126"/>
    </row>
    <row r="3168" spans="1:14" s="3" customFormat="1" ht="25.2">
      <c r="A3168" s="125" t="s">
        <v>1900</v>
      </c>
      <c r="B3168" s="123"/>
      <c r="C3168" s="123"/>
      <c r="D3168" s="123"/>
      <c r="E3168" s="123"/>
      <c r="F3168" s="171" t="s">
        <v>1901</v>
      </c>
      <c r="G3168" s="604">
        <f t="shared" ref="G3168" si="88">G3133+1</f>
        <v>91</v>
      </c>
      <c r="H3168" s="604"/>
      <c r="I3168" s="604"/>
      <c r="J3168" s="604"/>
      <c r="K3168" s="604"/>
      <c r="L3168" s="123"/>
      <c r="M3168" s="123"/>
      <c r="N3168" s="126"/>
    </row>
    <row r="3169" spans="1:14" s="4" customFormat="1" ht="25.2">
      <c r="A3169" s="125" t="s">
        <v>1903</v>
      </c>
      <c r="B3169" s="123"/>
      <c r="C3169" s="123"/>
      <c r="D3169" s="123"/>
      <c r="E3169" s="123"/>
      <c r="F3169" s="167"/>
      <c r="G3169" s="167"/>
      <c r="H3169" s="123"/>
      <c r="I3169" s="123"/>
      <c r="J3169" s="123"/>
      <c r="K3169" s="123"/>
      <c r="L3169" s="123"/>
      <c r="M3169" s="123"/>
      <c r="N3169" s="126"/>
    </row>
    <row r="3170" spans="1:14" s="3" customFormat="1" ht="9.9" customHeight="1">
      <c r="A3170" s="125"/>
      <c r="B3170" s="123"/>
      <c r="C3170" s="123"/>
      <c r="D3170" s="123"/>
      <c r="E3170" s="123"/>
      <c r="F3170" s="167"/>
      <c r="G3170" s="167"/>
      <c r="H3170" s="123"/>
      <c r="I3170" s="123"/>
      <c r="J3170" s="123"/>
      <c r="K3170" s="123"/>
      <c r="L3170" s="123"/>
      <c r="M3170" s="123"/>
      <c r="N3170" s="126"/>
    </row>
    <row r="3171" spans="1:14" s="3" customFormat="1" ht="25.2">
      <c r="A3171" s="125" t="s">
        <v>1904</v>
      </c>
      <c r="B3171" s="123"/>
      <c r="C3171" s="123"/>
      <c r="D3171" s="123"/>
      <c r="E3171" s="123"/>
      <c r="F3171" s="167" t="s">
        <v>1896</v>
      </c>
      <c r="G3171" s="204" t="e">
        <f>VLOOKUP(G3168, 'Detail PL'!$B$14:$Q$799, 10)</f>
        <v>#N/A</v>
      </c>
      <c r="H3171" s="204" t="s">
        <v>1905</v>
      </c>
      <c r="I3171" s="204"/>
      <c r="J3171" s="204"/>
      <c r="K3171" s="123"/>
      <c r="L3171" s="123"/>
      <c r="M3171" s="123"/>
      <c r="N3171" s="126"/>
    </row>
    <row r="3172" spans="1:14" s="4" customFormat="1" ht="25.2">
      <c r="A3172" s="125" t="s">
        <v>1906</v>
      </c>
      <c r="B3172" s="123"/>
      <c r="C3172" s="123"/>
      <c r="D3172" s="123"/>
      <c r="E3172" s="123"/>
      <c r="F3172" s="167"/>
      <c r="G3172" s="167"/>
      <c r="H3172" s="167"/>
      <c r="I3172" s="123"/>
      <c r="J3172" s="123"/>
      <c r="K3172" s="123"/>
      <c r="L3172" s="123"/>
      <c r="M3172" s="123"/>
      <c r="N3172" s="126"/>
    </row>
    <row r="3173" spans="1:14" s="3" customFormat="1" ht="9.9" customHeight="1">
      <c r="A3173" s="125"/>
      <c r="B3173" s="123"/>
      <c r="C3173" s="123"/>
      <c r="D3173" s="123"/>
      <c r="E3173" s="123"/>
      <c r="F3173" s="167"/>
      <c r="G3173" s="167"/>
      <c r="H3173" s="167"/>
      <c r="I3173" s="123"/>
      <c r="J3173" s="123"/>
      <c r="K3173" s="123"/>
      <c r="L3173" s="123"/>
      <c r="M3173" s="123"/>
      <c r="N3173" s="126"/>
    </row>
    <row r="3174" spans="1:14" s="3" customFormat="1" ht="25.2">
      <c r="A3174" s="125" t="s">
        <v>1907</v>
      </c>
      <c r="B3174" s="123"/>
      <c r="C3174" s="123"/>
      <c r="D3174" s="123"/>
      <c r="E3174" s="123"/>
      <c r="F3174" s="167" t="s">
        <v>1896</v>
      </c>
      <c r="G3174" s="204" t="e">
        <f>VLOOKUP(G3168, 'Detail PL'!$B$14:$Q$799, 11)</f>
        <v>#N/A</v>
      </c>
      <c r="H3174" s="204" t="s">
        <v>1905</v>
      </c>
      <c r="I3174" s="204"/>
      <c r="J3174" s="204"/>
      <c r="K3174" s="123"/>
      <c r="L3174" s="123"/>
      <c r="M3174" s="123"/>
      <c r="N3174" s="126"/>
    </row>
    <row r="3175" spans="1:14" s="4" customFormat="1" ht="25.2">
      <c r="A3175" s="125" t="s">
        <v>1908</v>
      </c>
      <c r="B3175" s="123"/>
      <c r="C3175" s="123"/>
      <c r="D3175" s="123"/>
      <c r="E3175" s="123"/>
      <c r="F3175" s="167"/>
      <c r="G3175" s="167"/>
      <c r="H3175" s="123"/>
      <c r="I3175" s="123"/>
      <c r="J3175" s="123"/>
      <c r="K3175" s="123"/>
      <c r="L3175" s="123"/>
      <c r="M3175" s="123"/>
      <c r="N3175" s="126"/>
    </row>
    <row r="3176" spans="1:14" s="3" customFormat="1" ht="9.9" customHeight="1">
      <c r="A3176" s="125"/>
      <c r="B3176" s="123"/>
      <c r="C3176" s="123"/>
      <c r="D3176" s="123"/>
      <c r="E3176" s="123"/>
      <c r="F3176" s="167"/>
      <c r="G3176" s="167"/>
      <c r="H3176" s="123"/>
      <c r="I3176" s="123"/>
      <c r="J3176" s="123"/>
      <c r="K3176" s="123"/>
      <c r="L3176" s="123"/>
      <c r="M3176" s="123"/>
      <c r="N3176" s="126"/>
    </row>
    <row r="3177" spans="1:14" s="3" customFormat="1" ht="25.2">
      <c r="A3177" s="129" t="s">
        <v>1909</v>
      </c>
      <c r="B3177" s="123"/>
      <c r="C3177" s="123"/>
      <c r="D3177" s="123"/>
      <c r="E3177" s="123"/>
      <c r="F3177" s="167" t="s">
        <v>1896</v>
      </c>
      <c r="G3177" s="204" t="e">
        <f>VLOOKUP(G3168, 'Detail PL'!$B$14:$Q$799, 9)</f>
        <v>#N/A</v>
      </c>
      <c r="H3177" s="205" t="s">
        <v>1910</v>
      </c>
      <c r="I3177" s="203"/>
      <c r="J3177" s="203"/>
      <c r="K3177" s="172"/>
      <c r="L3177" s="123"/>
      <c r="M3177" s="123"/>
      <c r="N3177" s="126"/>
    </row>
    <row r="3178" spans="1:14" s="4" customFormat="1" ht="25.2">
      <c r="A3178" s="125" t="s">
        <v>1911</v>
      </c>
      <c r="B3178" s="123"/>
      <c r="C3178" s="123"/>
      <c r="D3178" s="123"/>
      <c r="E3178" s="123"/>
      <c r="F3178" s="167"/>
      <c r="G3178" s="167"/>
      <c r="H3178" s="123"/>
      <c r="I3178" s="123"/>
      <c r="J3178" s="123"/>
      <c r="K3178" s="123"/>
      <c r="L3178" s="123"/>
      <c r="M3178" s="123"/>
      <c r="N3178" s="126"/>
    </row>
    <row r="3179" spans="1:14" s="3" customFormat="1" ht="9.9" customHeight="1">
      <c r="A3179" s="125"/>
      <c r="B3179" s="123"/>
      <c r="C3179" s="123"/>
      <c r="D3179" s="123"/>
      <c r="E3179" s="123"/>
      <c r="F3179" s="167"/>
      <c r="G3179" s="167"/>
      <c r="H3179" s="123"/>
      <c r="I3179" s="123"/>
      <c r="J3179" s="123"/>
      <c r="K3179" s="123"/>
      <c r="L3179" s="123"/>
      <c r="M3179" s="123"/>
      <c r="N3179" s="126"/>
    </row>
    <row r="3180" spans="1:14" s="3" customFormat="1" ht="42" customHeight="1">
      <c r="A3180" s="125" t="s">
        <v>1912</v>
      </c>
      <c r="B3180" s="123"/>
      <c r="C3180" s="123"/>
      <c r="D3180" s="123"/>
      <c r="E3180" s="123"/>
      <c r="F3180" s="166" t="s">
        <v>1913</v>
      </c>
      <c r="G3180" s="595" t="s">
        <v>1914</v>
      </c>
      <c r="H3180" s="595"/>
      <c r="I3180" s="595"/>
      <c r="J3180" s="595"/>
      <c r="K3180" s="595"/>
      <c r="L3180" s="595"/>
      <c r="M3180" s="595"/>
      <c r="N3180" s="596"/>
    </row>
    <row r="3181" spans="1:14" s="4" customFormat="1" ht="25.8" thickBot="1">
      <c r="A3181" s="125" t="s">
        <v>1915</v>
      </c>
      <c r="B3181" s="123"/>
      <c r="C3181" s="123"/>
      <c r="D3181" s="123"/>
      <c r="E3181" s="123"/>
      <c r="F3181" s="167"/>
      <c r="G3181" s="167"/>
      <c r="H3181" s="123"/>
      <c r="I3181" s="123"/>
      <c r="J3181" s="123"/>
      <c r="K3181" s="123"/>
      <c r="L3181" s="123"/>
      <c r="M3181" s="123"/>
      <c r="N3181" s="126"/>
    </row>
    <row r="3182" spans="1:14" ht="21" customHeight="1">
      <c r="A3182" s="598" t="s">
        <v>1916</v>
      </c>
      <c r="B3182" s="599"/>
      <c r="C3182" s="599"/>
      <c r="D3182" s="599"/>
      <c r="E3182" s="599"/>
      <c r="F3182" s="599"/>
      <c r="G3182" s="599"/>
      <c r="H3182" s="599"/>
      <c r="I3182" s="599"/>
      <c r="J3182" s="599"/>
      <c r="K3182" s="599"/>
      <c r="L3182" s="599"/>
      <c r="M3182" s="599"/>
      <c r="N3182" s="600"/>
    </row>
    <row r="3183" spans="1:14" ht="25.5" customHeight="1" thickBot="1">
      <c r="A3183" s="601"/>
      <c r="B3183" s="602"/>
      <c r="C3183" s="602"/>
      <c r="D3183" s="602"/>
      <c r="E3183" s="602"/>
      <c r="F3183" s="602"/>
      <c r="G3183" s="602"/>
      <c r="H3183" s="602"/>
      <c r="I3183" s="602"/>
      <c r="J3183" s="602"/>
      <c r="K3183" s="602"/>
      <c r="L3183" s="602"/>
      <c r="M3183" s="602"/>
      <c r="N3183" s="603"/>
    </row>
    <row r="3184" spans="1:14" ht="25.5" customHeight="1">
      <c r="E3184" s="206"/>
      <c r="F3184" s="206"/>
      <c r="G3184" s="206"/>
      <c r="H3184" s="206"/>
      <c r="I3184" s="206"/>
      <c r="J3184" s="206"/>
      <c r="K3184" s="206"/>
    </row>
    <row r="3185" spans="1:15" ht="21.6" thickBot="1"/>
    <row r="3186" spans="1:15" ht="95.25" customHeight="1" thickBot="1">
      <c r="A3186" s="592" t="s">
        <v>1883</v>
      </c>
      <c r="B3186" s="593"/>
      <c r="C3186" s="593"/>
      <c r="D3186" s="593"/>
      <c r="E3186" s="593"/>
      <c r="F3186" s="593"/>
      <c r="G3186" s="593"/>
      <c r="H3186" s="593"/>
      <c r="I3186" s="593"/>
      <c r="J3186" s="593"/>
      <c r="K3186" s="593"/>
      <c r="L3186" s="593"/>
      <c r="M3186" s="593"/>
      <c r="N3186" s="594"/>
    </row>
    <row r="3187" spans="1:15" s="3" customFormat="1" ht="37.5" customHeight="1">
      <c r="A3187" s="134" t="s">
        <v>1884</v>
      </c>
      <c r="B3187" s="166"/>
      <c r="C3187" s="166"/>
      <c r="D3187" s="123"/>
      <c r="E3187" s="123"/>
      <c r="F3187" s="167" t="s">
        <v>1885</v>
      </c>
      <c r="G3187" s="167" t="s">
        <v>1886</v>
      </c>
      <c r="H3187" s="167"/>
      <c r="I3187" s="167"/>
      <c r="J3187" s="167"/>
      <c r="K3187" s="167"/>
      <c r="L3187" s="167"/>
      <c r="M3187" s="167"/>
      <c r="N3187" s="152"/>
      <c r="O3187" s="201"/>
    </row>
    <row r="3188" spans="1:15" s="4" customFormat="1" ht="25.2">
      <c r="A3188" s="125" t="s">
        <v>1887</v>
      </c>
      <c r="B3188" s="123"/>
      <c r="C3188" s="123"/>
      <c r="D3188" s="123"/>
      <c r="E3188" s="123"/>
      <c r="F3188" s="167"/>
      <c r="G3188" s="167" t="s">
        <v>1888</v>
      </c>
      <c r="H3188" s="167"/>
      <c r="I3188" s="167"/>
      <c r="J3188" s="167"/>
      <c r="K3188" s="167"/>
      <c r="L3188" s="167"/>
      <c r="M3188" s="167"/>
      <c r="N3188" s="152"/>
    </row>
    <row r="3189" spans="1:15" s="3" customFormat="1" ht="9.9" customHeight="1">
      <c r="A3189" s="125"/>
      <c r="B3189" s="123"/>
      <c r="C3189" s="123"/>
      <c r="D3189" s="123"/>
      <c r="E3189" s="123"/>
      <c r="F3189" s="167"/>
      <c r="G3189" s="123"/>
      <c r="H3189" s="123"/>
      <c r="I3189" s="123"/>
      <c r="J3189" s="123"/>
      <c r="K3189" s="123"/>
      <c r="L3189" s="123"/>
      <c r="M3189" s="123"/>
      <c r="N3189" s="126"/>
    </row>
    <row r="3190" spans="1:15" s="3" customFormat="1" ht="42.75" customHeight="1">
      <c r="A3190" s="125" t="s">
        <v>1889</v>
      </c>
      <c r="B3190" s="123"/>
      <c r="C3190" s="123"/>
      <c r="D3190" s="123"/>
      <c r="E3190" s="123"/>
      <c r="F3190" s="167" t="s">
        <v>1885</v>
      </c>
      <c r="G3190" s="167" t="str">
        <f>PL!$B$13</f>
        <v>Branch of JSC "Doosan Enerbility" in the Turkestan region</v>
      </c>
      <c r="H3190" s="123"/>
      <c r="I3190" s="123"/>
      <c r="J3190" s="123"/>
      <c r="K3190" s="123"/>
      <c r="L3190" s="123"/>
      <c r="M3190" s="123"/>
      <c r="N3190" s="126"/>
    </row>
    <row r="3191" spans="1:15" s="3" customFormat="1" ht="24" customHeight="1">
      <c r="A3191" s="125" t="s">
        <v>1890</v>
      </c>
      <c r="B3191" s="123"/>
      <c r="C3191" s="123"/>
      <c r="D3191" s="123"/>
      <c r="E3191" s="123"/>
      <c r="F3191" s="168"/>
      <c r="G3191" s="167" t="str">
        <f>PL!$B$14</f>
        <v>321 Tauke Khan Avenue, Turkestan region, Turkestan, Kazakhstan, 161200</v>
      </c>
      <c r="H3191" s="123"/>
      <c r="I3191" s="123"/>
      <c r="J3191" s="123"/>
      <c r="K3191" s="123"/>
      <c r="L3191" s="123"/>
      <c r="M3191" s="123"/>
      <c r="N3191" s="126"/>
    </row>
    <row r="3192" spans="1:15" s="4" customFormat="1" ht="25.2">
      <c r="A3192" s="125"/>
      <c r="B3192" s="123"/>
      <c r="C3192" s="123"/>
      <c r="D3192" s="123"/>
      <c r="E3192" s="123"/>
      <c r="F3192" s="168"/>
      <c r="G3192" s="167" t="str">
        <f>PL!$B$15</f>
        <v>BIN: 230741006561</v>
      </c>
      <c r="H3192" s="123"/>
      <c r="I3192" s="123"/>
      <c r="J3192" s="123"/>
      <c r="K3192" s="123"/>
      <c r="L3192" s="123"/>
      <c r="M3192" s="123"/>
      <c r="N3192" s="126"/>
    </row>
    <row r="3193" spans="1:15" s="3" customFormat="1" ht="9.9" customHeight="1">
      <c r="A3193" s="125"/>
      <c r="B3193" s="123"/>
      <c r="C3193" s="123"/>
      <c r="D3193" s="123"/>
      <c r="E3193" s="123"/>
      <c r="F3193" s="169"/>
      <c r="G3193" s="169"/>
      <c r="H3193" s="123"/>
      <c r="I3193" s="123"/>
      <c r="J3193" s="123"/>
      <c r="K3193" s="123"/>
      <c r="L3193" s="123"/>
      <c r="M3193" s="123"/>
      <c r="N3193" s="126"/>
    </row>
    <row r="3194" spans="1:15" s="3" customFormat="1" ht="25.2">
      <c r="A3194" s="125" t="s">
        <v>1891</v>
      </c>
      <c r="B3194" s="123"/>
      <c r="C3194" s="123"/>
      <c r="D3194" s="123"/>
      <c r="E3194" s="123"/>
      <c r="F3194" s="167" t="s">
        <v>1892</v>
      </c>
      <c r="G3194" s="123"/>
      <c r="H3194" s="123"/>
      <c r="I3194" s="123"/>
      <c r="J3194" s="123"/>
      <c r="K3194" s="123"/>
      <c r="L3194" s="123"/>
      <c r="M3194" s="123"/>
      <c r="N3194" s="126"/>
    </row>
    <row r="3195" spans="1:15" s="4" customFormat="1" ht="25.2">
      <c r="A3195" s="125" t="s">
        <v>1893</v>
      </c>
      <c r="B3195" s="123"/>
      <c r="C3195" s="123"/>
      <c r="D3195" s="123"/>
      <c r="E3195" s="123"/>
      <c r="F3195" s="167" t="s">
        <v>1894</v>
      </c>
      <c r="G3195" s="123"/>
      <c r="H3195" s="123"/>
      <c r="I3195" s="123"/>
      <c r="J3195" s="123"/>
      <c r="K3195" s="123"/>
      <c r="L3195" s="123"/>
      <c r="M3195" s="123"/>
      <c r="N3195" s="126"/>
    </row>
    <row r="3196" spans="1:15" s="3" customFormat="1" ht="9.9" customHeight="1">
      <c r="A3196" s="125"/>
      <c r="B3196" s="123"/>
      <c r="C3196" s="123"/>
      <c r="D3196" s="123"/>
      <c r="E3196" s="123"/>
      <c r="F3196" s="167"/>
      <c r="G3196" s="123"/>
      <c r="H3196" s="123"/>
      <c r="I3196" s="123"/>
      <c r="J3196" s="123"/>
      <c r="K3196" s="123"/>
      <c r="L3196" s="123"/>
      <c r="M3196" s="123"/>
      <c r="N3196" s="126"/>
    </row>
    <row r="3197" spans="1:15" s="3" customFormat="1" ht="25.2">
      <c r="A3197" s="125" t="s">
        <v>1895</v>
      </c>
      <c r="B3197" s="123"/>
      <c r="C3197" s="123"/>
      <c r="D3197" s="123"/>
      <c r="E3197" s="123"/>
      <c r="F3197" s="167" t="s">
        <v>1896</v>
      </c>
      <c r="G3197" s="167" t="str">
        <f>PL!$V$8</f>
        <v>PGU-DE-0139-001</v>
      </c>
      <c r="H3197" s="123"/>
      <c r="I3197" s="123"/>
      <c r="J3197" s="123"/>
      <c r="K3197" s="123"/>
      <c r="L3197" s="123"/>
      <c r="M3197" s="123"/>
      <c r="N3197" s="126"/>
    </row>
    <row r="3198" spans="1:15" s="3" customFormat="1" ht="25.2">
      <c r="A3198" s="125" t="s">
        <v>1897</v>
      </c>
      <c r="B3198" s="123"/>
      <c r="C3198" s="123"/>
      <c r="D3198" s="123"/>
      <c r="E3198" s="123"/>
      <c r="F3198" s="167"/>
      <c r="G3198" s="123"/>
      <c r="H3198" s="123"/>
      <c r="I3198" s="123"/>
      <c r="J3198" s="123"/>
      <c r="K3198" s="123"/>
      <c r="L3198" s="123"/>
      <c r="M3198" s="123"/>
      <c r="N3198" s="126"/>
    </row>
    <row r="3199" spans="1:15" s="3" customFormat="1" ht="9.9" customHeight="1">
      <c r="A3199" s="125"/>
      <c r="B3199" s="123"/>
      <c r="C3199" s="123"/>
      <c r="D3199" s="123"/>
      <c r="E3199" s="123"/>
      <c r="F3199" s="167"/>
      <c r="G3199" s="123"/>
      <c r="H3199" s="123"/>
      <c r="I3199" s="123"/>
      <c r="J3199" s="123"/>
      <c r="K3199" s="123"/>
      <c r="L3199" s="123"/>
      <c r="M3199" s="123"/>
      <c r="N3199" s="126"/>
    </row>
    <row r="3200" spans="1:15" s="3" customFormat="1" ht="31.2" customHeight="1">
      <c r="A3200" s="127" t="s">
        <v>1898</v>
      </c>
      <c r="B3200" s="170"/>
      <c r="C3200" s="170"/>
      <c r="D3200" s="170"/>
      <c r="E3200" s="170"/>
      <c r="F3200" s="171" t="s">
        <v>1885</v>
      </c>
      <c r="G3200" s="597" t="e">
        <f>VLOOKUP(G3203, 'Detail PL'!$B$14:$Q$799,2)</f>
        <v>#N/A</v>
      </c>
      <c r="H3200" s="597"/>
      <c r="I3200" s="597"/>
      <c r="J3200" s="597"/>
      <c r="K3200" s="597"/>
      <c r="L3200" s="597"/>
      <c r="M3200" s="597"/>
      <c r="N3200" s="128"/>
    </row>
    <row r="3201" spans="1:14" s="3" customFormat="1" ht="25.2">
      <c r="A3201" s="127" t="s">
        <v>1899</v>
      </c>
      <c r="B3201" s="170"/>
      <c r="C3201" s="170"/>
      <c r="D3201" s="170"/>
      <c r="E3201" s="170"/>
      <c r="F3201" s="171"/>
      <c r="G3201" s="170"/>
      <c r="H3201" s="170"/>
      <c r="I3201" s="170"/>
      <c r="J3201" s="170"/>
      <c r="K3201" s="170"/>
      <c r="L3201" s="170"/>
      <c r="M3201" s="170"/>
      <c r="N3201" s="128"/>
    </row>
    <row r="3202" spans="1:14" s="3" customFormat="1" ht="9.9" customHeight="1">
      <c r="A3202" s="125"/>
      <c r="B3202" s="123"/>
      <c r="C3202" s="123"/>
      <c r="D3202" s="123"/>
      <c r="E3202" s="123"/>
      <c r="F3202" s="167"/>
      <c r="G3202" s="123"/>
      <c r="H3202" s="123"/>
      <c r="I3202" s="123"/>
      <c r="J3202" s="123"/>
      <c r="K3202" s="123"/>
      <c r="L3202" s="123"/>
      <c r="M3202" s="123"/>
      <c r="N3202" s="126"/>
    </row>
    <row r="3203" spans="1:14" s="3" customFormat="1" ht="25.2">
      <c r="A3203" s="125" t="s">
        <v>1900</v>
      </c>
      <c r="B3203" s="123"/>
      <c r="C3203" s="123"/>
      <c r="D3203" s="123"/>
      <c r="E3203" s="123"/>
      <c r="F3203" s="171" t="s">
        <v>1901</v>
      </c>
      <c r="G3203" s="604">
        <f t="shared" ref="G3203" si="89">G3168+1</f>
        <v>92</v>
      </c>
      <c r="H3203" s="604"/>
      <c r="I3203" s="604"/>
      <c r="J3203" s="604"/>
      <c r="K3203" s="604"/>
      <c r="L3203" s="123"/>
      <c r="M3203" s="123"/>
      <c r="N3203" s="126"/>
    </row>
    <row r="3204" spans="1:14" s="4" customFormat="1" ht="25.2">
      <c r="A3204" s="125" t="s">
        <v>1903</v>
      </c>
      <c r="B3204" s="123"/>
      <c r="C3204" s="123"/>
      <c r="D3204" s="123"/>
      <c r="E3204" s="123"/>
      <c r="F3204" s="167"/>
      <c r="G3204" s="167"/>
      <c r="H3204" s="123"/>
      <c r="I3204" s="123"/>
      <c r="J3204" s="123"/>
      <c r="K3204" s="123"/>
      <c r="L3204" s="123"/>
      <c r="M3204" s="123"/>
      <c r="N3204" s="126"/>
    </row>
    <row r="3205" spans="1:14" s="3" customFormat="1" ht="9.9" customHeight="1">
      <c r="A3205" s="125"/>
      <c r="B3205" s="123"/>
      <c r="C3205" s="123"/>
      <c r="D3205" s="123"/>
      <c r="E3205" s="123"/>
      <c r="F3205" s="167"/>
      <c r="G3205" s="167"/>
      <c r="H3205" s="123"/>
      <c r="I3205" s="123"/>
      <c r="J3205" s="123"/>
      <c r="K3205" s="123"/>
      <c r="L3205" s="123"/>
      <c r="M3205" s="123"/>
      <c r="N3205" s="126"/>
    </row>
    <row r="3206" spans="1:14" s="3" customFormat="1" ht="25.2">
      <c r="A3206" s="125" t="s">
        <v>1904</v>
      </c>
      <c r="B3206" s="123"/>
      <c r="C3206" s="123"/>
      <c r="D3206" s="123"/>
      <c r="E3206" s="123"/>
      <c r="F3206" s="167" t="s">
        <v>1896</v>
      </c>
      <c r="G3206" s="204" t="e">
        <f>VLOOKUP(G3203, 'Detail PL'!$B$14:$Q$799, 10)</f>
        <v>#N/A</v>
      </c>
      <c r="H3206" s="204" t="s">
        <v>1905</v>
      </c>
      <c r="I3206" s="204"/>
      <c r="J3206" s="204"/>
      <c r="K3206" s="123"/>
      <c r="L3206" s="123"/>
      <c r="M3206" s="123"/>
      <c r="N3206" s="126"/>
    </row>
    <row r="3207" spans="1:14" s="4" customFormat="1" ht="25.2">
      <c r="A3207" s="125" t="s">
        <v>1906</v>
      </c>
      <c r="B3207" s="123"/>
      <c r="C3207" s="123"/>
      <c r="D3207" s="123"/>
      <c r="E3207" s="123"/>
      <c r="F3207" s="167"/>
      <c r="G3207" s="167"/>
      <c r="H3207" s="167"/>
      <c r="I3207" s="123"/>
      <c r="J3207" s="123"/>
      <c r="K3207" s="123"/>
      <c r="L3207" s="123"/>
      <c r="M3207" s="123"/>
      <c r="N3207" s="126"/>
    </row>
    <row r="3208" spans="1:14" s="3" customFormat="1" ht="9.9" customHeight="1">
      <c r="A3208" s="125"/>
      <c r="B3208" s="123"/>
      <c r="C3208" s="123"/>
      <c r="D3208" s="123"/>
      <c r="E3208" s="123"/>
      <c r="F3208" s="167"/>
      <c r="G3208" s="167"/>
      <c r="H3208" s="167"/>
      <c r="I3208" s="123"/>
      <c r="J3208" s="123"/>
      <c r="K3208" s="123"/>
      <c r="L3208" s="123"/>
      <c r="M3208" s="123"/>
      <c r="N3208" s="126"/>
    </row>
    <row r="3209" spans="1:14" s="3" customFormat="1" ht="25.2">
      <c r="A3209" s="125" t="s">
        <v>1907</v>
      </c>
      <c r="B3209" s="123"/>
      <c r="C3209" s="123"/>
      <c r="D3209" s="123"/>
      <c r="E3209" s="123"/>
      <c r="F3209" s="167" t="s">
        <v>1896</v>
      </c>
      <c r="G3209" s="204" t="e">
        <f>VLOOKUP(G3203, 'Detail PL'!$B$14:$Q$799, 11)</f>
        <v>#N/A</v>
      </c>
      <c r="H3209" s="204" t="s">
        <v>1905</v>
      </c>
      <c r="I3209" s="204"/>
      <c r="J3209" s="204"/>
      <c r="K3209" s="123"/>
      <c r="L3209" s="123"/>
      <c r="M3209" s="123"/>
      <c r="N3209" s="126"/>
    </row>
    <row r="3210" spans="1:14" s="4" customFormat="1" ht="25.2">
      <c r="A3210" s="125" t="s">
        <v>1908</v>
      </c>
      <c r="B3210" s="123"/>
      <c r="C3210" s="123"/>
      <c r="D3210" s="123"/>
      <c r="E3210" s="123"/>
      <c r="F3210" s="167"/>
      <c r="G3210" s="167"/>
      <c r="H3210" s="123"/>
      <c r="I3210" s="123"/>
      <c r="J3210" s="123"/>
      <c r="K3210" s="123"/>
      <c r="L3210" s="123"/>
      <c r="M3210" s="123"/>
      <c r="N3210" s="126"/>
    </row>
    <row r="3211" spans="1:14" s="3" customFormat="1" ht="9.9" customHeight="1">
      <c r="A3211" s="125"/>
      <c r="B3211" s="123"/>
      <c r="C3211" s="123"/>
      <c r="D3211" s="123"/>
      <c r="E3211" s="123"/>
      <c r="F3211" s="167"/>
      <c r="G3211" s="167"/>
      <c r="H3211" s="123"/>
      <c r="I3211" s="123"/>
      <c r="J3211" s="123"/>
      <c r="K3211" s="123"/>
      <c r="L3211" s="123"/>
      <c r="M3211" s="123"/>
      <c r="N3211" s="126"/>
    </row>
    <row r="3212" spans="1:14" s="3" customFormat="1" ht="25.2">
      <c r="A3212" s="129" t="s">
        <v>1909</v>
      </c>
      <c r="B3212" s="123"/>
      <c r="C3212" s="123"/>
      <c r="D3212" s="123"/>
      <c r="E3212" s="123"/>
      <c r="F3212" s="167" t="s">
        <v>1896</v>
      </c>
      <c r="G3212" s="204" t="e">
        <f>VLOOKUP(G3203, 'Detail PL'!$B$14:$Q$799, 9)</f>
        <v>#N/A</v>
      </c>
      <c r="H3212" s="205" t="s">
        <v>1910</v>
      </c>
      <c r="I3212" s="203"/>
      <c r="J3212" s="203"/>
      <c r="K3212" s="172"/>
      <c r="L3212" s="123"/>
      <c r="M3212" s="123"/>
      <c r="N3212" s="126"/>
    </row>
    <row r="3213" spans="1:14" s="4" customFormat="1" ht="25.2">
      <c r="A3213" s="125" t="s">
        <v>1911</v>
      </c>
      <c r="B3213" s="123"/>
      <c r="C3213" s="123"/>
      <c r="D3213" s="123"/>
      <c r="E3213" s="123"/>
      <c r="F3213" s="167"/>
      <c r="G3213" s="167"/>
      <c r="H3213" s="123"/>
      <c r="I3213" s="123"/>
      <c r="J3213" s="123"/>
      <c r="K3213" s="123"/>
      <c r="L3213" s="123"/>
      <c r="M3213" s="123"/>
      <c r="N3213" s="126"/>
    </row>
    <row r="3214" spans="1:14" s="3" customFormat="1" ht="9.9" customHeight="1">
      <c r="A3214" s="125"/>
      <c r="B3214" s="123"/>
      <c r="C3214" s="123"/>
      <c r="D3214" s="123"/>
      <c r="E3214" s="123"/>
      <c r="F3214" s="167"/>
      <c r="G3214" s="167"/>
      <c r="H3214" s="123"/>
      <c r="I3214" s="123"/>
      <c r="J3214" s="123"/>
      <c r="K3214" s="123"/>
      <c r="L3214" s="123"/>
      <c r="M3214" s="123"/>
      <c r="N3214" s="126"/>
    </row>
    <row r="3215" spans="1:14" s="3" customFormat="1" ht="42" customHeight="1">
      <c r="A3215" s="125" t="s">
        <v>1912</v>
      </c>
      <c r="B3215" s="123"/>
      <c r="C3215" s="123"/>
      <c r="D3215" s="123"/>
      <c r="E3215" s="123"/>
      <c r="F3215" s="166" t="s">
        <v>1913</v>
      </c>
      <c r="G3215" s="595" t="s">
        <v>1914</v>
      </c>
      <c r="H3215" s="595"/>
      <c r="I3215" s="595"/>
      <c r="J3215" s="595"/>
      <c r="K3215" s="595"/>
      <c r="L3215" s="595"/>
      <c r="M3215" s="595"/>
      <c r="N3215" s="596"/>
    </row>
    <row r="3216" spans="1:14" s="4" customFormat="1" ht="25.8" thickBot="1">
      <c r="A3216" s="125" t="s">
        <v>1915</v>
      </c>
      <c r="B3216" s="123"/>
      <c r="C3216" s="123"/>
      <c r="D3216" s="123"/>
      <c r="E3216" s="123"/>
      <c r="F3216" s="167"/>
      <c r="G3216" s="167"/>
      <c r="H3216" s="123"/>
      <c r="I3216" s="123"/>
      <c r="J3216" s="123"/>
      <c r="K3216" s="123"/>
      <c r="L3216" s="123"/>
      <c r="M3216" s="123"/>
      <c r="N3216" s="126"/>
    </row>
    <row r="3217" spans="1:15" ht="21" customHeight="1">
      <c r="A3217" s="598" t="s">
        <v>1916</v>
      </c>
      <c r="B3217" s="599"/>
      <c r="C3217" s="599"/>
      <c r="D3217" s="599"/>
      <c r="E3217" s="599"/>
      <c r="F3217" s="599"/>
      <c r="G3217" s="599"/>
      <c r="H3217" s="599"/>
      <c r="I3217" s="599"/>
      <c r="J3217" s="599"/>
      <c r="K3217" s="599"/>
      <c r="L3217" s="599"/>
      <c r="M3217" s="599"/>
      <c r="N3217" s="600"/>
    </row>
    <row r="3218" spans="1:15" ht="25.5" customHeight="1" thickBot="1">
      <c r="A3218" s="601"/>
      <c r="B3218" s="602"/>
      <c r="C3218" s="602"/>
      <c r="D3218" s="602"/>
      <c r="E3218" s="602"/>
      <c r="F3218" s="602"/>
      <c r="G3218" s="602"/>
      <c r="H3218" s="602"/>
      <c r="I3218" s="602"/>
      <c r="J3218" s="602"/>
      <c r="K3218" s="602"/>
      <c r="L3218" s="602"/>
      <c r="M3218" s="602"/>
      <c r="N3218" s="603"/>
    </row>
    <row r="3219" spans="1:15" ht="25.5" customHeight="1">
      <c r="E3219" s="206"/>
      <c r="F3219" s="206"/>
      <c r="G3219" s="206"/>
      <c r="H3219" s="206"/>
      <c r="I3219" s="206"/>
      <c r="J3219" s="206"/>
      <c r="K3219" s="206"/>
    </row>
    <row r="3220" spans="1:15" ht="21.6" thickBot="1"/>
    <row r="3221" spans="1:15" ht="95.25" customHeight="1" thickBot="1">
      <c r="A3221" s="592" t="s">
        <v>1883</v>
      </c>
      <c r="B3221" s="593"/>
      <c r="C3221" s="593"/>
      <c r="D3221" s="593"/>
      <c r="E3221" s="593"/>
      <c r="F3221" s="593"/>
      <c r="G3221" s="593"/>
      <c r="H3221" s="593"/>
      <c r="I3221" s="593"/>
      <c r="J3221" s="593"/>
      <c r="K3221" s="593"/>
      <c r="L3221" s="593"/>
      <c r="M3221" s="593"/>
      <c r="N3221" s="594"/>
    </row>
    <row r="3222" spans="1:15" s="3" customFormat="1" ht="37.5" customHeight="1">
      <c r="A3222" s="134" t="s">
        <v>1884</v>
      </c>
      <c r="B3222" s="166"/>
      <c r="C3222" s="166"/>
      <c r="D3222" s="123"/>
      <c r="E3222" s="123"/>
      <c r="F3222" s="167" t="s">
        <v>1885</v>
      </c>
      <c r="G3222" s="167" t="s">
        <v>1886</v>
      </c>
      <c r="H3222" s="167"/>
      <c r="I3222" s="167"/>
      <c r="J3222" s="167"/>
      <c r="K3222" s="167"/>
      <c r="L3222" s="167"/>
      <c r="M3222" s="167"/>
      <c r="N3222" s="152"/>
      <c r="O3222" s="201"/>
    </row>
    <row r="3223" spans="1:15" s="4" customFormat="1" ht="25.2">
      <c r="A3223" s="125" t="s">
        <v>1887</v>
      </c>
      <c r="B3223" s="123"/>
      <c r="C3223" s="123"/>
      <c r="D3223" s="123"/>
      <c r="E3223" s="123"/>
      <c r="F3223" s="167"/>
      <c r="G3223" s="167" t="s">
        <v>1888</v>
      </c>
      <c r="H3223" s="167"/>
      <c r="I3223" s="167"/>
      <c r="J3223" s="167"/>
      <c r="K3223" s="167"/>
      <c r="L3223" s="167"/>
      <c r="M3223" s="167"/>
      <c r="N3223" s="152"/>
    </row>
    <row r="3224" spans="1:15" s="3" customFormat="1" ht="9.9" customHeight="1">
      <c r="A3224" s="125"/>
      <c r="B3224" s="123"/>
      <c r="C3224" s="123"/>
      <c r="D3224" s="123"/>
      <c r="E3224" s="123"/>
      <c r="F3224" s="167"/>
      <c r="G3224" s="123"/>
      <c r="H3224" s="123"/>
      <c r="I3224" s="123"/>
      <c r="J3224" s="123"/>
      <c r="K3224" s="123"/>
      <c r="L3224" s="123"/>
      <c r="M3224" s="123"/>
      <c r="N3224" s="126"/>
    </row>
    <row r="3225" spans="1:15" s="3" customFormat="1" ht="42.75" customHeight="1">
      <c r="A3225" s="125" t="s">
        <v>1889</v>
      </c>
      <c r="B3225" s="123"/>
      <c r="C3225" s="123"/>
      <c r="D3225" s="123"/>
      <c r="E3225" s="123"/>
      <c r="F3225" s="167" t="s">
        <v>1885</v>
      </c>
      <c r="G3225" s="167" t="str">
        <f>PL!$B$13</f>
        <v>Branch of JSC "Doosan Enerbility" in the Turkestan region</v>
      </c>
      <c r="H3225" s="123"/>
      <c r="I3225" s="123"/>
      <c r="J3225" s="123"/>
      <c r="K3225" s="123"/>
      <c r="L3225" s="123"/>
      <c r="M3225" s="123"/>
      <c r="N3225" s="126"/>
    </row>
    <row r="3226" spans="1:15" s="3" customFormat="1" ht="24" customHeight="1">
      <c r="A3226" s="125" t="s">
        <v>1890</v>
      </c>
      <c r="B3226" s="123"/>
      <c r="C3226" s="123"/>
      <c r="D3226" s="123"/>
      <c r="E3226" s="123"/>
      <c r="F3226" s="168"/>
      <c r="G3226" s="167" t="str">
        <f>PL!$B$14</f>
        <v>321 Tauke Khan Avenue, Turkestan region, Turkestan, Kazakhstan, 161200</v>
      </c>
      <c r="H3226" s="123"/>
      <c r="I3226" s="123"/>
      <c r="J3226" s="123"/>
      <c r="K3226" s="123"/>
      <c r="L3226" s="123"/>
      <c r="M3226" s="123"/>
      <c r="N3226" s="126"/>
    </row>
    <row r="3227" spans="1:15" s="4" customFormat="1" ht="25.2">
      <c r="A3227" s="125"/>
      <c r="B3227" s="123"/>
      <c r="C3227" s="123"/>
      <c r="D3227" s="123"/>
      <c r="E3227" s="123"/>
      <c r="F3227" s="168"/>
      <c r="G3227" s="167" t="str">
        <f>PL!$B$15</f>
        <v>BIN: 230741006561</v>
      </c>
      <c r="H3227" s="123"/>
      <c r="I3227" s="123"/>
      <c r="J3227" s="123"/>
      <c r="K3227" s="123"/>
      <c r="L3227" s="123"/>
      <c r="M3227" s="123"/>
      <c r="N3227" s="126"/>
    </row>
    <row r="3228" spans="1:15" s="3" customFormat="1" ht="9.9" customHeight="1">
      <c r="A3228" s="125"/>
      <c r="B3228" s="123"/>
      <c r="C3228" s="123"/>
      <c r="D3228" s="123"/>
      <c r="E3228" s="123"/>
      <c r="F3228" s="169"/>
      <c r="G3228" s="169"/>
      <c r="H3228" s="123"/>
      <c r="I3228" s="123"/>
      <c r="J3228" s="123"/>
      <c r="K3228" s="123"/>
      <c r="L3228" s="123"/>
      <c r="M3228" s="123"/>
      <c r="N3228" s="126"/>
    </row>
    <row r="3229" spans="1:15" s="3" customFormat="1" ht="25.2">
      <c r="A3229" s="125" t="s">
        <v>1891</v>
      </c>
      <c r="B3229" s="123"/>
      <c r="C3229" s="123"/>
      <c r="D3229" s="123"/>
      <c r="E3229" s="123"/>
      <c r="F3229" s="167" t="s">
        <v>1892</v>
      </c>
      <c r="G3229" s="123"/>
      <c r="H3229" s="123"/>
      <c r="I3229" s="123"/>
      <c r="J3229" s="123"/>
      <c r="K3229" s="123"/>
      <c r="L3229" s="123"/>
      <c r="M3229" s="123"/>
      <c r="N3229" s="126"/>
    </row>
    <row r="3230" spans="1:15" s="4" customFormat="1" ht="25.2">
      <c r="A3230" s="125" t="s">
        <v>1893</v>
      </c>
      <c r="B3230" s="123"/>
      <c r="C3230" s="123"/>
      <c r="D3230" s="123"/>
      <c r="E3230" s="123"/>
      <c r="F3230" s="167" t="s">
        <v>1894</v>
      </c>
      <c r="G3230" s="123"/>
      <c r="H3230" s="123"/>
      <c r="I3230" s="123"/>
      <c r="J3230" s="123"/>
      <c r="K3230" s="123"/>
      <c r="L3230" s="123"/>
      <c r="M3230" s="123"/>
      <c r="N3230" s="126"/>
    </row>
    <row r="3231" spans="1:15" s="3" customFormat="1" ht="9.9" customHeight="1">
      <c r="A3231" s="125"/>
      <c r="B3231" s="123"/>
      <c r="C3231" s="123"/>
      <c r="D3231" s="123"/>
      <c r="E3231" s="123"/>
      <c r="F3231" s="167"/>
      <c r="G3231" s="123"/>
      <c r="H3231" s="123"/>
      <c r="I3231" s="123"/>
      <c r="J3231" s="123"/>
      <c r="K3231" s="123"/>
      <c r="L3231" s="123"/>
      <c r="M3231" s="123"/>
      <c r="N3231" s="126"/>
    </row>
    <row r="3232" spans="1:15" s="3" customFormat="1" ht="25.2">
      <c r="A3232" s="125" t="s">
        <v>1895</v>
      </c>
      <c r="B3232" s="123"/>
      <c r="C3232" s="123"/>
      <c r="D3232" s="123"/>
      <c r="E3232" s="123"/>
      <c r="F3232" s="167" t="s">
        <v>1896</v>
      </c>
      <c r="G3232" s="167" t="str">
        <f>PL!$V$8</f>
        <v>PGU-DE-0139-001</v>
      </c>
      <c r="H3232" s="123"/>
      <c r="I3232" s="123"/>
      <c r="J3232" s="123"/>
      <c r="K3232" s="123"/>
      <c r="L3232" s="123"/>
      <c r="M3232" s="123"/>
      <c r="N3232" s="126"/>
    </row>
    <row r="3233" spans="1:14" s="3" customFormat="1" ht="25.2">
      <c r="A3233" s="125" t="s">
        <v>1897</v>
      </c>
      <c r="B3233" s="123"/>
      <c r="C3233" s="123"/>
      <c r="D3233" s="123"/>
      <c r="E3233" s="123"/>
      <c r="F3233" s="167"/>
      <c r="G3233" s="123"/>
      <c r="H3233" s="123"/>
      <c r="I3233" s="123"/>
      <c r="J3233" s="123"/>
      <c r="K3233" s="123"/>
      <c r="L3233" s="123"/>
      <c r="M3233" s="123"/>
      <c r="N3233" s="126"/>
    </row>
    <row r="3234" spans="1:14" s="3" customFormat="1" ht="9.9" customHeight="1">
      <c r="A3234" s="125"/>
      <c r="B3234" s="123"/>
      <c r="C3234" s="123"/>
      <c r="D3234" s="123"/>
      <c r="E3234" s="123"/>
      <c r="F3234" s="167"/>
      <c r="G3234" s="123"/>
      <c r="H3234" s="123"/>
      <c r="I3234" s="123"/>
      <c r="J3234" s="123"/>
      <c r="K3234" s="123"/>
      <c r="L3234" s="123"/>
      <c r="M3234" s="123"/>
      <c r="N3234" s="126"/>
    </row>
    <row r="3235" spans="1:14" s="3" customFormat="1" ht="31.2" customHeight="1">
      <c r="A3235" s="127" t="s">
        <v>1898</v>
      </c>
      <c r="B3235" s="170"/>
      <c r="C3235" s="170"/>
      <c r="D3235" s="170"/>
      <c r="E3235" s="170"/>
      <c r="F3235" s="171" t="s">
        <v>1885</v>
      </c>
      <c r="G3235" s="597" t="e">
        <f>VLOOKUP(G3238, 'Detail PL'!$B$14:$Q$799,2)</f>
        <v>#N/A</v>
      </c>
      <c r="H3235" s="597"/>
      <c r="I3235" s="597"/>
      <c r="J3235" s="597"/>
      <c r="K3235" s="597"/>
      <c r="L3235" s="597"/>
      <c r="M3235" s="597"/>
      <c r="N3235" s="128"/>
    </row>
    <row r="3236" spans="1:14" s="3" customFormat="1" ht="25.2">
      <c r="A3236" s="127" t="s">
        <v>1899</v>
      </c>
      <c r="B3236" s="170"/>
      <c r="C3236" s="170"/>
      <c r="D3236" s="170"/>
      <c r="E3236" s="170"/>
      <c r="F3236" s="171"/>
      <c r="G3236" s="170"/>
      <c r="H3236" s="170"/>
      <c r="I3236" s="170"/>
      <c r="J3236" s="170"/>
      <c r="K3236" s="170"/>
      <c r="L3236" s="170"/>
      <c r="M3236" s="170"/>
      <c r="N3236" s="128"/>
    </row>
    <row r="3237" spans="1:14" s="3" customFormat="1" ht="9.9" customHeight="1">
      <c r="A3237" s="125"/>
      <c r="B3237" s="123"/>
      <c r="C3237" s="123"/>
      <c r="D3237" s="123"/>
      <c r="E3237" s="123"/>
      <c r="F3237" s="167"/>
      <c r="G3237" s="123"/>
      <c r="H3237" s="123"/>
      <c r="I3237" s="123"/>
      <c r="J3237" s="123"/>
      <c r="K3237" s="123"/>
      <c r="L3237" s="123"/>
      <c r="M3237" s="123"/>
      <c r="N3237" s="126"/>
    </row>
    <row r="3238" spans="1:14" s="3" customFormat="1" ht="25.2">
      <c r="A3238" s="125" t="s">
        <v>1900</v>
      </c>
      <c r="B3238" s="123"/>
      <c r="C3238" s="123"/>
      <c r="D3238" s="123"/>
      <c r="E3238" s="123"/>
      <c r="F3238" s="171" t="s">
        <v>1901</v>
      </c>
      <c r="G3238" s="604">
        <f t="shared" ref="G3238" si="90">G3203+1</f>
        <v>93</v>
      </c>
      <c r="H3238" s="604"/>
      <c r="I3238" s="604"/>
      <c r="J3238" s="604"/>
      <c r="K3238" s="604"/>
      <c r="L3238" s="123"/>
      <c r="M3238" s="123"/>
      <c r="N3238" s="126"/>
    </row>
    <row r="3239" spans="1:14" s="4" customFormat="1" ht="25.2">
      <c r="A3239" s="125" t="s">
        <v>1903</v>
      </c>
      <c r="B3239" s="123"/>
      <c r="C3239" s="123"/>
      <c r="D3239" s="123"/>
      <c r="E3239" s="123"/>
      <c r="F3239" s="167"/>
      <c r="G3239" s="167"/>
      <c r="H3239" s="123"/>
      <c r="I3239" s="123"/>
      <c r="J3239" s="123"/>
      <c r="K3239" s="123"/>
      <c r="L3239" s="123"/>
      <c r="M3239" s="123"/>
      <c r="N3239" s="126"/>
    </row>
    <row r="3240" spans="1:14" s="3" customFormat="1" ht="9.9" customHeight="1">
      <c r="A3240" s="125"/>
      <c r="B3240" s="123"/>
      <c r="C3240" s="123"/>
      <c r="D3240" s="123"/>
      <c r="E3240" s="123"/>
      <c r="F3240" s="167"/>
      <c r="G3240" s="167"/>
      <c r="H3240" s="123"/>
      <c r="I3240" s="123"/>
      <c r="J3240" s="123"/>
      <c r="K3240" s="123"/>
      <c r="L3240" s="123"/>
      <c r="M3240" s="123"/>
      <c r="N3240" s="126"/>
    </row>
    <row r="3241" spans="1:14" s="3" customFormat="1" ht="25.2">
      <c r="A3241" s="125" t="s">
        <v>1904</v>
      </c>
      <c r="B3241" s="123"/>
      <c r="C3241" s="123"/>
      <c r="D3241" s="123"/>
      <c r="E3241" s="123"/>
      <c r="F3241" s="167" t="s">
        <v>1896</v>
      </c>
      <c r="G3241" s="204" t="e">
        <f>VLOOKUP(G3238, 'Detail PL'!$B$14:$Q$799, 10)</f>
        <v>#N/A</v>
      </c>
      <c r="H3241" s="204" t="s">
        <v>1905</v>
      </c>
      <c r="I3241" s="204"/>
      <c r="J3241" s="204"/>
      <c r="K3241" s="123"/>
      <c r="L3241" s="123"/>
      <c r="M3241" s="123"/>
      <c r="N3241" s="126"/>
    </row>
    <row r="3242" spans="1:14" s="4" customFormat="1" ht="25.2">
      <c r="A3242" s="125" t="s">
        <v>1906</v>
      </c>
      <c r="B3242" s="123"/>
      <c r="C3242" s="123"/>
      <c r="D3242" s="123"/>
      <c r="E3242" s="123"/>
      <c r="F3242" s="167"/>
      <c r="G3242" s="167"/>
      <c r="H3242" s="167"/>
      <c r="I3242" s="123"/>
      <c r="J3242" s="123"/>
      <c r="K3242" s="123"/>
      <c r="L3242" s="123"/>
      <c r="M3242" s="123"/>
      <c r="N3242" s="126"/>
    </row>
    <row r="3243" spans="1:14" s="3" customFormat="1" ht="9.9" customHeight="1">
      <c r="A3243" s="125"/>
      <c r="B3243" s="123"/>
      <c r="C3243" s="123"/>
      <c r="D3243" s="123"/>
      <c r="E3243" s="123"/>
      <c r="F3243" s="167"/>
      <c r="G3243" s="167"/>
      <c r="H3243" s="167"/>
      <c r="I3243" s="123"/>
      <c r="J3243" s="123"/>
      <c r="K3243" s="123"/>
      <c r="L3243" s="123"/>
      <c r="M3243" s="123"/>
      <c r="N3243" s="126"/>
    </row>
    <row r="3244" spans="1:14" s="3" customFormat="1" ht="25.2">
      <c r="A3244" s="125" t="s">
        <v>1907</v>
      </c>
      <c r="B3244" s="123"/>
      <c r="C3244" s="123"/>
      <c r="D3244" s="123"/>
      <c r="E3244" s="123"/>
      <c r="F3244" s="167" t="s">
        <v>1896</v>
      </c>
      <c r="G3244" s="204" t="e">
        <f>VLOOKUP(G3238, 'Detail PL'!$B$14:$Q$799, 11)</f>
        <v>#N/A</v>
      </c>
      <c r="H3244" s="204" t="s">
        <v>1905</v>
      </c>
      <c r="I3244" s="204"/>
      <c r="J3244" s="204"/>
      <c r="K3244" s="123"/>
      <c r="L3244" s="123"/>
      <c r="M3244" s="123"/>
      <c r="N3244" s="126"/>
    </row>
    <row r="3245" spans="1:14" s="4" customFormat="1" ht="25.2">
      <c r="A3245" s="125" t="s">
        <v>1908</v>
      </c>
      <c r="B3245" s="123"/>
      <c r="C3245" s="123"/>
      <c r="D3245" s="123"/>
      <c r="E3245" s="123"/>
      <c r="F3245" s="167"/>
      <c r="G3245" s="167"/>
      <c r="H3245" s="123"/>
      <c r="I3245" s="123"/>
      <c r="J3245" s="123"/>
      <c r="K3245" s="123"/>
      <c r="L3245" s="123"/>
      <c r="M3245" s="123"/>
      <c r="N3245" s="126"/>
    </row>
    <row r="3246" spans="1:14" s="3" customFormat="1" ht="9.9" customHeight="1">
      <c r="A3246" s="125"/>
      <c r="B3246" s="123"/>
      <c r="C3246" s="123"/>
      <c r="D3246" s="123"/>
      <c r="E3246" s="123"/>
      <c r="F3246" s="167"/>
      <c r="G3246" s="167"/>
      <c r="H3246" s="123"/>
      <c r="I3246" s="123"/>
      <c r="J3246" s="123"/>
      <c r="K3246" s="123"/>
      <c r="L3246" s="123"/>
      <c r="M3246" s="123"/>
      <c r="N3246" s="126"/>
    </row>
    <row r="3247" spans="1:14" s="3" customFormat="1" ht="25.2">
      <c r="A3247" s="129" t="s">
        <v>1909</v>
      </c>
      <c r="B3247" s="123"/>
      <c r="C3247" s="123"/>
      <c r="D3247" s="123"/>
      <c r="E3247" s="123"/>
      <c r="F3247" s="167" t="s">
        <v>1896</v>
      </c>
      <c r="G3247" s="204" t="e">
        <f>VLOOKUP(G3238, 'Detail PL'!$B$14:$Q$799, 9)</f>
        <v>#N/A</v>
      </c>
      <c r="H3247" s="205" t="s">
        <v>1910</v>
      </c>
      <c r="I3247" s="203"/>
      <c r="J3247" s="203"/>
      <c r="K3247" s="172"/>
      <c r="L3247" s="123"/>
      <c r="M3247" s="123"/>
      <c r="N3247" s="126"/>
    </row>
    <row r="3248" spans="1:14" s="4" customFormat="1" ht="25.2">
      <c r="A3248" s="125" t="s">
        <v>1911</v>
      </c>
      <c r="B3248" s="123"/>
      <c r="C3248" s="123"/>
      <c r="D3248" s="123"/>
      <c r="E3248" s="123"/>
      <c r="F3248" s="167"/>
      <c r="G3248" s="167"/>
      <c r="H3248" s="123"/>
      <c r="I3248" s="123"/>
      <c r="J3248" s="123"/>
      <c r="K3248" s="123"/>
      <c r="L3248" s="123"/>
      <c r="M3248" s="123"/>
      <c r="N3248" s="126"/>
    </row>
    <row r="3249" spans="1:15" s="3" customFormat="1" ht="9.9" customHeight="1">
      <c r="A3249" s="125"/>
      <c r="B3249" s="123"/>
      <c r="C3249" s="123"/>
      <c r="D3249" s="123"/>
      <c r="E3249" s="123"/>
      <c r="F3249" s="167"/>
      <c r="G3249" s="167"/>
      <c r="H3249" s="123"/>
      <c r="I3249" s="123"/>
      <c r="J3249" s="123"/>
      <c r="K3249" s="123"/>
      <c r="L3249" s="123"/>
      <c r="M3249" s="123"/>
      <c r="N3249" s="126"/>
    </row>
    <row r="3250" spans="1:15" s="3" customFormat="1" ht="42" customHeight="1">
      <c r="A3250" s="125" t="s">
        <v>1912</v>
      </c>
      <c r="B3250" s="123"/>
      <c r="C3250" s="123"/>
      <c r="D3250" s="123"/>
      <c r="E3250" s="123"/>
      <c r="F3250" s="166" t="s">
        <v>1913</v>
      </c>
      <c r="G3250" s="595" t="s">
        <v>1914</v>
      </c>
      <c r="H3250" s="595"/>
      <c r="I3250" s="595"/>
      <c r="J3250" s="595"/>
      <c r="K3250" s="595"/>
      <c r="L3250" s="595"/>
      <c r="M3250" s="595"/>
      <c r="N3250" s="596"/>
    </row>
    <row r="3251" spans="1:15" s="4" customFormat="1" ht="25.8" thickBot="1">
      <c r="A3251" s="125" t="s">
        <v>1915</v>
      </c>
      <c r="B3251" s="123"/>
      <c r="C3251" s="123"/>
      <c r="D3251" s="123"/>
      <c r="E3251" s="123"/>
      <c r="F3251" s="167"/>
      <c r="G3251" s="167"/>
      <c r="H3251" s="123"/>
      <c r="I3251" s="123"/>
      <c r="J3251" s="123"/>
      <c r="K3251" s="123"/>
      <c r="L3251" s="123"/>
      <c r="M3251" s="123"/>
      <c r="N3251" s="126"/>
    </row>
    <row r="3252" spans="1:15" ht="21" customHeight="1">
      <c r="A3252" s="598" t="s">
        <v>1916</v>
      </c>
      <c r="B3252" s="599"/>
      <c r="C3252" s="599"/>
      <c r="D3252" s="599"/>
      <c r="E3252" s="599"/>
      <c r="F3252" s="599"/>
      <c r="G3252" s="599"/>
      <c r="H3252" s="599"/>
      <c r="I3252" s="599"/>
      <c r="J3252" s="599"/>
      <c r="K3252" s="599"/>
      <c r="L3252" s="599"/>
      <c r="M3252" s="599"/>
      <c r="N3252" s="600"/>
    </row>
    <row r="3253" spans="1:15" ht="25.5" customHeight="1" thickBot="1">
      <c r="A3253" s="601"/>
      <c r="B3253" s="602"/>
      <c r="C3253" s="602"/>
      <c r="D3253" s="602"/>
      <c r="E3253" s="602"/>
      <c r="F3253" s="602"/>
      <c r="G3253" s="602"/>
      <c r="H3253" s="602"/>
      <c r="I3253" s="602"/>
      <c r="J3253" s="602"/>
      <c r="K3253" s="602"/>
      <c r="L3253" s="602"/>
      <c r="M3253" s="602"/>
      <c r="N3253" s="603"/>
    </row>
    <row r="3254" spans="1:15" ht="25.5" customHeight="1">
      <c r="E3254" s="206"/>
      <c r="F3254" s="206"/>
      <c r="G3254" s="206"/>
      <c r="H3254" s="206"/>
      <c r="I3254" s="206"/>
      <c r="J3254" s="206"/>
      <c r="K3254" s="206"/>
    </row>
    <row r="3255" spans="1:15" ht="21.6" thickBot="1"/>
    <row r="3256" spans="1:15" ht="95.25" customHeight="1" thickBot="1">
      <c r="A3256" s="592" t="s">
        <v>1883</v>
      </c>
      <c r="B3256" s="593"/>
      <c r="C3256" s="593"/>
      <c r="D3256" s="593"/>
      <c r="E3256" s="593"/>
      <c r="F3256" s="593"/>
      <c r="G3256" s="593"/>
      <c r="H3256" s="593"/>
      <c r="I3256" s="593"/>
      <c r="J3256" s="593"/>
      <c r="K3256" s="593"/>
      <c r="L3256" s="593"/>
      <c r="M3256" s="593"/>
      <c r="N3256" s="594"/>
    </row>
    <row r="3257" spans="1:15" s="3" customFormat="1" ht="37.5" customHeight="1">
      <c r="A3257" s="134" t="s">
        <v>1884</v>
      </c>
      <c r="B3257" s="166"/>
      <c r="C3257" s="166"/>
      <c r="D3257" s="123"/>
      <c r="E3257" s="123"/>
      <c r="F3257" s="167" t="s">
        <v>1885</v>
      </c>
      <c r="G3257" s="167" t="s">
        <v>1886</v>
      </c>
      <c r="H3257" s="167"/>
      <c r="I3257" s="167"/>
      <c r="J3257" s="167"/>
      <c r="K3257" s="167"/>
      <c r="L3257" s="167"/>
      <c r="M3257" s="167"/>
      <c r="N3257" s="152"/>
      <c r="O3257" s="201"/>
    </row>
    <row r="3258" spans="1:15" s="4" customFormat="1" ht="25.2">
      <c r="A3258" s="125" t="s">
        <v>1887</v>
      </c>
      <c r="B3258" s="123"/>
      <c r="C3258" s="123"/>
      <c r="D3258" s="123"/>
      <c r="E3258" s="123"/>
      <c r="F3258" s="167"/>
      <c r="G3258" s="167" t="s">
        <v>1888</v>
      </c>
      <c r="H3258" s="167"/>
      <c r="I3258" s="167"/>
      <c r="J3258" s="167"/>
      <c r="K3258" s="167"/>
      <c r="L3258" s="167"/>
      <c r="M3258" s="167"/>
      <c r="N3258" s="152"/>
    </row>
    <row r="3259" spans="1:15" s="3" customFormat="1" ht="9.9" customHeight="1">
      <c r="A3259" s="125"/>
      <c r="B3259" s="123"/>
      <c r="C3259" s="123"/>
      <c r="D3259" s="123"/>
      <c r="E3259" s="123"/>
      <c r="F3259" s="167"/>
      <c r="G3259" s="123"/>
      <c r="H3259" s="123"/>
      <c r="I3259" s="123"/>
      <c r="J3259" s="123"/>
      <c r="K3259" s="123"/>
      <c r="L3259" s="123"/>
      <c r="M3259" s="123"/>
      <c r="N3259" s="126"/>
    </row>
    <row r="3260" spans="1:15" s="3" customFormat="1" ht="42.75" customHeight="1">
      <c r="A3260" s="125" t="s">
        <v>1889</v>
      </c>
      <c r="B3260" s="123"/>
      <c r="C3260" s="123"/>
      <c r="D3260" s="123"/>
      <c r="E3260" s="123"/>
      <c r="F3260" s="167" t="s">
        <v>1885</v>
      </c>
      <c r="G3260" s="167" t="str">
        <f>PL!$B$13</f>
        <v>Branch of JSC "Doosan Enerbility" in the Turkestan region</v>
      </c>
      <c r="H3260" s="123"/>
      <c r="I3260" s="123"/>
      <c r="J3260" s="123"/>
      <c r="K3260" s="123"/>
      <c r="L3260" s="123"/>
      <c r="M3260" s="123"/>
      <c r="N3260" s="126"/>
    </row>
    <row r="3261" spans="1:15" s="3" customFormat="1" ht="24" customHeight="1">
      <c r="A3261" s="125" t="s">
        <v>1890</v>
      </c>
      <c r="B3261" s="123"/>
      <c r="C3261" s="123"/>
      <c r="D3261" s="123"/>
      <c r="E3261" s="123"/>
      <c r="F3261" s="168"/>
      <c r="G3261" s="167" t="str">
        <f>PL!$B$14</f>
        <v>321 Tauke Khan Avenue, Turkestan region, Turkestan, Kazakhstan, 161200</v>
      </c>
      <c r="H3261" s="123"/>
      <c r="I3261" s="123"/>
      <c r="J3261" s="123"/>
      <c r="K3261" s="123"/>
      <c r="L3261" s="123"/>
      <c r="M3261" s="123"/>
      <c r="N3261" s="126"/>
    </row>
    <row r="3262" spans="1:15" s="4" customFormat="1" ht="25.2">
      <c r="A3262" s="125"/>
      <c r="B3262" s="123"/>
      <c r="C3262" s="123"/>
      <c r="D3262" s="123"/>
      <c r="E3262" s="123"/>
      <c r="F3262" s="168"/>
      <c r="G3262" s="167" t="str">
        <f>PL!$B$15</f>
        <v>BIN: 230741006561</v>
      </c>
      <c r="H3262" s="123"/>
      <c r="I3262" s="123"/>
      <c r="J3262" s="123"/>
      <c r="K3262" s="123"/>
      <c r="L3262" s="123"/>
      <c r="M3262" s="123"/>
      <c r="N3262" s="126"/>
    </row>
    <row r="3263" spans="1:15" s="3" customFormat="1" ht="9.9" customHeight="1">
      <c r="A3263" s="125"/>
      <c r="B3263" s="123"/>
      <c r="C3263" s="123"/>
      <c r="D3263" s="123"/>
      <c r="E3263" s="123"/>
      <c r="F3263" s="169"/>
      <c r="G3263" s="169"/>
      <c r="H3263" s="123"/>
      <c r="I3263" s="123"/>
      <c r="J3263" s="123"/>
      <c r="K3263" s="123"/>
      <c r="L3263" s="123"/>
      <c r="M3263" s="123"/>
      <c r="N3263" s="126"/>
    </row>
    <row r="3264" spans="1:15" s="3" customFormat="1" ht="25.2">
      <c r="A3264" s="125" t="s">
        <v>1891</v>
      </c>
      <c r="B3264" s="123"/>
      <c r="C3264" s="123"/>
      <c r="D3264" s="123"/>
      <c r="E3264" s="123"/>
      <c r="F3264" s="167" t="s">
        <v>1892</v>
      </c>
      <c r="G3264" s="123"/>
      <c r="H3264" s="123"/>
      <c r="I3264" s="123"/>
      <c r="J3264" s="123"/>
      <c r="K3264" s="123"/>
      <c r="L3264" s="123"/>
      <c r="M3264" s="123"/>
      <c r="N3264" s="126"/>
    </row>
    <row r="3265" spans="1:14" s="4" customFormat="1" ht="25.2">
      <c r="A3265" s="125" t="s">
        <v>1893</v>
      </c>
      <c r="B3265" s="123"/>
      <c r="C3265" s="123"/>
      <c r="D3265" s="123"/>
      <c r="E3265" s="123"/>
      <c r="F3265" s="167" t="s">
        <v>1894</v>
      </c>
      <c r="G3265" s="123"/>
      <c r="H3265" s="123"/>
      <c r="I3265" s="123"/>
      <c r="J3265" s="123"/>
      <c r="K3265" s="123"/>
      <c r="L3265" s="123"/>
      <c r="M3265" s="123"/>
      <c r="N3265" s="126"/>
    </row>
    <row r="3266" spans="1:14" s="3" customFormat="1" ht="9.9" customHeight="1">
      <c r="A3266" s="125"/>
      <c r="B3266" s="123"/>
      <c r="C3266" s="123"/>
      <c r="D3266" s="123"/>
      <c r="E3266" s="123"/>
      <c r="F3266" s="167"/>
      <c r="G3266" s="123"/>
      <c r="H3266" s="123"/>
      <c r="I3266" s="123"/>
      <c r="J3266" s="123"/>
      <c r="K3266" s="123"/>
      <c r="L3266" s="123"/>
      <c r="M3266" s="123"/>
      <c r="N3266" s="126"/>
    </row>
    <row r="3267" spans="1:14" s="3" customFormat="1" ht="25.2">
      <c r="A3267" s="125" t="s">
        <v>1895</v>
      </c>
      <c r="B3267" s="123"/>
      <c r="C3267" s="123"/>
      <c r="D3267" s="123"/>
      <c r="E3267" s="123"/>
      <c r="F3267" s="167" t="s">
        <v>1896</v>
      </c>
      <c r="G3267" s="167" t="str">
        <f>PL!$V$8</f>
        <v>PGU-DE-0139-001</v>
      </c>
      <c r="H3267" s="123"/>
      <c r="I3267" s="123"/>
      <c r="J3267" s="123"/>
      <c r="K3267" s="123"/>
      <c r="L3267" s="123"/>
      <c r="M3267" s="123"/>
      <c r="N3267" s="126"/>
    </row>
    <row r="3268" spans="1:14" s="3" customFormat="1" ht="25.2">
      <c r="A3268" s="125" t="s">
        <v>1897</v>
      </c>
      <c r="B3268" s="123"/>
      <c r="C3268" s="123"/>
      <c r="D3268" s="123"/>
      <c r="E3268" s="123"/>
      <c r="F3268" s="167"/>
      <c r="G3268" s="123"/>
      <c r="H3268" s="123"/>
      <c r="I3268" s="123"/>
      <c r="J3268" s="123"/>
      <c r="K3268" s="123"/>
      <c r="L3268" s="123"/>
      <c r="M3268" s="123"/>
      <c r="N3268" s="126"/>
    </row>
    <row r="3269" spans="1:14" s="3" customFormat="1" ht="9.9" customHeight="1">
      <c r="A3269" s="125"/>
      <c r="B3269" s="123"/>
      <c r="C3269" s="123"/>
      <c r="D3269" s="123"/>
      <c r="E3269" s="123"/>
      <c r="F3269" s="167"/>
      <c r="G3269" s="123"/>
      <c r="H3269" s="123"/>
      <c r="I3269" s="123"/>
      <c r="J3269" s="123"/>
      <c r="K3269" s="123"/>
      <c r="L3269" s="123"/>
      <c r="M3269" s="123"/>
      <c r="N3269" s="126"/>
    </row>
    <row r="3270" spans="1:14" s="3" customFormat="1" ht="31.2" customHeight="1">
      <c r="A3270" s="127" t="s">
        <v>1898</v>
      </c>
      <c r="B3270" s="170"/>
      <c r="C3270" s="170"/>
      <c r="D3270" s="170"/>
      <c r="E3270" s="170"/>
      <c r="F3270" s="171" t="s">
        <v>1885</v>
      </c>
      <c r="G3270" s="597" t="e">
        <f>VLOOKUP(G3273, 'Detail PL'!$B$14:$Q$799,2)</f>
        <v>#N/A</v>
      </c>
      <c r="H3270" s="597"/>
      <c r="I3270" s="597"/>
      <c r="J3270" s="597"/>
      <c r="K3270" s="597"/>
      <c r="L3270" s="597"/>
      <c r="M3270" s="597"/>
      <c r="N3270" s="128"/>
    </row>
    <row r="3271" spans="1:14" s="3" customFormat="1" ht="25.2">
      <c r="A3271" s="127" t="s">
        <v>1899</v>
      </c>
      <c r="B3271" s="170"/>
      <c r="C3271" s="170"/>
      <c r="D3271" s="170"/>
      <c r="E3271" s="170"/>
      <c r="F3271" s="171"/>
      <c r="G3271" s="170"/>
      <c r="H3271" s="170"/>
      <c r="I3271" s="170"/>
      <c r="J3271" s="170"/>
      <c r="K3271" s="170"/>
      <c r="L3271" s="170"/>
      <c r="M3271" s="170"/>
      <c r="N3271" s="128"/>
    </row>
    <row r="3272" spans="1:14" s="3" customFormat="1" ht="9.9" customHeight="1">
      <c r="A3272" s="125"/>
      <c r="B3272" s="123"/>
      <c r="C3272" s="123"/>
      <c r="D3272" s="123"/>
      <c r="E3272" s="123"/>
      <c r="F3272" s="167"/>
      <c r="G3272" s="123"/>
      <c r="H3272" s="123"/>
      <c r="I3272" s="123"/>
      <c r="J3272" s="123"/>
      <c r="K3272" s="123"/>
      <c r="L3272" s="123"/>
      <c r="M3272" s="123"/>
      <c r="N3272" s="126"/>
    </row>
    <row r="3273" spans="1:14" s="3" customFormat="1" ht="25.2">
      <c r="A3273" s="125" t="s">
        <v>1900</v>
      </c>
      <c r="B3273" s="123"/>
      <c r="C3273" s="123"/>
      <c r="D3273" s="123"/>
      <c r="E3273" s="123"/>
      <c r="F3273" s="171" t="s">
        <v>1901</v>
      </c>
      <c r="G3273" s="604">
        <f t="shared" ref="G3273" si="91">G3238+1</f>
        <v>94</v>
      </c>
      <c r="H3273" s="604"/>
      <c r="I3273" s="604"/>
      <c r="J3273" s="604"/>
      <c r="K3273" s="604"/>
      <c r="L3273" s="123"/>
      <c r="M3273" s="123"/>
      <c r="N3273" s="126"/>
    </row>
    <row r="3274" spans="1:14" s="4" customFormat="1" ht="25.2">
      <c r="A3274" s="125" t="s">
        <v>1903</v>
      </c>
      <c r="B3274" s="123"/>
      <c r="C3274" s="123"/>
      <c r="D3274" s="123"/>
      <c r="E3274" s="123"/>
      <c r="F3274" s="167"/>
      <c r="G3274" s="167"/>
      <c r="H3274" s="123"/>
      <c r="I3274" s="123"/>
      <c r="J3274" s="123"/>
      <c r="K3274" s="123"/>
      <c r="L3274" s="123"/>
      <c r="M3274" s="123"/>
      <c r="N3274" s="126"/>
    </row>
    <row r="3275" spans="1:14" s="3" customFormat="1" ht="9.9" customHeight="1">
      <c r="A3275" s="125"/>
      <c r="B3275" s="123"/>
      <c r="C3275" s="123"/>
      <c r="D3275" s="123"/>
      <c r="E3275" s="123"/>
      <c r="F3275" s="167"/>
      <c r="G3275" s="167"/>
      <c r="H3275" s="123"/>
      <c r="I3275" s="123"/>
      <c r="J3275" s="123"/>
      <c r="K3275" s="123"/>
      <c r="L3275" s="123"/>
      <c r="M3275" s="123"/>
      <c r="N3275" s="126"/>
    </row>
    <row r="3276" spans="1:14" s="3" customFormat="1" ht="25.2">
      <c r="A3276" s="125" t="s">
        <v>1904</v>
      </c>
      <c r="B3276" s="123"/>
      <c r="C3276" s="123"/>
      <c r="D3276" s="123"/>
      <c r="E3276" s="123"/>
      <c r="F3276" s="167" t="s">
        <v>1896</v>
      </c>
      <c r="G3276" s="204" t="e">
        <f>VLOOKUP(G3273, 'Detail PL'!$B$14:$Q$799, 10)</f>
        <v>#N/A</v>
      </c>
      <c r="H3276" s="204" t="s">
        <v>1905</v>
      </c>
      <c r="I3276" s="204"/>
      <c r="J3276" s="204"/>
      <c r="K3276" s="123"/>
      <c r="L3276" s="123"/>
      <c r="M3276" s="123"/>
      <c r="N3276" s="126"/>
    </row>
    <row r="3277" spans="1:14" s="4" customFormat="1" ht="25.2">
      <c r="A3277" s="125" t="s">
        <v>1906</v>
      </c>
      <c r="B3277" s="123"/>
      <c r="C3277" s="123"/>
      <c r="D3277" s="123"/>
      <c r="E3277" s="123"/>
      <c r="F3277" s="167"/>
      <c r="G3277" s="167"/>
      <c r="H3277" s="167"/>
      <c r="I3277" s="123"/>
      <c r="J3277" s="123"/>
      <c r="K3277" s="123"/>
      <c r="L3277" s="123"/>
      <c r="M3277" s="123"/>
      <c r="N3277" s="126"/>
    </row>
    <row r="3278" spans="1:14" s="3" customFormat="1" ht="9.9" customHeight="1">
      <c r="A3278" s="125"/>
      <c r="B3278" s="123"/>
      <c r="C3278" s="123"/>
      <c r="D3278" s="123"/>
      <c r="E3278" s="123"/>
      <c r="F3278" s="167"/>
      <c r="G3278" s="167"/>
      <c r="H3278" s="167"/>
      <c r="I3278" s="123"/>
      <c r="J3278" s="123"/>
      <c r="K3278" s="123"/>
      <c r="L3278" s="123"/>
      <c r="M3278" s="123"/>
      <c r="N3278" s="126"/>
    </row>
    <row r="3279" spans="1:14" s="3" customFormat="1" ht="25.2">
      <c r="A3279" s="125" t="s">
        <v>1907</v>
      </c>
      <c r="B3279" s="123"/>
      <c r="C3279" s="123"/>
      <c r="D3279" s="123"/>
      <c r="E3279" s="123"/>
      <c r="F3279" s="167" t="s">
        <v>1896</v>
      </c>
      <c r="G3279" s="204" t="e">
        <f>VLOOKUP(G3273, 'Detail PL'!$B$14:$Q$799, 11)</f>
        <v>#N/A</v>
      </c>
      <c r="H3279" s="204" t="s">
        <v>1905</v>
      </c>
      <c r="I3279" s="204"/>
      <c r="J3279" s="204"/>
      <c r="K3279" s="123"/>
      <c r="L3279" s="123"/>
      <c r="M3279" s="123"/>
      <c r="N3279" s="126"/>
    </row>
    <row r="3280" spans="1:14" s="4" customFormat="1" ht="25.2">
      <c r="A3280" s="125" t="s">
        <v>1908</v>
      </c>
      <c r="B3280" s="123"/>
      <c r="C3280" s="123"/>
      <c r="D3280" s="123"/>
      <c r="E3280" s="123"/>
      <c r="F3280" s="167"/>
      <c r="G3280" s="167"/>
      <c r="H3280" s="123"/>
      <c r="I3280" s="123"/>
      <c r="J3280" s="123"/>
      <c r="K3280" s="123"/>
      <c r="L3280" s="123"/>
      <c r="M3280" s="123"/>
      <c r="N3280" s="126"/>
    </row>
    <row r="3281" spans="1:15" s="3" customFormat="1" ht="9.9" customHeight="1">
      <c r="A3281" s="125"/>
      <c r="B3281" s="123"/>
      <c r="C3281" s="123"/>
      <c r="D3281" s="123"/>
      <c r="E3281" s="123"/>
      <c r="F3281" s="167"/>
      <c r="G3281" s="167"/>
      <c r="H3281" s="123"/>
      <c r="I3281" s="123"/>
      <c r="J3281" s="123"/>
      <c r="K3281" s="123"/>
      <c r="L3281" s="123"/>
      <c r="M3281" s="123"/>
      <c r="N3281" s="126"/>
    </row>
    <row r="3282" spans="1:15" s="3" customFormat="1" ht="25.2">
      <c r="A3282" s="129" t="s">
        <v>1909</v>
      </c>
      <c r="B3282" s="123"/>
      <c r="C3282" s="123"/>
      <c r="D3282" s="123"/>
      <c r="E3282" s="123"/>
      <c r="F3282" s="167" t="s">
        <v>1896</v>
      </c>
      <c r="G3282" s="204" t="e">
        <f>VLOOKUP(G3273, 'Detail PL'!$B$14:$Q$799, 9)</f>
        <v>#N/A</v>
      </c>
      <c r="H3282" s="205" t="s">
        <v>1910</v>
      </c>
      <c r="I3282" s="203"/>
      <c r="J3282" s="203"/>
      <c r="K3282" s="172"/>
      <c r="L3282" s="123"/>
      <c r="M3282" s="123"/>
      <c r="N3282" s="126"/>
    </row>
    <row r="3283" spans="1:15" s="4" customFormat="1" ht="25.2">
      <c r="A3283" s="125" t="s">
        <v>1911</v>
      </c>
      <c r="B3283" s="123"/>
      <c r="C3283" s="123"/>
      <c r="D3283" s="123"/>
      <c r="E3283" s="123"/>
      <c r="F3283" s="167"/>
      <c r="G3283" s="167"/>
      <c r="H3283" s="123"/>
      <c r="I3283" s="123"/>
      <c r="J3283" s="123"/>
      <c r="K3283" s="123"/>
      <c r="L3283" s="123"/>
      <c r="M3283" s="123"/>
      <c r="N3283" s="126"/>
    </row>
    <row r="3284" spans="1:15" s="3" customFormat="1" ht="9.9" customHeight="1">
      <c r="A3284" s="125"/>
      <c r="B3284" s="123"/>
      <c r="C3284" s="123"/>
      <c r="D3284" s="123"/>
      <c r="E3284" s="123"/>
      <c r="F3284" s="167"/>
      <c r="G3284" s="167"/>
      <c r="H3284" s="123"/>
      <c r="I3284" s="123"/>
      <c r="J3284" s="123"/>
      <c r="K3284" s="123"/>
      <c r="L3284" s="123"/>
      <c r="M3284" s="123"/>
      <c r="N3284" s="126"/>
    </row>
    <row r="3285" spans="1:15" s="3" customFormat="1" ht="42" customHeight="1">
      <c r="A3285" s="125" t="s">
        <v>1912</v>
      </c>
      <c r="B3285" s="123"/>
      <c r="C3285" s="123"/>
      <c r="D3285" s="123"/>
      <c r="E3285" s="123"/>
      <c r="F3285" s="166" t="s">
        <v>1913</v>
      </c>
      <c r="G3285" s="595" t="s">
        <v>1914</v>
      </c>
      <c r="H3285" s="595"/>
      <c r="I3285" s="595"/>
      <c r="J3285" s="595"/>
      <c r="K3285" s="595"/>
      <c r="L3285" s="595"/>
      <c r="M3285" s="595"/>
      <c r="N3285" s="596"/>
    </row>
    <row r="3286" spans="1:15" s="4" customFormat="1" ht="25.8" thickBot="1">
      <c r="A3286" s="125" t="s">
        <v>1915</v>
      </c>
      <c r="B3286" s="123"/>
      <c r="C3286" s="123"/>
      <c r="D3286" s="123"/>
      <c r="E3286" s="123"/>
      <c r="F3286" s="167"/>
      <c r="G3286" s="167"/>
      <c r="H3286" s="123"/>
      <c r="I3286" s="123"/>
      <c r="J3286" s="123"/>
      <c r="K3286" s="123"/>
      <c r="L3286" s="123"/>
      <c r="M3286" s="123"/>
      <c r="N3286" s="126"/>
    </row>
    <row r="3287" spans="1:15" ht="21" customHeight="1">
      <c r="A3287" s="598" t="s">
        <v>1916</v>
      </c>
      <c r="B3287" s="599"/>
      <c r="C3287" s="599"/>
      <c r="D3287" s="599"/>
      <c r="E3287" s="599"/>
      <c r="F3287" s="599"/>
      <c r="G3287" s="599"/>
      <c r="H3287" s="599"/>
      <c r="I3287" s="599"/>
      <c r="J3287" s="599"/>
      <c r="K3287" s="599"/>
      <c r="L3287" s="599"/>
      <c r="M3287" s="599"/>
      <c r="N3287" s="600"/>
    </row>
    <row r="3288" spans="1:15" ht="25.5" customHeight="1" thickBot="1">
      <c r="A3288" s="601"/>
      <c r="B3288" s="602"/>
      <c r="C3288" s="602"/>
      <c r="D3288" s="602"/>
      <c r="E3288" s="602"/>
      <c r="F3288" s="602"/>
      <c r="G3288" s="602"/>
      <c r="H3288" s="602"/>
      <c r="I3288" s="602"/>
      <c r="J3288" s="602"/>
      <c r="K3288" s="602"/>
      <c r="L3288" s="602"/>
      <c r="M3288" s="602"/>
      <c r="N3288" s="603"/>
    </row>
    <row r="3289" spans="1:15" ht="25.5" customHeight="1">
      <c r="E3289" s="206"/>
      <c r="F3289" s="206"/>
      <c r="G3289" s="206"/>
      <c r="H3289" s="206"/>
      <c r="I3289" s="206"/>
      <c r="J3289" s="206"/>
      <c r="K3289" s="206"/>
    </row>
    <row r="3290" spans="1:15" ht="21.6" thickBot="1"/>
    <row r="3291" spans="1:15" ht="95.25" customHeight="1" thickBot="1">
      <c r="A3291" s="592" t="s">
        <v>1883</v>
      </c>
      <c r="B3291" s="593"/>
      <c r="C3291" s="593"/>
      <c r="D3291" s="593"/>
      <c r="E3291" s="593"/>
      <c r="F3291" s="593"/>
      <c r="G3291" s="593"/>
      <c r="H3291" s="593"/>
      <c r="I3291" s="593"/>
      <c r="J3291" s="593"/>
      <c r="K3291" s="593"/>
      <c r="L3291" s="593"/>
      <c r="M3291" s="593"/>
      <c r="N3291" s="594"/>
    </row>
    <row r="3292" spans="1:15" s="3" customFormat="1" ht="37.5" customHeight="1">
      <c r="A3292" s="134" t="s">
        <v>1884</v>
      </c>
      <c r="B3292" s="166"/>
      <c r="C3292" s="166"/>
      <c r="D3292" s="123"/>
      <c r="E3292" s="123"/>
      <c r="F3292" s="167" t="s">
        <v>1885</v>
      </c>
      <c r="G3292" s="167" t="s">
        <v>1886</v>
      </c>
      <c r="H3292" s="167"/>
      <c r="I3292" s="167"/>
      <c r="J3292" s="167"/>
      <c r="K3292" s="167"/>
      <c r="L3292" s="167"/>
      <c r="M3292" s="167"/>
      <c r="N3292" s="152"/>
      <c r="O3292" s="201"/>
    </row>
    <row r="3293" spans="1:15" s="4" customFormat="1" ht="25.2">
      <c r="A3293" s="125" t="s">
        <v>1887</v>
      </c>
      <c r="B3293" s="123"/>
      <c r="C3293" s="123"/>
      <c r="D3293" s="123"/>
      <c r="E3293" s="123"/>
      <c r="F3293" s="167"/>
      <c r="G3293" s="167" t="s">
        <v>1888</v>
      </c>
      <c r="H3293" s="167"/>
      <c r="I3293" s="167"/>
      <c r="J3293" s="167"/>
      <c r="K3293" s="167"/>
      <c r="L3293" s="167"/>
      <c r="M3293" s="167"/>
      <c r="N3293" s="152"/>
    </row>
    <row r="3294" spans="1:15" s="3" customFormat="1" ht="9.9" customHeight="1">
      <c r="A3294" s="125"/>
      <c r="B3294" s="123"/>
      <c r="C3294" s="123"/>
      <c r="D3294" s="123"/>
      <c r="E3294" s="123"/>
      <c r="F3294" s="167"/>
      <c r="G3294" s="123"/>
      <c r="H3294" s="123"/>
      <c r="I3294" s="123"/>
      <c r="J3294" s="123"/>
      <c r="K3294" s="123"/>
      <c r="L3294" s="123"/>
      <c r="M3294" s="123"/>
      <c r="N3294" s="126"/>
    </row>
    <row r="3295" spans="1:15" s="3" customFormat="1" ht="42.75" customHeight="1">
      <c r="A3295" s="125" t="s">
        <v>1889</v>
      </c>
      <c r="B3295" s="123"/>
      <c r="C3295" s="123"/>
      <c r="D3295" s="123"/>
      <c r="E3295" s="123"/>
      <c r="F3295" s="167" t="s">
        <v>1885</v>
      </c>
      <c r="G3295" s="167" t="str">
        <f>PL!$B$13</f>
        <v>Branch of JSC "Doosan Enerbility" in the Turkestan region</v>
      </c>
      <c r="H3295" s="123"/>
      <c r="I3295" s="123"/>
      <c r="J3295" s="123"/>
      <c r="K3295" s="123"/>
      <c r="L3295" s="123"/>
      <c r="M3295" s="123"/>
      <c r="N3295" s="126"/>
    </row>
    <row r="3296" spans="1:15" s="3" customFormat="1" ht="24" customHeight="1">
      <c r="A3296" s="125" t="s">
        <v>1890</v>
      </c>
      <c r="B3296" s="123"/>
      <c r="C3296" s="123"/>
      <c r="D3296" s="123"/>
      <c r="E3296" s="123"/>
      <c r="F3296" s="168"/>
      <c r="G3296" s="167" t="str">
        <f>PL!$B$14</f>
        <v>321 Tauke Khan Avenue, Turkestan region, Turkestan, Kazakhstan, 161200</v>
      </c>
      <c r="H3296" s="123"/>
      <c r="I3296" s="123"/>
      <c r="J3296" s="123"/>
      <c r="K3296" s="123"/>
      <c r="L3296" s="123"/>
      <c r="M3296" s="123"/>
      <c r="N3296" s="126"/>
    </row>
    <row r="3297" spans="1:14" s="4" customFormat="1" ht="25.2">
      <c r="A3297" s="125"/>
      <c r="B3297" s="123"/>
      <c r="C3297" s="123"/>
      <c r="D3297" s="123"/>
      <c r="E3297" s="123"/>
      <c r="F3297" s="168"/>
      <c r="G3297" s="167" t="str">
        <f>PL!$B$15</f>
        <v>BIN: 230741006561</v>
      </c>
      <c r="H3297" s="123"/>
      <c r="I3297" s="123"/>
      <c r="J3297" s="123"/>
      <c r="K3297" s="123"/>
      <c r="L3297" s="123"/>
      <c r="M3297" s="123"/>
      <c r="N3297" s="126"/>
    </row>
    <row r="3298" spans="1:14" s="3" customFormat="1" ht="9.9" customHeight="1">
      <c r="A3298" s="125"/>
      <c r="B3298" s="123"/>
      <c r="C3298" s="123"/>
      <c r="D3298" s="123"/>
      <c r="E3298" s="123"/>
      <c r="F3298" s="169"/>
      <c r="G3298" s="169"/>
      <c r="H3298" s="123"/>
      <c r="I3298" s="123"/>
      <c r="J3298" s="123"/>
      <c r="K3298" s="123"/>
      <c r="L3298" s="123"/>
      <c r="M3298" s="123"/>
      <c r="N3298" s="126"/>
    </row>
    <row r="3299" spans="1:14" s="3" customFormat="1" ht="25.2">
      <c r="A3299" s="125" t="s">
        <v>1891</v>
      </c>
      <c r="B3299" s="123"/>
      <c r="C3299" s="123"/>
      <c r="D3299" s="123"/>
      <c r="E3299" s="123"/>
      <c r="F3299" s="167" t="s">
        <v>1892</v>
      </c>
      <c r="G3299" s="123"/>
      <c r="H3299" s="123"/>
      <c r="I3299" s="123"/>
      <c r="J3299" s="123"/>
      <c r="K3299" s="123"/>
      <c r="L3299" s="123"/>
      <c r="M3299" s="123"/>
      <c r="N3299" s="126"/>
    </row>
    <row r="3300" spans="1:14" s="4" customFormat="1" ht="25.2">
      <c r="A3300" s="125" t="s">
        <v>1893</v>
      </c>
      <c r="B3300" s="123"/>
      <c r="C3300" s="123"/>
      <c r="D3300" s="123"/>
      <c r="E3300" s="123"/>
      <c r="F3300" s="167" t="s">
        <v>1894</v>
      </c>
      <c r="G3300" s="123"/>
      <c r="H3300" s="123"/>
      <c r="I3300" s="123"/>
      <c r="J3300" s="123"/>
      <c r="K3300" s="123"/>
      <c r="L3300" s="123"/>
      <c r="M3300" s="123"/>
      <c r="N3300" s="126"/>
    </row>
    <row r="3301" spans="1:14" s="3" customFormat="1" ht="9.9" customHeight="1">
      <c r="A3301" s="125"/>
      <c r="B3301" s="123"/>
      <c r="C3301" s="123"/>
      <c r="D3301" s="123"/>
      <c r="E3301" s="123"/>
      <c r="F3301" s="167"/>
      <c r="G3301" s="123"/>
      <c r="H3301" s="123"/>
      <c r="I3301" s="123"/>
      <c r="J3301" s="123"/>
      <c r="K3301" s="123"/>
      <c r="L3301" s="123"/>
      <c r="M3301" s="123"/>
      <c r="N3301" s="126"/>
    </row>
    <row r="3302" spans="1:14" s="3" customFormat="1" ht="25.2">
      <c r="A3302" s="125" t="s">
        <v>1895</v>
      </c>
      <c r="B3302" s="123"/>
      <c r="C3302" s="123"/>
      <c r="D3302" s="123"/>
      <c r="E3302" s="123"/>
      <c r="F3302" s="167" t="s">
        <v>1896</v>
      </c>
      <c r="G3302" s="167" t="str">
        <f>PL!$V$8</f>
        <v>PGU-DE-0139-001</v>
      </c>
      <c r="H3302" s="123"/>
      <c r="I3302" s="123"/>
      <c r="J3302" s="123"/>
      <c r="K3302" s="123"/>
      <c r="L3302" s="123"/>
      <c r="M3302" s="123"/>
      <c r="N3302" s="126"/>
    </row>
    <row r="3303" spans="1:14" s="3" customFormat="1" ht="25.2">
      <c r="A3303" s="125" t="s">
        <v>1897</v>
      </c>
      <c r="B3303" s="123"/>
      <c r="C3303" s="123"/>
      <c r="D3303" s="123"/>
      <c r="E3303" s="123"/>
      <c r="F3303" s="167"/>
      <c r="G3303" s="123"/>
      <c r="H3303" s="123"/>
      <c r="I3303" s="123"/>
      <c r="J3303" s="123"/>
      <c r="K3303" s="123"/>
      <c r="L3303" s="123"/>
      <c r="M3303" s="123"/>
      <c r="N3303" s="126"/>
    </row>
    <row r="3304" spans="1:14" s="3" customFormat="1" ht="9.9" customHeight="1">
      <c r="A3304" s="125"/>
      <c r="B3304" s="123"/>
      <c r="C3304" s="123"/>
      <c r="D3304" s="123"/>
      <c r="E3304" s="123"/>
      <c r="F3304" s="167"/>
      <c r="G3304" s="123"/>
      <c r="H3304" s="123"/>
      <c r="I3304" s="123"/>
      <c r="J3304" s="123"/>
      <c r="K3304" s="123"/>
      <c r="L3304" s="123"/>
      <c r="M3304" s="123"/>
      <c r="N3304" s="126"/>
    </row>
    <row r="3305" spans="1:14" s="3" customFormat="1" ht="31.2" customHeight="1">
      <c r="A3305" s="127" t="s">
        <v>1898</v>
      </c>
      <c r="B3305" s="170"/>
      <c r="C3305" s="170"/>
      <c r="D3305" s="170"/>
      <c r="E3305" s="170"/>
      <c r="F3305" s="171" t="s">
        <v>1885</v>
      </c>
      <c r="G3305" s="597" t="e">
        <f>VLOOKUP(G3308, 'Detail PL'!$B$14:$Q$799,2)</f>
        <v>#N/A</v>
      </c>
      <c r="H3305" s="597"/>
      <c r="I3305" s="597"/>
      <c r="J3305" s="597"/>
      <c r="K3305" s="597"/>
      <c r="L3305" s="597"/>
      <c r="M3305" s="597"/>
      <c r="N3305" s="128"/>
    </row>
    <row r="3306" spans="1:14" s="3" customFormat="1" ht="25.2">
      <c r="A3306" s="127" t="s">
        <v>1899</v>
      </c>
      <c r="B3306" s="170"/>
      <c r="C3306" s="170"/>
      <c r="D3306" s="170"/>
      <c r="E3306" s="170"/>
      <c r="F3306" s="171"/>
      <c r="G3306" s="170"/>
      <c r="H3306" s="170"/>
      <c r="I3306" s="170"/>
      <c r="J3306" s="170"/>
      <c r="K3306" s="170"/>
      <c r="L3306" s="170"/>
      <c r="M3306" s="170"/>
      <c r="N3306" s="128"/>
    </row>
    <row r="3307" spans="1:14" s="3" customFormat="1" ht="9.9" customHeight="1">
      <c r="A3307" s="125"/>
      <c r="B3307" s="123"/>
      <c r="C3307" s="123"/>
      <c r="D3307" s="123"/>
      <c r="E3307" s="123"/>
      <c r="F3307" s="167"/>
      <c r="G3307" s="123"/>
      <c r="H3307" s="123"/>
      <c r="I3307" s="123"/>
      <c r="J3307" s="123"/>
      <c r="K3307" s="123"/>
      <c r="L3307" s="123"/>
      <c r="M3307" s="123"/>
      <c r="N3307" s="126"/>
    </row>
    <row r="3308" spans="1:14" s="3" customFormat="1" ht="25.2">
      <c r="A3308" s="125" t="s">
        <v>1900</v>
      </c>
      <c r="B3308" s="123"/>
      <c r="C3308" s="123"/>
      <c r="D3308" s="123"/>
      <c r="E3308" s="123"/>
      <c r="F3308" s="171" t="s">
        <v>1901</v>
      </c>
      <c r="G3308" s="604">
        <f t="shared" ref="G3308" si="92">G3273+1</f>
        <v>95</v>
      </c>
      <c r="H3308" s="604"/>
      <c r="I3308" s="604"/>
      <c r="J3308" s="604"/>
      <c r="K3308" s="604"/>
      <c r="L3308" s="123"/>
      <c r="M3308" s="123"/>
      <c r="N3308" s="126"/>
    </row>
    <row r="3309" spans="1:14" s="4" customFormat="1" ht="25.2">
      <c r="A3309" s="125" t="s">
        <v>1903</v>
      </c>
      <c r="B3309" s="123"/>
      <c r="C3309" s="123"/>
      <c r="D3309" s="123"/>
      <c r="E3309" s="123"/>
      <c r="F3309" s="167"/>
      <c r="G3309" s="167"/>
      <c r="H3309" s="123"/>
      <c r="I3309" s="123"/>
      <c r="J3309" s="123"/>
      <c r="K3309" s="123"/>
      <c r="L3309" s="123"/>
      <c r="M3309" s="123"/>
      <c r="N3309" s="126"/>
    </row>
    <row r="3310" spans="1:14" s="3" customFormat="1" ht="9.9" customHeight="1">
      <c r="A3310" s="125"/>
      <c r="B3310" s="123"/>
      <c r="C3310" s="123"/>
      <c r="D3310" s="123"/>
      <c r="E3310" s="123"/>
      <c r="F3310" s="167"/>
      <c r="G3310" s="167"/>
      <c r="H3310" s="123"/>
      <c r="I3310" s="123"/>
      <c r="J3310" s="123"/>
      <c r="K3310" s="123"/>
      <c r="L3310" s="123"/>
      <c r="M3310" s="123"/>
      <c r="N3310" s="126"/>
    </row>
    <row r="3311" spans="1:14" s="3" customFormat="1" ht="25.2">
      <c r="A3311" s="125" t="s">
        <v>1904</v>
      </c>
      <c r="B3311" s="123"/>
      <c r="C3311" s="123"/>
      <c r="D3311" s="123"/>
      <c r="E3311" s="123"/>
      <c r="F3311" s="167" t="s">
        <v>1896</v>
      </c>
      <c r="G3311" s="204" t="e">
        <f>VLOOKUP(G3308, 'Detail PL'!$B$14:$Q$799, 10)</f>
        <v>#N/A</v>
      </c>
      <c r="H3311" s="204" t="s">
        <v>1905</v>
      </c>
      <c r="I3311" s="204"/>
      <c r="J3311" s="204"/>
      <c r="K3311" s="123"/>
      <c r="L3311" s="123"/>
      <c r="M3311" s="123"/>
      <c r="N3311" s="126"/>
    </row>
    <row r="3312" spans="1:14" s="4" customFormat="1" ht="25.2">
      <c r="A3312" s="125" t="s">
        <v>1906</v>
      </c>
      <c r="B3312" s="123"/>
      <c r="C3312" s="123"/>
      <c r="D3312" s="123"/>
      <c r="E3312" s="123"/>
      <c r="F3312" s="167"/>
      <c r="G3312" s="167"/>
      <c r="H3312" s="167"/>
      <c r="I3312" s="123"/>
      <c r="J3312" s="123"/>
      <c r="K3312" s="123"/>
      <c r="L3312" s="123"/>
      <c r="M3312" s="123"/>
      <c r="N3312" s="126"/>
    </row>
    <row r="3313" spans="1:15" s="3" customFormat="1" ht="9.9" customHeight="1">
      <c r="A3313" s="125"/>
      <c r="B3313" s="123"/>
      <c r="C3313" s="123"/>
      <c r="D3313" s="123"/>
      <c r="E3313" s="123"/>
      <c r="F3313" s="167"/>
      <c r="G3313" s="167"/>
      <c r="H3313" s="167"/>
      <c r="I3313" s="123"/>
      <c r="J3313" s="123"/>
      <c r="K3313" s="123"/>
      <c r="L3313" s="123"/>
      <c r="M3313" s="123"/>
      <c r="N3313" s="126"/>
    </row>
    <row r="3314" spans="1:15" s="3" customFormat="1" ht="25.2">
      <c r="A3314" s="125" t="s">
        <v>1907</v>
      </c>
      <c r="B3314" s="123"/>
      <c r="C3314" s="123"/>
      <c r="D3314" s="123"/>
      <c r="E3314" s="123"/>
      <c r="F3314" s="167" t="s">
        <v>1896</v>
      </c>
      <c r="G3314" s="204" t="e">
        <f>VLOOKUP(G3308, 'Detail PL'!$B$14:$Q$799, 11)</f>
        <v>#N/A</v>
      </c>
      <c r="H3314" s="204" t="s">
        <v>1905</v>
      </c>
      <c r="I3314" s="204"/>
      <c r="J3314" s="204"/>
      <c r="K3314" s="123"/>
      <c r="L3314" s="123"/>
      <c r="M3314" s="123"/>
      <c r="N3314" s="126"/>
    </row>
    <row r="3315" spans="1:15" s="4" customFormat="1" ht="25.2">
      <c r="A3315" s="125" t="s">
        <v>1908</v>
      </c>
      <c r="B3315" s="123"/>
      <c r="C3315" s="123"/>
      <c r="D3315" s="123"/>
      <c r="E3315" s="123"/>
      <c r="F3315" s="167"/>
      <c r="G3315" s="167"/>
      <c r="H3315" s="123"/>
      <c r="I3315" s="123"/>
      <c r="J3315" s="123"/>
      <c r="K3315" s="123"/>
      <c r="L3315" s="123"/>
      <c r="M3315" s="123"/>
      <c r="N3315" s="126"/>
    </row>
    <row r="3316" spans="1:15" s="3" customFormat="1" ht="9.9" customHeight="1">
      <c r="A3316" s="125"/>
      <c r="B3316" s="123"/>
      <c r="C3316" s="123"/>
      <c r="D3316" s="123"/>
      <c r="E3316" s="123"/>
      <c r="F3316" s="167"/>
      <c r="G3316" s="167"/>
      <c r="H3316" s="123"/>
      <c r="I3316" s="123"/>
      <c r="J3316" s="123"/>
      <c r="K3316" s="123"/>
      <c r="L3316" s="123"/>
      <c r="M3316" s="123"/>
      <c r="N3316" s="126"/>
    </row>
    <row r="3317" spans="1:15" s="3" customFormat="1" ht="25.2">
      <c r="A3317" s="129" t="s">
        <v>1909</v>
      </c>
      <c r="B3317" s="123"/>
      <c r="C3317" s="123"/>
      <c r="D3317" s="123"/>
      <c r="E3317" s="123"/>
      <c r="F3317" s="167" t="s">
        <v>1896</v>
      </c>
      <c r="G3317" s="204" t="e">
        <f>VLOOKUP(G3308, 'Detail PL'!$B$14:$Q$799, 9)</f>
        <v>#N/A</v>
      </c>
      <c r="H3317" s="205" t="s">
        <v>1910</v>
      </c>
      <c r="I3317" s="203"/>
      <c r="J3317" s="203"/>
      <c r="K3317" s="172"/>
      <c r="L3317" s="123"/>
      <c r="M3317" s="123"/>
      <c r="N3317" s="126"/>
    </row>
    <row r="3318" spans="1:15" s="4" customFormat="1" ht="25.2">
      <c r="A3318" s="125" t="s">
        <v>1911</v>
      </c>
      <c r="B3318" s="123"/>
      <c r="C3318" s="123"/>
      <c r="D3318" s="123"/>
      <c r="E3318" s="123"/>
      <c r="F3318" s="167"/>
      <c r="G3318" s="167"/>
      <c r="H3318" s="123"/>
      <c r="I3318" s="123"/>
      <c r="J3318" s="123"/>
      <c r="K3318" s="123"/>
      <c r="L3318" s="123"/>
      <c r="M3318" s="123"/>
      <c r="N3318" s="126"/>
    </row>
    <row r="3319" spans="1:15" s="3" customFormat="1" ht="9.9" customHeight="1">
      <c r="A3319" s="125"/>
      <c r="B3319" s="123"/>
      <c r="C3319" s="123"/>
      <c r="D3319" s="123"/>
      <c r="E3319" s="123"/>
      <c r="F3319" s="167"/>
      <c r="G3319" s="167"/>
      <c r="H3319" s="123"/>
      <c r="I3319" s="123"/>
      <c r="J3319" s="123"/>
      <c r="K3319" s="123"/>
      <c r="L3319" s="123"/>
      <c r="M3319" s="123"/>
      <c r="N3319" s="126"/>
    </row>
    <row r="3320" spans="1:15" s="3" customFormat="1" ht="42" customHeight="1">
      <c r="A3320" s="125" t="s">
        <v>1912</v>
      </c>
      <c r="B3320" s="123"/>
      <c r="C3320" s="123"/>
      <c r="D3320" s="123"/>
      <c r="E3320" s="123"/>
      <c r="F3320" s="166" t="s">
        <v>1913</v>
      </c>
      <c r="G3320" s="595" t="s">
        <v>1914</v>
      </c>
      <c r="H3320" s="595"/>
      <c r="I3320" s="595"/>
      <c r="J3320" s="595"/>
      <c r="K3320" s="595"/>
      <c r="L3320" s="595"/>
      <c r="M3320" s="595"/>
      <c r="N3320" s="596"/>
    </row>
    <row r="3321" spans="1:15" s="4" customFormat="1" ht="25.8" thickBot="1">
      <c r="A3321" s="125" t="s">
        <v>1915</v>
      </c>
      <c r="B3321" s="123"/>
      <c r="C3321" s="123"/>
      <c r="D3321" s="123"/>
      <c r="E3321" s="123"/>
      <c r="F3321" s="167"/>
      <c r="G3321" s="167"/>
      <c r="H3321" s="123"/>
      <c r="I3321" s="123"/>
      <c r="J3321" s="123"/>
      <c r="K3321" s="123"/>
      <c r="L3321" s="123"/>
      <c r="M3321" s="123"/>
      <c r="N3321" s="126"/>
    </row>
    <row r="3322" spans="1:15" ht="21" customHeight="1">
      <c r="A3322" s="598" t="s">
        <v>1916</v>
      </c>
      <c r="B3322" s="599"/>
      <c r="C3322" s="599"/>
      <c r="D3322" s="599"/>
      <c r="E3322" s="599"/>
      <c r="F3322" s="599"/>
      <c r="G3322" s="599"/>
      <c r="H3322" s="599"/>
      <c r="I3322" s="599"/>
      <c r="J3322" s="599"/>
      <c r="K3322" s="599"/>
      <c r="L3322" s="599"/>
      <c r="M3322" s="599"/>
      <c r="N3322" s="600"/>
    </row>
    <row r="3323" spans="1:15" ht="25.5" customHeight="1" thickBot="1">
      <c r="A3323" s="601"/>
      <c r="B3323" s="602"/>
      <c r="C3323" s="602"/>
      <c r="D3323" s="602"/>
      <c r="E3323" s="602"/>
      <c r="F3323" s="602"/>
      <c r="G3323" s="602"/>
      <c r="H3323" s="602"/>
      <c r="I3323" s="602"/>
      <c r="J3323" s="602"/>
      <c r="K3323" s="602"/>
      <c r="L3323" s="602"/>
      <c r="M3323" s="602"/>
      <c r="N3323" s="603"/>
    </row>
    <row r="3324" spans="1:15" ht="25.5" customHeight="1">
      <c r="E3324" s="206"/>
      <c r="F3324" s="206"/>
      <c r="G3324" s="206"/>
      <c r="H3324" s="206"/>
      <c r="I3324" s="206"/>
      <c r="J3324" s="206"/>
      <c r="K3324" s="206"/>
    </row>
    <row r="3325" spans="1:15" ht="21.6" thickBot="1"/>
    <row r="3326" spans="1:15" ht="95.25" customHeight="1" thickBot="1">
      <c r="A3326" s="592" t="s">
        <v>1883</v>
      </c>
      <c r="B3326" s="593"/>
      <c r="C3326" s="593"/>
      <c r="D3326" s="593"/>
      <c r="E3326" s="593"/>
      <c r="F3326" s="593"/>
      <c r="G3326" s="593"/>
      <c r="H3326" s="593"/>
      <c r="I3326" s="593"/>
      <c r="J3326" s="593"/>
      <c r="K3326" s="593"/>
      <c r="L3326" s="593"/>
      <c r="M3326" s="593"/>
      <c r="N3326" s="594"/>
    </row>
    <row r="3327" spans="1:15" s="3" customFormat="1" ht="37.5" customHeight="1">
      <c r="A3327" s="134" t="s">
        <v>1884</v>
      </c>
      <c r="B3327" s="166"/>
      <c r="C3327" s="166"/>
      <c r="D3327" s="123"/>
      <c r="E3327" s="123"/>
      <c r="F3327" s="167" t="s">
        <v>1885</v>
      </c>
      <c r="G3327" s="167" t="s">
        <v>1886</v>
      </c>
      <c r="H3327" s="167"/>
      <c r="I3327" s="167"/>
      <c r="J3327" s="167"/>
      <c r="K3327" s="167"/>
      <c r="L3327" s="167"/>
      <c r="M3327" s="167"/>
      <c r="N3327" s="152"/>
      <c r="O3327" s="201"/>
    </row>
    <row r="3328" spans="1:15" s="4" customFormat="1" ht="25.2">
      <c r="A3328" s="125" t="s">
        <v>1887</v>
      </c>
      <c r="B3328" s="123"/>
      <c r="C3328" s="123"/>
      <c r="D3328" s="123"/>
      <c r="E3328" s="123"/>
      <c r="F3328" s="167"/>
      <c r="G3328" s="167" t="s">
        <v>1888</v>
      </c>
      <c r="H3328" s="167"/>
      <c r="I3328" s="167"/>
      <c r="J3328" s="167"/>
      <c r="K3328" s="167"/>
      <c r="L3328" s="167"/>
      <c r="M3328" s="167"/>
      <c r="N3328" s="152"/>
    </row>
    <row r="3329" spans="1:14" s="3" customFormat="1" ht="9.9" customHeight="1">
      <c r="A3329" s="125"/>
      <c r="B3329" s="123"/>
      <c r="C3329" s="123"/>
      <c r="D3329" s="123"/>
      <c r="E3329" s="123"/>
      <c r="F3329" s="167"/>
      <c r="G3329" s="123"/>
      <c r="H3329" s="123"/>
      <c r="I3329" s="123"/>
      <c r="J3329" s="123"/>
      <c r="K3329" s="123"/>
      <c r="L3329" s="123"/>
      <c r="M3329" s="123"/>
      <c r="N3329" s="126"/>
    </row>
    <row r="3330" spans="1:14" s="3" customFormat="1" ht="42.75" customHeight="1">
      <c r="A3330" s="125" t="s">
        <v>1889</v>
      </c>
      <c r="B3330" s="123"/>
      <c r="C3330" s="123"/>
      <c r="D3330" s="123"/>
      <c r="E3330" s="123"/>
      <c r="F3330" s="167" t="s">
        <v>1885</v>
      </c>
      <c r="G3330" s="167" t="str">
        <f>PL!$B$13</f>
        <v>Branch of JSC "Doosan Enerbility" in the Turkestan region</v>
      </c>
      <c r="H3330" s="123"/>
      <c r="I3330" s="123"/>
      <c r="J3330" s="123"/>
      <c r="K3330" s="123"/>
      <c r="L3330" s="123"/>
      <c r="M3330" s="123"/>
      <c r="N3330" s="126"/>
    </row>
    <row r="3331" spans="1:14" s="3" customFormat="1" ht="24" customHeight="1">
      <c r="A3331" s="125" t="s">
        <v>1890</v>
      </c>
      <c r="B3331" s="123"/>
      <c r="C3331" s="123"/>
      <c r="D3331" s="123"/>
      <c r="E3331" s="123"/>
      <c r="F3331" s="168"/>
      <c r="G3331" s="167" t="str">
        <f>PL!$B$14</f>
        <v>321 Tauke Khan Avenue, Turkestan region, Turkestan, Kazakhstan, 161200</v>
      </c>
      <c r="H3331" s="123"/>
      <c r="I3331" s="123"/>
      <c r="J3331" s="123"/>
      <c r="K3331" s="123"/>
      <c r="L3331" s="123"/>
      <c r="M3331" s="123"/>
      <c r="N3331" s="126"/>
    </row>
    <row r="3332" spans="1:14" s="4" customFormat="1" ht="25.2">
      <c r="A3332" s="125"/>
      <c r="B3332" s="123"/>
      <c r="C3332" s="123"/>
      <c r="D3332" s="123"/>
      <c r="E3332" s="123"/>
      <c r="F3332" s="168"/>
      <c r="G3332" s="167" t="str">
        <f>PL!$B$15</f>
        <v>BIN: 230741006561</v>
      </c>
      <c r="H3332" s="123"/>
      <c r="I3332" s="123"/>
      <c r="J3332" s="123"/>
      <c r="K3332" s="123"/>
      <c r="L3332" s="123"/>
      <c r="M3332" s="123"/>
      <c r="N3332" s="126"/>
    </row>
    <row r="3333" spans="1:14" s="3" customFormat="1" ht="9.9" customHeight="1">
      <c r="A3333" s="125"/>
      <c r="B3333" s="123"/>
      <c r="C3333" s="123"/>
      <c r="D3333" s="123"/>
      <c r="E3333" s="123"/>
      <c r="F3333" s="169"/>
      <c r="G3333" s="169"/>
      <c r="H3333" s="123"/>
      <c r="I3333" s="123"/>
      <c r="J3333" s="123"/>
      <c r="K3333" s="123"/>
      <c r="L3333" s="123"/>
      <c r="M3333" s="123"/>
      <c r="N3333" s="126"/>
    </row>
    <row r="3334" spans="1:14" s="3" customFormat="1" ht="25.2">
      <c r="A3334" s="125" t="s">
        <v>1891</v>
      </c>
      <c r="B3334" s="123"/>
      <c r="C3334" s="123"/>
      <c r="D3334" s="123"/>
      <c r="E3334" s="123"/>
      <c r="F3334" s="167" t="s">
        <v>1892</v>
      </c>
      <c r="G3334" s="123"/>
      <c r="H3334" s="123"/>
      <c r="I3334" s="123"/>
      <c r="J3334" s="123"/>
      <c r="K3334" s="123"/>
      <c r="L3334" s="123"/>
      <c r="M3334" s="123"/>
      <c r="N3334" s="126"/>
    </row>
    <row r="3335" spans="1:14" s="4" customFormat="1" ht="25.2">
      <c r="A3335" s="125" t="s">
        <v>1893</v>
      </c>
      <c r="B3335" s="123"/>
      <c r="C3335" s="123"/>
      <c r="D3335" s="123"/>
      <c r="E3335" s="123"/>
      <c r="F3335" s="167" t="s">
        <v>1894</v>
      </c>
      <c r="G3335" s="123"/>
      <c r="H3335" s="123"/>
      <c r="I3335" s="123"/>
      <c r="J3335" s="123"/>
      <c r="K3335" s="123"/>
      <c r="L3335" s="123"/>
      <c r="M3335" s="123"/>
      <c r="N3335" s="126"/>
    </row>
    <row r="3336" spans="1:14" s="3" customFormat="1" ht="9.9" customHeight="1">
      <c r="A3336" s="125"/>
      <c r="B3336" s="123"/>
      <c r="C3336" s="123"/>
      <c r="D3336" s="123"/>
      <c r="E3336" s="123"/>
      <c r="F3336" s="167"/>
      <c r="G3336" s="123"/>
      <c r="H3336" s="123"/>
      <c r="I3336" s="123"/>
      <c r="J3336" s="123"/>
      <c r="K3336" s="123"/>
      <c r="L3336" s="123"/>
      <c r="M3336" s="123"/>
      <c r="N3336" s="126"/>
    </row>
    <row r="3337" spans="1:14" s="3" customFormat="1" ht="25.2">
      <c r="A3337" s="125" t="s">
        <v>1895</v>
      </c>
      <c r="B3337" s="123"/>
      <c r="C3337" s="123"/>
      <c r="D3337" s="123"/>
      <c r="E3337" s="123"/>
      <c r="F3337" s="167" t="s">
        <v>1896</v>
      </c>
      <c r="G3337" s="167" t="str">
        <f>PL!$V$8</f>
        <v>PGU-DE-0139-001</v>
      </c>
      <c r="H3337" s="123"/>
      <c r="I3337" s="123"/>
      <c r="J3337" s="123"/>
      <c r="K3337" s="123"/>
      <c r="L3337" s="123"/>
      <c r="M3337" s="123"/>
      <c r="N3337" s="126"/>
    </row>
    <row r="3338" spans="1:14" s="3" customFormat="1" ht="25.2">
      <c r="A3338" s="125" t="s">
        <v>1897</v>
      </c>
      <c r="B3338" s="123"/>
      <c r="C3338" s="123"/>
      <c r="D3338" s="123"/>
      <c r="E3338" s="123"/>
      <c r="F3338" s="167"/>
      <c r="G3338" s="123"/>
      <c r="H3338" s="123"/>
      <c r="I3338" s="123"/>
      <c r="J3338" s="123"/>
      <c r="K3338" s="123"/>
      <c r="L3338" s="123"/>
      <c r="M3338" s="123"/>
      <c r="N3338" s="126"/>
    </row>
    <row r="3339" spans="1:14" s="3" customFormat="1" ht="9.9" customHeight="1">
      <c r="A3339" s="125"/>
      <c r="B3339" s="123"/>
      <c r="C3339" s="123"/>
      <c r="D3339" s="123"/>
      <c r="E3339" s="123"/>
      <c r="F3339" s="167"/>
      <c r="G3339" s="123"/>
      <c r="H3339" s="123"/>
      <c r="I3339" s="123"/>
      <c r="J3339" s="123"/>
      <c r="K3339" s="123"/>
      <c r="L3339" s="123"/>
      <c r="M3339" s="123"/>
      <c r="N3339" s="126"/>
    </row>
    <row r="3340" spans="1:14" s="3" customFormat="1" ht="31.2" customHeight="1">
      <c r="A3340" s="127" t="s">
        <v>1898</v>
      </c>
      <c r="B3340" s="170"/>
      <c r="C3340" s="170"/>
      <c r="D3340" s="170"/>
      <c r="E3340" s="170"/>
      <c r="F3340" s="171" t="s">
        <v>1885</v>
      </c>
      <c r="G3340" s="597" t="e">
        <f>VLOOKUP(G3343, 'Detail PL'!$B$14:$Q$799,2)</f>
        <v>#N/A</v>
      </c>
      <c r="H3340" s="597"/>
      <c r="I3340" s="597"/>
      <c r="J3340" s="597"/>
      <c r="K3340" s="597"/>
      <c r="L3340" s="597"/>
      <c r="M3340" s="597"/>
      <c r="N3340" s="128"/>
    </row>
    <row r="3341" spans="1:14" s="3" customFormat="1" ht="25.2">
      <c r="A3341" s="127" t="s">
        <v>1899</v>
      </c>
      <c r="B3341" s="170"/>
      <c r="C3341" s="170"/>
      <c r="D3341" s="170"/>
      <c r="E3341" s="170"/>
      <c r="F3341" s="171"/>
      <c r="G3341" s="170"/>
      <c r="H3341" s="170"/>
      <c r="I3341" s="170"/>
      <c r="J3341" s="170"/>
      <c r="K3341" s="170"/>
      <c r="L3341" s="170"/>
      <c r="M3341" s="170"/>
      <c r="N3341" s="128"/>
    </row>
    <row r="3342" spans="1:14" s="3" customFormat="1" ht="9.9" customHeight="1">
      <c r="A3342" s="125"/>
      <c r="B3342" s="123"/>
      <c r="C3342" s="123"/>
      <c r="D3342" s="123"/>
      <c r="E3342" s="123"/>
      <c r="F3342" s="167"/>
      <c r="G3342" s="123"/>
      <c r="H3342" s="123"/>
      <c r="I3342" s="123"/>
      <c r="J3342" s="123"/>
      <c r="K3342" s="123"/>
      <c r="L3342" s="123"/>
      <c r="M3342" s="123"/>
      <c r="N3342" s="126"/>
    </row>
    <row r="3343" spans="1:14" s="3" customFormat="1" ht="25.2">
      <c r="A3343" s="125" t="s">
        <v>1900</v>
      </c>
      <c r="B3343" s="123"/>
      <c r="C3343" s="123"/>
      <c r="D3343" s="123"/>
      <c r="E3343" s="123"/>
      <c r="F3343" s="171" t="s">
        <v>1901</v>
      </c>
      <c r="G3343" s="604">
        <f t="shared" ref="G3343" si="93">G3308+1</f>
        <v>96</v>
      </c>
      <c r="H3343" s="604"/>
      <c r="I3343" s="604"/>
      <c r="J3343" s="604"/>
      <c r="K3343" s="604"/>
      <c r="L3343" s="123"/>
      <c r="M3343" s="123"/>
      <c r="N3343" s="126"/>
    </row>
    <row r="3344" spans="1:14" s="4" customFormat="1" ht="25.2">
      <c r="A3344" s="125" t="s">
        <v>1903</v>
      </c>
      <c r="B3344" s="123"/>
      <c r="C3344" s="123"/>
      <c r="D3344" s="123"/>
      <c r="E3344" s="123"/>
      <c r="F3344" s="167"/>
      <c r="G3344" s="167"/>
      <c r="H3344" s="123"/>
      <c r="I3344" s="123"/>
      <c r="J3344" s="123"/>
      <c r="K3344" s="123"/>
      <c r="L3344" s="123"/>
      <c r="M3344" s="123"/>
      <c r="N3344" s="126"/>
    </row>
    <row r="3345" spans="1:14" s="3" customFormat="1" ht="9.9" customHeight="1">
      <c r="A3345" s="125"/>
      <c r="B3345" s="123"/>
      <c r="C3345" s="123"/>
      <c r="D3345" s="123"/>
      <c r="E3345" s="123"/>
      <c r="F3345" s="167"/>
      <c r="G3345" s="167"/>
      <c r="H3345" s="123"/>
      <c r="I3345" s="123"/>
      <c r="J3345" s="123"/>
      <c r="K3345" s="123"/>
      <c r="L3345" s="123"/>
      <c r="M3345" s="123"/>
      <c r="N3345" s="126"/>
    </row>
    <row r="3346" spans="1:14" s="3" customFormat="1" ht="25.2">
      <c r="A3346" s="125" t="s">
        <v>1904</v>
      </c>
      <c r="B3346" s="123"/>
      <c r="C3346" s="123"/>
      <c r="D3346" s="123"/>
      <c r="E3346" s="123"/>
      <c r="F3346" s="167" t="s">
        <v>1896</v>
      </c>
      <c r="G3346" s="204" t="e">
        <f>VLOOKUP(G3343, 'Detail PL'!$B$14:$Q$799, 10)</f>
        <v>#N/A</v>
      </c>
      <c r="H3346" s="204" t="s">
        <v>1905</v>
      </c>
      <c r="I3346" s="204"/>
      <c r="J3346" s="204"/>
      <c r="K3346" s="123"/>
      <c r="L3346" s="123"/>
      <c r="M3346" s="123"/>
      <c r="N3346" s="126"/>
    </row>
    <row r="3347" spans="1:14" s="4" customFormat="1" ht="25.2">
      <c r="A3347" s="125" t="s">
        <v>1906</v>
      </c>
      <c r="B3347" s="123"/>
      <c r="C3347" s="123"/>
      <c r="D3347" s="123"/>
      <c r="E3347" s="123"/>
      <c r="F3347" s="167"/>
      <c r="G3347" s="167"/>
      <c r="H3347" s="167"/>
      <c r="I3347" s="123"/>
      <c r="J3347" s="123"/>
      <c r="K3347" s="123"/>
      <c r="L3347" s="123"/>
      <c r="M3347" s="123"/>
      <c r="N3347" s="126"/>
    </row>
    <row r="3348" spans="1:14" s="3" customFormat="1" ht="9.9" customHeight="1">
      <c r="A3348" s="125"/>
      <c r="B3348" s="123"/>
      <c r="C3348" s="123"/>
      <c r="D3348" s="123"/>
      <c r="E3348" s="123"/>
      <c r="F3348" s="167"/>
      <c r="G3348" s="167"/>
      <c r="H3348" s="167"/>
      <c r="I3348" s="123"/>
      <c r="J3348" s="123"/>
      <c r="K3348" s="123"/>
      <c r="L3348" s="123"/>
      <c r="M3348" s="123"/>
      <c r="N3348" s="126"/>
    </row>
    <row r="3349" spans="1:14" s="3" customFormat="1" ht="25.2">
      <c r="A3349" s="125" t="s">
        <v>1907</v>
      </c>
      <c r="B3349" s="123"/>
      <c r="C3349" s="123"/>
      <c r="D3349" s="123"/>
      <c r="E3349" s="123"/>
      <c r="F3349" s="167" t="s">
        <v>1896</v>
      </c>
      <c r="G3349" s="204" t="e">
        <f>VLOOKUP(G3343, 'Detail PL'!$B$14:$Q$799, 11)</f>
        <v>#N/A</v>
      </c>
      <c r="H3349" s="204" t="s">
        <v>1905</v>
      </c>
      <c r="I3349" s="204"/>
      <c r="J3349" s="204"/>
      <c r="K3349" s="123"/>
      <c r="L3349" s="123"/>
      <c r="M3349" s="123"/>
      <c r="N3349" s="126"/>
    </row>
    <row r="3350" spans="1:14" s="4" customFormat="1" ht="25.2">
      <c r="A3350" s="125" t="s">
        <v>1908</v>
      </c>
      <c r="B3350" s="123"/>
      <c r="C3350" s="123"/>
      <c r="D3350" s="123"/>
      <c r="E3350" s="123"/>
      <c r="F3350" s="167"/>
      <c r="G3350" s="167"/>
      <c r="H3350" s="123"/>
      <c r="I3350" s="123"/>
      <c r="J3350" s="123"/>
      <c r="K3350" s="123"/>
      <c r="L3350" s="123"/>
      <c r="M3350" s="123"/>
      <c r="N3350" s="126"/>
    </row>
    <row r="3351" spans="1:14" s="3" customFormat="1" ht="9.9" customHeight="1">
      <c r="A3351" s="125"/>
      <c r="B3351" s="123"/>
      <c r="C3351" s="123"/>
      <c r="D3351" s="123"/>
      <c r="E3351" s="123"/>
      <c r="F3351" s="167"/>
      <c r="G3351" s="167"/>
      <c r="H3351" s="123"/>
      <c r="I3351" s="123"/>
      <c r="J3351" s="123"/>
      <c r="K3351" s="123"/>
      <c r="L3351" s="123"/>
      <c r="M3351" s="123"/>
      <c r="N3351" s="126"/>
    </row>
    <row r="3352" spans="1:14" s="3" customFormat="1" ht="25.2">
      <c r="A3352" s="129" t="s">
        <v>1909</v>
      </c>
      <c r="B3352" s="123"/>
      <c r="C3352" s="123"/>
      <c r="D3352" s="123"/>
      <c r="E3352" s="123"/>
      <c r="F3352" s="167" t="s">
        <v>1896</v>
      </c>
      <c r="G3352" s="204" t="e">
        <f>VLOOKUP(G3343, 'Detail PL'!$B$14:$Q$799, 9)</f>
        <v>#N/A</v>
      </c>
      <c r="H3352" s="205" t="s">
        <v>1910</v>
      </c>
      <c r="I3352" s="203"/>
      <c r="J3352" s="203"/>
      <c r="K3352" s="172"/>
      <c r="L3352" s="123"/>
      <c r="M3352" s="123"/>
      <c r="N3352" s="126"/>
    </row>
    <row r="3353" spans="1:14" s="4" customFormat="1" ht="25.2">
      <c r="A3353" s="125" t="s">
        <v>1911</v>
      </c>
      <c r="B3353" s="123"/>
      <c r="C3353" s="123"/>
      <c r="D3353" s="123"/>
      <c r="E3353" s="123"/>
      <c r="F3353" s="167"/>
      <c r="G3353" s="167"/>
      <c r="H3353" s="123"/>
      <c r="I3353" s="123"/>
      <c r="J3353" s="123"/>
      <c r="K3353" s="123"/>
      <c r="L3353" s="123"/>
      <c r="M3353" s="123"/>
      <c r="N3353" s="126"/>
    </row>
    <row r="3354" spans="1:14" s="3" customFormat="1" ht="9.9" customHeight="1">
      <c r="A3354" s="125"/>
      <c r="B3354" s="123"/>
      <c r="C3354" s="123"/>
      <c r="D3354" s="123"/>
      <c r="E3354" s="123"/>
      <c r="F3354" s="167"/>
      <c r="G3354" s="167"/>
      <c r="H3354" s="123"/>
      <c r="I3354" s="123"/>
      <c r="J3354" s="123"/>
      <c r="K3354" s="123"/>
      <c r="L3354" s="123"/>
      <c r="M3354" s="123"/>
      <c r="N3354" s="126"/>
    </row>
    <row r="3355" spans="1:14" s="3" customFormat="1" ht="42" customHeight="1">
      <c r="A3355" s="125" t="s">
        <v>1912</v>
      </c>
      <c r="B3355" s="123"/>
      <c r="C3355" s="123"/>
      <c r="D3355" s="123"/>
      <c r="E3355" s="123"/>
      <c r="F3355" s="166" t="s">
        <v>1913</v>
      </c>
      <c r="G3355" s="595" t="s">
        <v>1914</v>
      </c>
      <c r="H3355" s="595"/>
      <c r="I3355" s="595"/>
      <c r="J3355" s="595"/>
      <c r="K3355" s="595"/>
      <c r="L3355" s="595"/>
      <c r="M3355" s="595"/>
      <c r="N3355" s="596"/>
    </row>
    <row r="3356" spans="1:14" s="4" customFormat="1" ht="25.8" thickBot="1">
      <c r="A3356" s="125" t="s">
        <v>1915</v>
      </c>
      <c r="B3356" s="123"/>
      <c r="C3356" s="123"/>
      <c r="D3356" s="123"/>
      <c r="E3356" s="123"/>
      <c r="F3356" s="167"/>
      <c r="G3356" s="167"/>
      <c r="H3356" s="123"/>
      <c r="I3356" s="123"/>
      <c r="J3356" s="123"/>
      <c r="K3356" s="123"/>
      <c r="L3356" s="123"/>
      <c r="M3356" s="123"/>
      <c r="N3356" s="126"/>
    </row>
    <row r="3357" spans="1:14" ht="21" customHeight="1">
      <c r="A3357" s="598" t="s">
        <v>1916</v>
      </c>
      <c r="B3357" s="599"/>
      <c r="C3357" s="599"/>
      <c r="D3357" s="599"/>
      <c r="E3357" s="599"/>
      <c r="F3357" s="599"/>
      <c r="G3357" s="599"/>
      <c r="H3357" s="599"/>
      <c r="I3357" s="599"/>
      <c r="J3357" s="599"/>
      <c r="K3357" s="599"/>
      <c r="L3357" s="599"/>
      <c r="M3357" s="599"/>
      <c r="N3357" s="600"/>
    </row>
    <row r="3358" spans="1:14" ht="25.5" customHeight="1" thickBot="1">
      <c r="A3358" s="601"/>
      <c r="B3358" s="602"/>
      <c r="C3358" s="602"/>
      <c r="D3358" s="602"/>
      <c r="E3358" s="602"/>
      <c r="F3358" s="602"/>
      <c r="G3358" s="602"/>
      <c r="H3358" s="602"/>
      <c r="I3358" s="602"/>
      <c r="J3358" s="602"/>
      <c r="K3358" s="602"/>
      <c r="L3358" s="602"/>
      <c r="M3358" s="602"/>
      <c r="N3358" s="603"/>
    </row>
    <row r="3359" spans="1:14" ht="25.5" customHeight="1">
      <c r="E3359" s="206"/>
      <c r="F3359" s="206"/>
      <c r="G3359" s="206"/>
      <c r="H3359" s="206"/>
      <c r="I3359" s="206"/>
      <c r="J3359" s="206"/>
      <c r="K3359" s="206"/>
    </row>
    <row r="3360" spans="1:14" ht="21.6" thickBot="1"/>
    <row r="3361" spans="1:15" ht="95.25" customHeight="1" thickBot="1">
      <c r="A3361" s="592" t="s">
        <v>1883</v>
      </c>
      <c r="B3361" s="593"/>
      <c r="C3361" s="593"/>
      <c r="D3361" s="593"/>
      <c r="E3361" s="593"/>
      <c r="F3361" s="593"/>
      <c r="G3361" s="593"/>
      <c r="H3361" s="593"/>
      <c r="I3361" s="593"/>
      <c r="J3361" s="593"/>
      <c r="K3361" s="593"/>
      <c r="L3361" s="593"/>
      <c r="M3361" s="593"/>
      <c r="N3361" s="594"/>
    </row>
    <row r="3362" spans="1:15" s="3" customFormat="1" ht="37.5" customHeight="1">
      <c r="A3362" s="134" t="s">
        <v>1884</v>
      </c>
      <c r="B3362" s="166"/>
      <c r="C3362" s="166"/>
      <c r="D3362" s="123"/>
      <c r="E3362" s="123"/>
      <c r="F3362" s="167" t="s">
        <v>1885</v>
      </c>
      <c r="G3362" s="167" t="s">
        <v>1886</v>
      </c>
      <c r="H3362" s="167"/>
      <c r="I3362" s="167"/>
      <c r="J3362" s="167"/>
      <c r="K3362" s="167"/>
      <c r="L3362" s="167"/>
      <c r="M3362" s="167"/>
      <c r="N3362" s="152"/>
      <c r="O3362" s="201"/>
    </row>
    <row r="3363" spans="1:15" s="4" customFormat="1" ht="25.2">
      <c r="A3363" s="125" t="s">
        <v>1887</v>
      </c>
      <c r="B3363" s="123"/>
      <c r="C3363" s="123"/>
      <c r="D3363" s="123"/>
      <c r="E3363" s="123"/>
      <c r="F3363" s="167"/>
      <c r="G3363" s="167" t="s">
        <v>1888</v>
      </c>
      <c r="H3363" s="167"/>
      <c r="I3363" s="167"/>
      <c r="J3363" s="167"/>
      <c r="K3363" s="167"/>
      <c r="L3363" s="167"/>
      <c r="M3363" s="167"/>
      <c r="N3363" s="152"/>
    </row>
    <row r="3364" spans="1:15" s="3" customFormat="1" ht="9.9" customHeight="1">
      <c r="A3364" s="125"/>
      <c r="B3364" s="123"/>
      <c r="C3364" s="123"/>
      <c r="D3364" s="123"/>
      <c r="E3364" s="123"/>
      <c r="F3364" s="167"/>
      <c r="G3364" s="123"/>
      <c r="H3364" s="123"/>
      <c r="I3364" s="123"/>
      <c r="J3364" s="123"/>
      <c r="K3364" s="123"/>
      <c r="L3364" s="123"/>
      <c r="M3364" s="123"/>
      <c r="N3364" s="126"/>
    </row>
    <row r="3365" spans="1:15" s="3" customFormat="1" ht="42.75" customHeight="1">
      <c r="A3365" s="125" t="s">
        <v>1889</v>
      </c>
      <c r="B3365" s="123"/>
      <c r="C3365" s="123"/>
      <c r="D3365" s="123"/>
      <c r="E3365" s="123"/>
      <c r="F3365" s="167" t="s">
        <v>1885</v>
      </c>
      <c r="G3365" s="167" t="str">
        <f>PL!$B$13</f>
        <v>Branch of JSC "Doosan Enerbility" in the Turkestan region</v>
      </c>
      <c r="H3365" s="123"/>
      <c r="I3365" s="123"/>
      <c r="J3365" s="123"/>
      <c r="K3365" s="123"/>
      <c r="L3365" s="123"/>
      <c r="M3365" s="123"/>
      <c r="N3365" s="126"/>
    </row>
    <row r="3366" spans="1:15" s="3" customFormat="1" ht="24" customHeight="1">
      <c r="A3366" s="125" t="s">
        <v>1890</v>
      </c>
      <c r="B3366" s="123"/>
      <c r="C3366" s="123"/>
      <c r="D3366" s="123"/>
      <c r="E3366" s="123"/>
      <c r="F3366" s="168"/>
      <c r="G3366" s="167" t="str">
        <f>PL!$B$14</f>
        <v>321 Tauke Khan Avenue, Turkestan region, Turkestan, Kazakhstan, 161200</v>
      </c>
      <c r="H3366" s="123"/>
      <c r="I3366" s="123"/>
      <c r="J3366" s="123"/>
      <c r="K3366" s="123"/>
      <c r="L3366" s="123"/>
      <c r="M3366" s="123"/>
      <c r="N3366" s="126"/>
    </row>
    <row r="3367" spans="1:15" s="4" customFormat="1" ht="25.2">
      <c r="A3367" s="125"/>
      <c r="B3367" s="123"/>
      <c r="C3367" s="123"/>
      <c r="D3367" s="123"/>
      <c r="E3367" s="123"/>
      <c r="F3367" s="168"/>
      <c r="G3367" s="167" t="str">
        <f>PL!$B$15</f>
        <v>BIN: 230741006561</v>
      </c>
      <c r="H3367" s="123"/>
      <c r="I3367" s="123"/>
      <c r="J3367" s="123"/>
      <c r="K3367" s="123"/>
      <c r="L3367" s="123"/>
      <c r="M3367" s="123"/>
      <c r="N3367" s="126"/>
    </row>
    <row r="3368" spans="1:15" s="3" customFormat="1" ht="9.9" customHeight="1">
      <c r="A3368" s="125"/>
      <c r="B3368" s="123"/>
      <c r="C3368" s="123"/>
      <c r="D3368" s="123"/>
      <c r="E3368" s="123"/>
      <c r="F3368" s="169"/>
      <c r="G3368" s="169"/>
      <c r="H3368" s="123"/>
      <c r="I3368" s="123"/>
      <c r="J3368" s="123"/>
      <c r="K3368" s="123"/>
      <c r="L3368" s="123"/>
      <c r="M3368" s="123"/>
      <c r="N3368" s="126"/>
    </row>
    <row r="3369" spans="1:15" s="3" customFormat="1" ht="25.2">
      <c r="A3369" s="125" t="s">
        <v>1891</v>
      </c>
      <c r="B3369" s="123"/>
      <c r="C3369" s="123"/>
      <c r="D3369" s="123"/>
      <c r="E3369" s="123"/>
      <c r="F3369" s="167" t="s">
        <v>1892</v>
      </c>
      <c r="G3369" s="123"/>
      <c r="H3369" s="123"/>
      <c r="I3369" s="123"/>
      <c r="J3369" s="123"/>
      <c r="K3369" s="123"/>
      <c r="L3369" s="123"/>
      <c r="M3369" s="123"/>
      <c r="N3369" s="126"/>
    </row>
    <row r="3370" spans="1:15" s="4" customFormat="1" ht="25.2">
      <c r="A3370" s="125" t="s">
        <v>1893</v>
      </c>
      <c r="B3370" s="123"/>
      <c r="C3370" s="123"/>
      <c r="D3370" s="123"/>
      <c r="E3370" s="123"/>
      <c r="F3370" s="167" t="s">
        <v>1894</v>
      </c>
      <c r="G3370" s="123"/>
      <c r="H3370" s="123"/>
      <c r="I3370" s="123"/>
      <c r="J3370" s="123"/>
      <c r="K3370" s="123"/>
      <c r="L3370" s="123"/>
      <c r="M3370" s="123"/>
      <c r="N3370" s="126"/>
    </row>
    <row r="3371" spans="1:15" s="3" customFormat="1" ht="9.9" customHeight="1">
      <c r="A3371" s="125"/>
      <c r="B3371" s="123"/>
      <c r="C3371" s="123"/>
      <c r="D3371" s="123"/>
      <c r="E3371" s="123"/>
      <c r="F3371" s="167"/>
      <c r="G3371" s="123"/>
      <c r="H3371" s="123"/>
      <c r="I3371" s="123"/>
      <c r="J3371" s="123"/>
      <c r="K3371" s="123"/>
      <c r="L3371" s="123"/>
      <c r="M3371" s="123"/>
      <c r="N3371" s="126"/>
    </row>
    <row r="3372" spans="1:15" s="3" customFormat="1" ht="25.2">
      <c r="A3372" s="125" t="s">
        <v>1895</v>
      </c>
      <c r="B3372" s="123"/>
      <c r="C3372" s="123"/>
      <c r="D3372" s="123"/>
      <c r="E3372" s="123"/>
      <c r="F3372" s="167" t="s">
        <v>1896</v>
      </c>
      <c r="G3372" s="167" t="str">
        <f>PL!$V$8</f>
        <v>PGU-DE-0139-001</v>
      </c>
      <c r="H3372" s="123"/>
      <c r="I3372" s="123"/>
      <c r="J3372" s="123"/>
      <c r="K3372" s="123"/>
      <c r="L3372" s="123"/>
      <c r="M3372" s="123"/>
      <c r="N3372" s="126"/>
    </row>
    <row r="3373" spans="1:15" s="3" customFormat="1" ht="25.2">
      <c r="A3373" s="125" t="s">
        <v>1897</v>
      </c>
      <c r="B3373" s="123"/>
      <c r="C3373" s="123"/>
      <c r="D3373" s="123"/>
      <c r="E3373" s="123"/>
      <c r="F3373" s="167"/>
      <c r="G3373" s="123"/>
      <c r="H3373" s="123"/>
      <c r="I3373" s="123"/>
      <c r="J3373" s="123"/>
      <c r="K3373" s="123"/>
      <c r="L3373" s="123"/>
      <c r="M3373" s="123"/>
      <c r="N3373" s="126"/>
    </row>
    <row r="3374" spans="1:15" s="3" customFormat="1" ht="9.9" customHeight="1">
      <c r="A3374" s="125"/>
      <c r="B3374" s="123"/>
      <c r="C3374" s="123"/>
      <c r="D3374" s="123"/>
      <c r="E3374" s="123"/>
      <c r="F3374" s="167"/>
      <c r="G3374" s="123"/>
      <c r="H3374" s="123"/>
      <c r="I3374" s="123"/>
      <c r="J3374" s="123"/>
      <c r="K3374" s="123"/>
      <c r="L3374" s="123"/>
      <c r="M3374" s="123"/>
      <c r="N3374" s="126"/>
    </row>
    <row r="3375" spans="1:15" s="3" customFormat="1" ht="31.2" customHeight="1">
      <c r="A3375" s="127" t="s">
        <v>1898</v>
      </c>
      <c r="B3375" s="170"/>
      <c r="C3375" s="170"/>
      <c r="D3375" s="170"/>
      <c r="E3375" s="170"/>
      <c r="F3375" s="171" t="s">
        <v>1885</v>
      </c>
      <c r="G3375" s="597" t="e">
        <f>VLOOKUP(G3378, 'Detail PL'!$B$14:$Q$799,2)</f>
        <v>#N/A</v>
      </c>
      <c r="H3375" s="597"/>
      <c r="I3375" s="597"/>
      <c r="J3375" s="597"/>
      <c r="K3375" s="597"/>
      <c r="L3375" s="597"/>
      <c r="M3375" s="597"/>
      <c r="N3375" s="128"/>
    </row>
    <row r="3376" spans="1:15" s="3" customFormat="1" ht="25.2">
      <c r="A3376" s="127" t="s">
        <v>1899</v>
      </c>
      <c r="B3376" s="170"/>
      <c r="C3376" s="170"/>
      <c r="D3376" s="170"/>
      <c r="E3376" s="170"/>
      <c r="F3376" s="171"/>
      <c r="G3376" s="170"/>
      <c r="H3376" s="170"/>
      <c r="I3376" s="170"/>
      <c r="J3376" s="170"/>
      <c r="K3376" s="170"/>
      <c r="L3376" s="170"/>
      <c r="M3376" s="170"/>
      <c r="N3376" s="128"/>
    </row>
    <row r="3377" spans="1:14" s="3" customFormat="1" ht="9.9" customHeight="1">
      <c r="A3377" s="125"/>
      <c r="B3377" s="123"/>
      <c r="C3377" s="123"/>
      <c r="D3377" s="123"/>
      <c r="E3377" s="123"/>
      <c r="F3377" s="167"/>
      <c r="G3377" s="123"/>
      <c r="H3377" s="123"/>
      <c r="I3377" s="123"/>
      <c r="J3377" s="123"/>
      <c r="K3377" s="123"/>
      <c r="L3377" s="123"/>
      <c r="M3377" s="123"/>
      <c r="N3377" s="126"/>
    </row>
    <row r="3378" spans="1:14" s="3" customFormat="1" ht="25.2">
      <c r="A3378" s="125" t="s">
        <v>1900</v>
      </c>
      <c r="B3378" s="123"/>
      <c r="C3378" s="123"/>
      <c r="D3378" s="123"/>
      <c r="E3378" s="123"/>
      <c r="F3378" s="171" t="s">
        <v>1901</v>
      </c>
      <c r="G3378" s="604">
        <f t="shared" ref="G3378" si="94">G3343+1</f>
        <v>97</v>
      </c>
      <c r="H3378" s="604"/>
      <c r="I3378" s="604"/>
      <c r="J3378" s="604"/>
      <c r="K3378" s="604"/>
      <c r="L3378" s="123"/>
      <c r="M3378" s="123"/>
      <c r="N3378" s="126"/>
    </row>
    <row r="3379" spans="1:14" s="4" customFormat="1" ht="25.2">
      <c r="A3379" s="125" t="s">
        <v>1903</v>
      </c>
      <c r="B3379" s="123"/>
      <c r="C3379" s="123"/>
      <c r="D3379" s="123"/>
      <c r="E3379" s="123"/>
      <c r="F3379" s="167"/>
      <c r="G3379" s="167"/>
      <c r="H3379" s="123"/>
      <c r="I3379" s="123"/>
      <c r="J3379" s="123"/>
      <c r="K3379" s="123"/>
      <c r="L3379" s="123"/>
      <c r="M3379" s="123"/>
      <c r="N3379" s="126"/>
    </row>
    <row r="3380" spans="1:14" s="3" customFormat="1" ht="9.9" customHeight="1">
      <c r="A3380" s="125"/>
      <c r="B3380" s="123"/>
      <c r="C3380" s="123"/>
      <c r="D3380" s="123"/>
      <c r="E3380" s="123"/>
      <c r="F3380" s="167"/>
      <c r="G3380" s="167"/>
      <c r="H3380" s="123"/>
      <c r="I3380" s="123"/>
      <c r="J3380" s="123"/>
      <c r="K3380" s="123"/>
      <c r="L3380" s="123"/>
      <c r="M3380" s="123"/>
      <c r="N3380" s="126"/>
    </row>
    <row r="3381" spans="1:14" s="3" customFormat="1" ht="25.2">
      <c r="A3381" s="125" t="s">
        <v>1904</v>
      </c>
      <c r="B3381" s="123"/>
      <c r="C3381" s="123"/>
      <c r="D3381" s="123"/>
      <c r="E3381" s="123"/>
      <c r="F3381" s="167" t="s">
        <v>1896</v>
      </c>
      <c r="G3381" s="204" t="e">
        <f>VLOOKUP(G3378, 'Detail PL'!$B$14:$Q$799, 10)</f>
        <v>#N/A</v>
      </c>
      <c r="H3381" s="204" t="s">
        <v>1905</v>
      </c>
      <c r="I3381" s="204"/>
      <c r="J3381" s="204"/>
      <c r="K3381" s="123"/>
      <c r="L3381" s="123"/>
      <c r="M3381" s="123"/>
      <c r="N3381" s="126"/>
    </row>
    <row r="3382" spans="1:14" s="4" customFormat="1" ht="25.2">
      <c r="A3382" s="125" t="s">
        <v>1906</v>
      </c>
      <c r="B3382" s="123"/>
      <c r="C3382" s="123"/>
      <c r="D3382" s="123"/>
      <c r="E3382" s="123"/>
      <c r="F3382" s="167"/>
      <c r="G3382" s="167"/>
      <c r="H3382" s="167"/>
      <c r="I3382" s="123"/>
      <c r="J3382" s="123"/>
      <c r="K3382" s="123"/>
      <c r="L3382" s="123"/>
      <c r="M3382" s="123"/>
      <c r="N3382" s="126"/>
    </row>
    <row r="3383" spans="1:14" s="3" customFormat="1" ht="9.9" customHeight="1">
      <c r="A3383" s="125"/>
      <c r="B3383" s="123"/>
      <c r="C3383" s="123"/>
      <c r="D3383" s="123"/>
      <c r="E3383" s="123"/>
      <c r="F3383" s="167"/>
      <c r="G3383" s="167"/>
      <c r="H3383" s="167"/>
      <c r="I3383" s="123"/>
      <c r="J3383" s="123"/>
      <c r="K3383" s="123"/>
      <c r="L3383" s="123"/>
      <c r="M3383" s="123"/>
      <c r="N3383" s="126"/>
    </row>
    <row r="3384" spans="1:14" s="3" customFormat="1" ht="25.2">
      <c r="A3384" s="125" t="s">
        <v>1907</v>
      </c>
      <c r="B3384" s="123"/>
      <c r="C3384" s="123"/>
      <c r="D3384" s="123"/>
      <c r="E3384" s="123"/>
      <c r="F3384" s="167" t="s">
        <v>1896</v>
      </c>
      <c r="G3384" s="204" t="e">
        <f>VLOOKUP(G3378, 'Detail PL'!$B$14:$Q$799, 11)</f>
        <v>#N/A</v>
      </c>
      <c r="H3384" s="204" t="s">
        <v>1905</v>
      </c>
      <c r="I3384" s="204"/>
      <c r="J3384" s="204"/>
      <c r="K3384" s="123"/>
      <c r="L3384" s="123"/>
      <c r="M3384" s="123"/>
      <c r="N3384" s="126"/>
    </row>
    <row r="3385" spans="1:14" s="4" customFormat="1" ht="25.2">
      <c r="A3385" s="125" t="s">
        <v>1908</v>
      </c>
      <c r="B3385" s="123"/>
      <c r="C3385" s="123"/>
      <c r="D3385" s="123"/>
      <c r="E3385" s="123"/>
      <c r="F3385" s="167"/>
      <c r="G3385" s="167"/>
      <c r="H3385" s="123"/>
      <c r="I3385" s="123"/>
      <c r="J3385" s="123"/>
      <c r="K3385" s="123"/>
      <c r="L3385" s="123"/>
      <c r="M3385" s="123"/>
      <c r="N3385" s="126"/>
    </row>
    <row r="3386" spans="1:14" s="3" customFormat="1" ht="9.9" customHeight="1">
      <c r="A3386" s="125"/>
      <c r="B3386" s="123"/>
      <c r="C3386" s="123"/>
      <c r="D3386" s="123"/>
      <c r="E3386" s="123"/>
      <c r="F3386" s="167"/>
      <c r="G3386" s="167"/>
      <c r="H3386" s="123"/>
      <c r="I3386" s="123"/>
      <c r="J3386" s="123"/>
      <c r="K3386" s="123"/>
      <c r="L3386" s="123"/>
      <c r="M3386" s="123"/>
      <c r="N3386" s="126"/>
    </row>
    <row r="3387" spans="1:14" s="3" customFormat="1" ht="25.2">
      <c r="A3387" s="129" t="s">
        <v>1909</v>
      </c>
      <c r="B3387" s="123"/>
      <c r="C3387" s="123"/>
      <c r="D3387" s="123"/>
      <c r="E3387" s="123"/>
      <c r="F3387" s="167" t="s">
        <v>1896</v>
      </c>
      <c r="G3387" s="204" t="e">
        <f>VLOOKUP(G3378, 'Detail PL'!$B$14:$Q$799, 9)</f>
        <v>#N/A</v>
      </c>
      <c r="H3387" s="205" t="s">
        <v>1910</v>
      </c>
      <c r="I3387" s="203"/>
      <c r="J3387" s="203"/>
      <c r="K3387" s="172"/>
      <c r="L3387" s="123"/>
      <c r="M3387" s="123"/>
      <c r="N3387" s="126"/>
    </row>
    <row r="3388" spans="1:14" s="4" customFormat="1" ht="25.2">
      <c r="A3388" s="125" t="s">
        <v>1911</v>
      </c>
      <c r="B3388" s="123"/>
      <c r="C3388" s="123"/>
      <c r="D3388" s="123"/>
      <c r="E3388" s="123"/>
      <c r="F3388" s="167"/>
      <c r="G3388" s="167"/>
      <c r="H3388" s="123"/>
      <c r="I3388" s="123"/>
      <c r="J3388" s="123"/>
      <c r="K3388" s="123"/>
      <c r="L3388" s="123"/>
      <c r="M3388" s="123"/>
      <c r="N3388" s="126"/>
    </row>
    <row r="3389" spans="1:14" s="3" customFormat="1" ht="9.9" customHeight="1">
      <c r="A3389" s="125"/>
      <c r="B3389" s="123"/>
      <c r="C3389" s="123"/>
      <c r="D3389" s="123"/>
      <c r="E3389" s="123"/>
      <c r="F3389" s="167"/>
      <c r="G3389" s="167"/>
      <c r="H3389" s="123"/>
      <c r="I3389" s="123"/>
      <c r="J3389" s="123"/>
      <c r="K3389" s="123"/>
      <c r="L3389" s="123"/>
      <c r="M3389" s="123"/>
      <c r="N3389" s="126"/>
    </row>
    <row r="3390" spans="1:14" s="3" customFormat="1" ht="42" customHeight="1">
      <c r="A3390" s="125" t="s">
        <v>1912</v>
      </c>
      <c r="B3390" s="123"/>
      <c r="C3390" s="123"/>
      <c r="D3390" s="123"/>
      <c r="E3390" s="123"/>
      <c r="F3390" s="166" t="s">
        <v>1913</v>
      </c>
      <c r="G3390" s="595" t="s">
        <v>1914</v>
      </c>
      <c r="H3390" s="595"/>
      <c r="I3390" s="595"/>
      <c r="J3390" s="595"/>
      <c r="K3390" s="595"/>
      <c r="L3390" s="595"/>
      <c r="M3390" s="595"/>
      <c r="N3390" s="596"/>
    </row>
    <row r="3391" spans="1:14" s="4" customFormat="1" ht="25.8" thickBot="1">
      <c r="A3391" s="125" t="s">
        <v>1915</v>
      </c>
      <c r="B3391" s="123"/>
      <c r="C3391" s="123"/>
      <c r="D3391" s="123"/>
      <c r="E3391" s="123"/>
      <c r="F3391" s="167"/>
      <c r="G3391" s="167"/>
      <c r="H3391" s="123"/>
      <c r="I3391" s="123"/>
      <c r="J3391" s="123"/>
      <c r="K3391" s="123"/>
      <c r="L3391" s="123"/>
      <c r="M3391" s="123"/>
      <c r="N3391" s="126"/>
    </row>
    <row r="3392" spans="1:14" ht="21" customHeight="1">
      <c r="A3392" s="598" t="s">
        <v>1916</v>
      </c>
      <c r="B3392" s="599"/>
      <c r="C3392" s="599"/>
      <c r="D3392" s="599"/>
      <c r="E3392" s="599"/>
      <c r="F3392" s="599"/>
      <c r="G3392" s="599"/>
      <c r="H3392" s="599"/>
      <c r="I3392" s="599"/>
      <c r="J3392" s="599"/>
      <c r="K3392" s="599"/>
      <c r="L3392" s="599"/>
      <c r="M3392" s="599"/>
      <c r="N3392" s="600"/>
    </row>
    <row r="3393" spans="1:15" ht="25.5" customHeight="1" thickBot="1">
      <c r="A3393" s="601"/>
      <c r="B3393" s="602"/>
      <c r="C3393" s="602"/>
      <c r="D3393" s="602"/>
      <c r="E3393" s="602"/>
      <c r="F3393" s="602"/>
      <c r="G3393" s="602"/>
      <c r="H3393" s="602"/>
      <c r="I3393" s="602"/>
      <c r="J3393" s="602"/>
      <c r="K3393" s="602"/>
      <c r="L3393" s="602"/>
      <c r="M3393" s="602"/>
      <c r="N3393" s="603"/>
    </row>
    <row r="3394" spans="1:15" ht="25.5" customHeight="1">
      <c r="E3394" s="206"/>
      <c r="F3394" s="206"/>
      <c r="G3394" s="206"/>
      <c r="H3394" s="206"/>
      <c r="I3394" s="206"/>
      <c r="J3394" s="206"/>
      <c r="K3394" s="206"/>
    </row>
    <row r="3395" spans="1:15" ht="21.6" thickBot="1"/>
    <row r="3396" spans="1:15" ht="95.25" customHeight="1" thickBot="1">
      <c r="A3396" s="592" t="s">
        <v>1883</v>
      </c>
      <c r="B3396" s="593"/>
      <c r="C3396" s="593"/>
      <c r="D3396" s="593"/>
      <c r="E3396" s="593"/>
      <c r="F3396" s="593"/>
      <c r="G3396" s="593"/>
      <c r="H3396" s="593"/>
      <c r="I3396" s="593"/>
      <c r="J3396" s="593"/>
      <c r="K3396" s="593"/>
      <c r="L3396" s="593"/>
      <c r="M3396" s="593"/>
      <c r="N3396" s="594"/>
    </row>
    <row r="3397" spans="1:15" s="3" customFormat="1" ht="37.5" customHeight="1">
      <c r="A3397" s="134" t="s">
        <v>1884</v>
      </c>
      <c r="B3397" s="166"/>
      <c r="C3397" s="166"/>
      <c r="D3397" s="123"/>
      <c r="E3397" s="123"/>
      <c r="F3397" s="167" t="s">
        <v>1885</v>
      </c>
      <c r="G3397" s="167" t="s">
        <v>1886</v>
      </c>
      <c r="H3397" s="167"/>
      <c r="I3397" s="167"/>
      <c r="J3397" s="167"/>
      <c r="K3397" s="167"/>
      <c r="L3397" s="167"/>
      <c r="M3397" s="167"/>
      <c r="N3397" s="152"/>
      <c r="O3397" s="201"/>
    </row>
    <row r="3398" spans="1:15" s="4" customFormat="1" ht="25.2">
      <c r="A3398" s="125" t="s">
        <v>1887</v>
      </c>
      <c r="B3398" s="123"/>
      <c r="C3398" s="123"/>
      <c r="D3398" s="123"/>
      <c r="E3398" s="123"/>
      <c r="F3398" s="167"/>
      <c r="G3398" s="167" t="s">
        <v>1888</v>
      </c>
      <c r="H3398" s="167"/>
      <c r="I3398" s="167"/>
      <c r="J3398" s="167"/>
      <c r="K3398" s="167"/>
      <c r="L3398" s="167"/>
      <c r="M3398" s="167"/>
      <c r="N3398" s="152"/>
    </row>
    <row r="3399" spans="1:15" s="3" customFormat="1" ht="9.9" customHeight="1">
      <c r="A3399" s="125"/>
      <c r="B3399" s="123"/>
      <c r="C3399" s="123"/>
      <c r="D3399" s="123"/>
      <c r="E3399" s="123"/>
      <c r="F3399" s="167"/>
      <c r="G3399" s="123"/>
      <c r="H3399" s="123"/>
      <c r="I3399" s="123"/>
      <c r="J3399" s="123"/>
      <c r="K3399" s="123"/>
      <c r="L3399" s="123"/>
      <c r="M3399" s="123"/>
      <c r="N3399" s="126"/>
    </row>
    <row r="3400" spans="1:15" s="3" customFormat="1" ht="42.75" customHeight="1">
      <c r="A3400" s="125" t="s">
        <v>1889</v>
      </c>
      <c r="B3400" s="123"/>
      <c r="C3400" s="123"/>
      <c r="D3400" s="123"/>
      <c r="E3400" s="123"/>
      <c r="F3400" s="167" t="s">
        <v>1885</v>
      </c>
      <c r="G3400" s="167" t="str">
        <f>PL!$B$13</f>
        <v>Branch of JSC "Doosan Enerbility" in the Turkestan region</v>
      </c>
      <c r="H3400" s="123"/>
      <c r="I3400" s="123"/>
      <c r="J3400" s="123"/>
      <c r="K3400" s="123"/>
      <c r="L3400" s="123"/>
      <c r="M3400" s="123"/>
      <c r="N3400" s="126"/>
    </row>
    <row r="3401" spans="1:15" s="3" customFormat="1" ht="24" customHeight="1">
      <c r="A3401" s="125" t="s">
        <v>1890</v>
      </c>
      <c r="B3401" s="123"/>
      <c r="C3401" s="123"/>
      <c r="D3401" s="123"/>
      <c r="E3401" s="123"/>
      <c r="F3401" s="168"/>
      <c r="G3401" s="167" t="str">
        <f>PL!$B$14</f>
        <v>321 Tauke Khan Avenue, Turkestan region, Turkestan, Kazakhstan, 161200</v>
      </c>
      <c r="H3401" s="123"/>
      <c r="I3401" s="123"/>
      <c r="J3401" s="123"/>
      <c r="K3401" s="123"/>
      <c r="L3401" s="123"/>
      <c r="M3401" s="123"/>
      <c r="N3401" s="126"/>
    </row>
    <row r="3402" spans="1:15" s="4" customFormat="1" ht="25.2">
      <c r="A3402" s="125"/>
      <c r="B3402" s="123"/>
      <c r="C3402" s="123"/>
      <c r="D3402" s="123"/>
      <c r="E3402" s="123"/>
      <c r="F3402" s="168"/>
      <c r="G3402" s="167" t="str">
        <f>PL!$B$15</f>
        <v>BIN: 230741006561</v>
      </c>
      <c r="H3402" s="123"/>
      <c r="I3402" s="123"/>
      <c r="J3402" s="123"/>
      <c r="K3402" s="123"/>
      <c r="L3402" s="123"/>
      <c r="M3402" s="123"/>
      <c r="N3402" s="126"/>
    </row>
    <row r="3403" spans="1:15" s="3" customFormat="1" ht="9.9" customHeight="1">
      <c r="A3403" s="125"/>
      <c r="B3403" s="123"/>
      <c r="C3403" s="123"/>
      <c r="D3403" s="123"/>
      <c r="E3403" s="123"/>
      <c r="F3403" s="169"/>
      <c r="G3403" s="169"/>
      <c r="H3403" s="123"/>
      <c r="I3403" s="123"/>
      <c r="J3403" s="123"/>
      <c r="K3403" s="123"/>
      <c r="L3403" s="123"/>
      <c r="M3403" s="123"/>
      <c r="N3403" s="126"/>
    </row>
    <row r="3404" spans="1:15" s="3" customFormat="1" ht="25.2">
      <c r="A3404" s="125" t="s">
        <v>1891</v>
      </c>
      <c r="B3404" s="123"/>
      <c r="C3404" s="123"/>
      <c r="D3404" s="123"/>
      <c r="E3404" s="123"/>
      <c r="F3404" s="167" t="s">
        <v>1892</v>
      </c>
      <c r="G3404" s="123"/>
      <c r="H3404" s="123"/>
      <c r="I3404" s="123"/>
      <c r="J3404" s="123"/>
      <c r="K3404" s="123"/>
      <c r="L3404" s="123"/>
      <c r="M3404" s="123"/>
      <c r="N3404" s="126"/>
    </row>
    <row r="3405" spans="1:15" s="4" customFormat="1" ht="25.2">
      <c r="A3405" s="125" t="s">
        <v>1893</v>
      </c>
      <c r="B3405" s="123"/>
      <c r="C3405" s="123"/>
      <c r="D3405" s="123"/>
      <c r="E3405" s="123"/>
      <c r="F3405" s="167" t="s">
        <v>1894</v>
      </c>
      <c r="G3405" s="123"/>
      <c r="H3405" s="123"/>
      <c r="I3405" s="123"/>
      <c r="J3405" s="123"/>
      <c r="K3405" s="123"/>
      <c r="L3405" s="123"/>
      <c r="M3405" s="123"/>
      <c r="N3405" s="126"/>
    </row>
    <row r="3406" spans="1:15" s="3" customFormat="1" ht="9.9" customHeight="1">
      <c r="A3406" s="125"/>
      <c r="B3406" s="123"/>
      <c r="C3406" s="123"/>
      <c r="D3406" s="123"/>
      <c r="E3406" s="123"/>
      <c r="F3406" s="167"/>
      <c r="G3406" s="123"/>
      <c r="H3406" s="123"/>
      <c r="I3406" s="123"/>
      <c r="J3406" s="123"/>
      <c r="K3406" s="123"/>
      <c r="L3406" s="123"/>
      <c r="M3406" s="123"/>
      <c r="N3406" s="126"/>
    </row>
    <row r="3407" spans="1:15" s="3" customFormat="1" ht="25.2">
      <c r="A3407" s="125" t="s">
        <v>1895</v>
      </c>
      <c r="B3407" s="123"/>
      <c r="C3407" s="123"/>
      <c r="D3407" s="123"/>
      <c r="E3407" s="123"/>
      <c r="F3407" s="167" t="s">
        <v>1896</v>
      </c>
      <c r="G3407" s="167" t="str">
        <f>PL!$V$8</f>
        <v>PGU-DE-0139-001</v>
      </c>
      <c r="H3407" s="123"/>
      <c r="I3407" s="123"/>
      <c r="J3407" s="123"/>
      <c r="K3407" s="123"/>
      <c r="L3407" s="123"/>
      <c r="M3407" s="123"/>
      <c r="N3407" s="126"/>
    </row>
    <row r="3408" spans="1:15" s="3" customFormat="1" ht="25.2">
      <c r="A3408" s="125" t="s">
        <v>1897</v>
      </c>
      <c r="B3408" s="123"/>
      <c r="C3408" s="123"/>
      <c r="D3408" s="123"/>
      <c r="E3408" s="123"/>
      <c r="F3408" s="167"/>
      <c r="G3408" s="123"/>
      <c r="H3408" s="123"/>
      <c r="I3408" s="123"/>
      <c r="J3408" s="123"/>
      <c r="K3408" s="123"/>
      <c r="L3408" s="123"/>
      <c r="M3408" s="123"/>
      <c r="N3408" s="126"/>
    </row>
    <row r="3409" spans="1:14" s="3" customFormat="1" ht="9.9" customHeight="1">
      <c r="A3409" s="125"/>
      <c r="B3409" s="123"/>
      <c r="C3409" s="123"/>
      <c r="D3409" s="123"/>
      <c r="E3409" s="123"/>
      <c r="F3409" s="167"/>
      <c r="G3409" s="123"/>
      <c r="H3409" s="123"/>
      <c r="I3409" s="123"/>
      <c r="J3409" s="123"/>
      <c r="K3409" s="123"/>
      <c r="L3409" s="123"/>
      <c r="M3409" s="123"/>
      <c r="N3409" s="126"/>
    </row>
    <row r="3410" spans="1:14" s="3" customFormat="1" ht="31.2" customHeight="1">
      <c r="A3410" s="127" t="s">
        <v>1898</v>
      </c>
      <c r="B3410" s="170"/>
      <c r="C3410" s="170"/>
      <c r="D3410" s="170"/>
      <c r="E3410" s="170"/>
      <c r="F3410" s="171" t="s">
        <v>1885</v>
      </c>
      <c r="G3410" s="597" t="e">
        <f>VLOOKUP(G3413, 'Detail PL'!$B$14:$Q$799,2)</f>
        <v>#N/A</v>
      </c>
      <c r="H3410" s="597"/>
      <c r="I3410" s="597"/>
      <c r="J3410" s="597"/>
      <c r="K3410" s="597"/>
      <c r="L3410" s="597"/>
      <c r="M3410" s="597"/>
      <c r="N3410" s="128"/>
    </row>
    <row r="3411" spans="1:14" s="3" customFormat="1" ht="25.2">
      <c r="A3411" s="127" t="s">
        <v>1899</v>
      </c>
      <c r="B3411" s="170"/>
      <c r="C3411" s="170"/>
      <c r="D3411" s="170"/>
      <c r="E3411" s="170"/>
      <c r="F3411" s="171"/>
      <c r="G3411" s="170"/>
      <c r="H3411" s="170"/>
      <c r="I3411" s="170"/>
      <c r="J3411" s="170"/>
      <c r="K3411" s="170"/>
      <c r="L3411" s="170"/>
      <c r="M3411" s="170"/>
      <c r="N3411" s="128"/>
    </row>
    <row r="3412" spans="1:14" s="3" customFormat="1" ht="9.9" customHeight="1">
      <c r="A3412" s="125"/>
      <c r="B3412" s="123"/>
      <c r="C3412" s="123"/>
      <c r="D3412" s="123"/>
      <c r="E3412" s="123"/>
      <c r="F3412" s="167"/>
      <c r="G3412" s="123"/>
      <c r="H3412" s="123"/>
      <c r="I3412" s="123"/>
      <c r="J3412" s="123"/>
      <c r="K3412" s="123"/>
      <c r="L3412" s="123"/>
      <c r="M3412" s="123"/>
      <c r="N3412" s="126"/>
    </row>
    <row r="3413" spans="1:14" s="3" customFormat="1" ht="25.2">
      <c r="A3413" s="125" t="s">
        <v>1900</v>
      </c>
      <c r="B3413" s="123"/>
      <c r="C3413" s="123"/>
      <c r="D3413" s="123"/>
      <c r="E3413" s="123"/>
      <c r="F3413" s="171" t="s">
        <v>1901</v>
      </c>
      <c r="G3413" s="604">
        <f t="shared" ref="G3413" si="95">G3378+1</f>
        <v>98</v>
      </c>
      <c r="H3413" s="604"/>
      <c r="I3413" s="604"/>
      <c r="J3413" s="604"/>
      <c r="K3413" s="604"/>
      <c r="L3413" s="123"/>
      <c r="M3413" s="123"/>
      <c r="N3413" s="126"/>
    </row>
    <row r="3414" spans="1:14" s="4" customFormat="1" ht="25.2">
      <c r="A3414" s="125" t="s">
        <v>1903</v>
      </c>
      <c r="B3414" s="123"/>
      <c r="C3414" s="123"/>
      <c r="D3414" s="123"/>
      <c r="E3414" s="123"/>
      <c r="F3414" s="167"/>
      <c r="G3414" s="167"/>
      <c r="H3414" s="123"/>
      <c r="I3414" s="123"/>
      <c r="J3414" s="123"/>
      <c r="K3414" s="123"/>
      <c r="L3414" s="123"/>
      <c r="M3414" s="123"/>
      <c r="N3414" s="126"/>
    </row>
    <row r="3415" spans="1:14" s="3" customFormat="1" ht="9.9" customHeight="1">
      <c r="A3415" s="125"/>
      <c r="B3415" s="123"/>
      <c r="C3415" s="123"/>
      <c r="D3415" s="123"/>
      <c r="E3415" s="123"/>
      <c r="F3415" s="167"/>
      <c r="G3415" s="167"/>
      <c r="H3415" s="123"/>
      <c r="I3415" s="123"/>
      <c r="J3415" s="123"/>
      <c r="K3415" s="123"/>
      <c r="L3415" s="123"/>
      <c r="M3415" s="123"/>
      <c r="N3415" s="126"/>
    </row>
    <row r="3416" spans="1:14" s="3" customFormat="1" ht="25.2">
      <c r="A3416" s="125" t="s">
        <v>1904</v>
      </c>
      <c r="B3416" s="123"/>
      <c r="C3416" s="123"/>
      <c r="D3416" s="123"/>
      <c r="E3416" s="123"/>
      <c r="F3416" s="167" t="s">
        <v>1896</v>
      </c>
      <c r="G3416" s="204" t="e">
        <f>VLOOKUP(G3413, 'Detail PL'!$B$14:$Q$799, 10)</f>
        <v>#N/A</v>
      </c>
      <c r="H3416" s="204" t="s">
        <v>1905</v>
      </c>
      <c r="I3416" s="204"/>
      <c r="J3416" s="204"/>
      <c r="K3416" s="123"/>
      <c r="L3416" s="123"/>
      <c r="M3416" s="123"/>
      <c r="N3416" s="126"/>
    </row>
    <row r="3417" spans="1:14" s="4" customFormat="1" ht="25.2">
      <c r="A3417" s="125" t="s">
        <v>1906</v>
      </c>
      <c r="B3417" s="123"/>
      <c r="C3417" s="123"/>
      <c r="D3417" s="123"/>
      <c r="E3417" s="123"/>
      <c r="F3417" s="167"/>
      <c r="G3417" s="167"/>
      <c r="H3417" s="167"/>
      <c r="I3417" s="123"/>
      <c r="J3417" s="123"/>
      <c r="K3417" s="123"/>
      <c r="L3417" s="123"/>
      <c r="M3417" s="123"/>
      <c r="N3417" s="126"/>
    </row>
    <row r="3418" spans="1:14" s="3" customFormat="1" ht="9.9" customHeight="1">
      <c r="A3418" s="125"/>
      <c r="B3418" s="123"/>
      <c r="C3418" s="123"/>
      <c r="D3418" s="123"/>
      <c r="E3418" s="123"/>
      <c r="F3418" s="167"/>
      <c r="G3418" s="167"/>
      <c r="H3418" s="167"/>
      <c r="I3418" s="123"/>
      <c r="J3418" s="123"/>
      <c r="K3418" s="123"/>
      <c r="L3418" s="123"/>
      <c r="M3418" s="123"/>
      <c r="N3418" s="126"/>
    </row>
    <row r="3419" spans="1:14" s="3" customFormat="1" ht="25.2">
      <c r="A3419" s="125" t="s">
        <v>1907</v>
      </c>
      <c r="B3419" s="123"/>
      <c r="C3419" s="123"/>
      <c r="D3419" s="123"/>
      <c r="E3419" s="123"/>
      <c r="F3419" s="167" t="s">
        <v>1896</v>
      </c>
      <c r="G3419" s="204" t="e">
        <f>VLOOKUP(G3413, 'Detail PL'!$B$14:$Q$799, 11)</f>
        <v>#N/A</v>
      </c>
      <c r="H3419" s="204" t="s">
        <v>1905</v>
      </c>
      <c r="I3419" s="204"/>
      <c r="J3419" s="204"/>
      <c r="K3419" s="123"/>
      <c r="L3419" s="123"/>
      <c r="M3419" s="123"/>
      <c r="N3419" s="126"/>
    </row>
    <row r="3420" spans="1:14" s="4" customFormat="1" ht="25.2">
      <c r="A3420" s="125" t="s">
        <v>1908</v>
      </c>
      <c r="B3420" s="123"/>
      <c r="C3420" s="123"/>
      <c r="D3420" s="123"/>
      <c r="E3420" s="123"/>
      <c r="F3420" s="167"/>
      <c r="G3420" s="167"/>
      <c r="H3420" s="123"/>
      <c r="I3420" s="123"/>
      <c r="J3420" s="123"/>
      <c r="K3420" s="123"/>
      <c r="L3420" s="123"/>
      <c r="M3420" s="123"/>
      <c r="N3420" s="126"/>
    </row>
    <row r="3421" spans="1:14" s="3" customFormat="1" ht="9.9" customHeight="1">
      <c r="A3421" s="125"/>
      <c r="B3421" s="123"/>
      <c r="C3421" s="123"/>
      <c r="D3421" s="123"/>
      <c r="E3421" s="123"/>
      <c r="F3421" s="167"/>
      <c r="G3421" s="167"/>
      <c r="H3421" s="123"/>
      <c r="I3421" s="123"/>
      <c r="J3421" s="123"/>
      <c r="K3421" s="123"/>
      <c r="L3421" s="123"/>
      <c r="M3421" s="123"/>
      <c r="N3421" s="126"/>
    </row>
    <row r="3422" spans="1:14" s="3" customFormat="1" ht="25.2">
      <c r="A3422" s="129" t="s">
        <v>1909</v>
      </c>
      <c r="B3422" s="123"/>
      <c r="C3422" s="123"/>
      <c r="D3422" s="123"/>
      <c r="E3422" s="123"/>
      <c r="F3422" s="167" t="s">
        <v>1896</v>
      </c>
      <c r="G3422" s="204" t="e">
        <f>VLOOKUP(G3413, 'Detail PL'!$B$14:$Q$799, 9)</f>
        <v>#N/A</v>
      </c>
      <c r="H3422" s="205" t="s">
        <v>1910</v>
      </c>
      <c r="I3422" s="203"/>
      <c r="J3422" s="203"/>
      <c r="K3422" s="172"/>
      <c r="L3422" s="123"/>
      <c r="M3422" s="123"/>
      <c r="N3422" s="126"/>
    </row>
    <row r="3423" spans="1:14" s="4" customFormat="1" ht="25.2">
      <c r="A3423" s="125" t="s">
        <v>1911</v>
      </c>
      <c r="B3423" s="123"/>
      <c r="C3423" s="123"/>
      <c r="D3423" s="123"/>
      <c r="E3423" s="123"/>
      <c r="F3423" s="167"/>
      <c r="G3423" s="167"/>
      <c r="H3423" s="123"/>
      <c r="I3423" s="123"/>
      <c r="J3423" s="123"/>
      <c r="K3423" s="123"/>
      <c r="L3423" s="123"/>
      <c r="M3423" s="123"/>
      <c r="N3423" s="126"/>
    </row>
    <row r="3424" spans="1:14" s="3" customFormat="1" ht="9.9" customHeight="1">
      <c r="A3424" s="125"/>
      <c r="B3424" s="123"/>
      <c r="C3424" s="123"/>
      <c r="D3424" s="123"/>
      <c r="E3424" s="123"/>
      <c r="F3424" s="167"/>
      <c r="G3424" s="167"/>
      <c r="H3424" s="123"/>
      <c r="I3424" s="123"/>
      <c r="J3424" s="123"/>
      <c r="K3424" s="123"/>
      <c r="L3424" s="123"/>
      <c r="M3424" s="123"/>
      <c r="N3424" s="126"/>
    </row>
    <row r="3425" spans="1:15" s="3" customFormat="1" ht="42" customHeight="1">
      <c r="A3425" s="125" t="s">
        <v>1912</v>
      </c>
      <c r="B3425" s="123"/>
      <c r="C3425" s="123"/>
      <c r="D3425" s="123"/>
      <c r="E3425" s="123"/>
      <c r="F3425" s="166" t="s">
        <v>1913</v>
      </c>
      <c r="G3425" s="595" t="s">
        <v>1914</v>
      </c>
      <c r="H3425" s="595"/>
      <c r="I3425" s="595"/>
      <c r="J3425" s="595"/>
      <c r="K3425" s="595"/>
      <c r="L3425" s="595"/>
      <c r="M3425" s="595"/>
      <c r="N3425" s="596"/>
    </row>
    <row r="3426" spans="1:15" s="4" customFormat="1" ht="25.8" thickBot="1">
      <c r="A3426" s="125" t="s">
        <v>1915</v>
      </c>
      <c r="B3426" s="123"/>
      <c r="C3426" s="123"/>
      <c r="D3426" s="123"/>
      <c r="E3426" s="123"/>
      <c r="F3426" s="167"/>
      <c r="G3426" s="167"/>
      <c r="H3426" s="123"/>
      <c r="I3426" s="123"/>
      <c r="J3426" s="123"/>
      <c r="K3426" s="123"/>
      <c r="L3426" s="123"/>
      <c r="M3426" s="123"/>
      <c r="N3426" s="126"/>
    </row>
    <row r="3427" spans="1:15" ht="21" customHeight="1">
      <c r="A3427" s="598" t="s">
        <v>1916</v>
      </c>
      <c r="B3427" s="599"/>
      <c r="C3427" s="599"/>
      <c r="D3427" s="599"/>
      <c r="E3427" s="599"/>
      <c r="F3427" s="599"/>
      <c r="G3427" s="599"/>
      <c r="H3427" s="599"/>
      <c r="I3427" s="599"/>
      <c r="J3427" s="599"/>
      <c r="K3427" s="599"/>
      <c r="L3427" s="599"/>
      <c r="M3427" s="599"/>
      <c r="N3427" s="600"/>
    </row>
    <row r="3428" spans="1:15" ht="25.5" customHeight="1" thickBot="1">
      <c r="A3428" s="601"/>
      <c r="B3428" s="602"/>
      <c r="C3428" s="602"/>
      <c r="D3428" s="602"/>
      <c r="E3428" s="602"/>
      <c r="F3428" s="602"/>
      <c r="G3428" s="602"/>
      <c r="H3428" s="602"/>
      <c r="I3428" s="602"/>
      <c r="J3428" s="602"/>
      <c r="K3428" s="602"/>
      <c r="L3428" s="602"/>
      <c r="M3428" s="602"/>
      <c r="N3428" s="603"/>
    </row>
    <row r="3429" spans="1:15" ht="25.5" customHeight="1">
      <c r="E3429" s="206"/>
      <c r="F3429" s="206"/>
      <c r="G3429" s="206"/>
      <c r="H3429" s="206"/>
      <c r="I3429" s="206"/>
      <c r="J3429" s="206"/>
      <c r="K3429" s="206"/>
    </row>
    <row r="3430" spans="1:15" ht="21.6" thickBot="1"/>
    <row r="3431" spans="1:15" ht="95.25" customHeight="1" thickBot="1">
      <c r="A3431" s="592" t="s">
        <v>1883</v>
      </c>
      <c r="B3431" s="593"/>
      <c r="C3431" s="593"/>
      <c r="D3431" s="593"/>
      <c r="E3431" s="593"/>
      <c r="F3431" s="593"/>
      <c r="G3431" s="593"/>
      <c r="H3431" s="593"/>
      <c r="I3431" s="593"/>
      <c r="J3431" s="593"/>
      <c r="K3431" s="593"/>
      <c r="L3431" s="593"/>
      <c r="M3431" s="593"/>
      <c r="N3431" s="594"/>
    </row>
    <row r="3432" spans="1:15" s="3" customFormat="1" ht="37.5" customHeight="1">
      <c r="A3432" s="134" t="s">
        <v>1884</v>
      </c>
      <c r="B3432" s="166"/>
      <c r="C3432" s="166"/>
      <c r="D3432" s="123"/>
      <c r="E3432" s="123"/>
      <c r="F3432" s="167" t="s">
        <v>1885</v>
      </c>
      <c r="G3432" s="167" t="s">
        <v>1886</v>
      </c>
      <c r="H3432" s="167"/>
      <c r="I3432" s="167"/>
      <c r="J3432" s="167"/>
      <c r="K3432" s="167"/>
      <c r="L3432" s="167"/>
      <c r="M3432" s="167"/>
      <c r="N3432" s="152"/>
      <c r="O3432" s="201"/>
    </row>
    <row r="3433" spans="1:15" s="4" customFormat="1" ht="25.2">
      <c r="A3433" s="125" t="s">
        <v>1887</v>
      </c>
      <c r="B3433" s="123"/>
      <c r="C3433" s="123"/>
      <c r="D3433" s="123"/>
      <c r="E3433" s="123"/>
      <c r="F3433" s="167"/>
      <c r="G3433" s="167" t="s">
        <v>1888</v>
      </c>
      <c r="H3433" s="167"/>
      <c r="I3433" s="167"/>
      <c r="J3433" s="167"/>
      <c r="K3433" s="167"/>
      <c r="L3433" s="167"/>
      <c r="M3433" s="167"/>
      <c r="N3433" s="152"/>
    </row>
    <row r="3434" spans="1:15" s="3" customFormat="1" ht="9.9" customHeight="1">
      <c r="A3434" s="125"/>
      <c r="B3434" s="123"/>
      <c r="C3434" s="123"/>
      <c r="D3434" s="123"/>
      <c r="E3434" s="123"/>
      <c r="F3434" s="167"/>
      <c r="G3434" s="123"/>
      <c r="H3434" s="123"/>
      <c r="I3434" s="123"/>
      <c r="J3434" s="123"/>
      <c r="K3434" s="123"/>
      <c r="L3434" s="123"/>
      <c r="M3434" s="123"/>
      <c r="N3434" s="126"/>
    </row>
    <row r="3435" spans="1:15" s="3" customFormat="1" ht="42.75" customHeight="1">
      <c r="A3435" s="125" t="s">
        <v>1889</v>
      </c>
      <c r="B3435" s="123"/>
      <c r="C3435" s="123"/>
      <c r="D3435" s="123"/>
      <c r="E3435" s="123"/>
      <c r="F3435" s="167" t="s">
        <v>1885</v>
      </c>
      <c r="G3435" s="167" t="str">
        <f>PL!$B$13</f>
        <v>Branch of JSC "Doosan Enerbility" in the Turkestan region</v>
      </c>
      <c r="H3435" s="123"/>
      <c r="I3435" s="123"/>
      <c r="J3435" s="123"/>
      <c r="K3435" s="123"/>
      <c r="L3435" s="123"/>
      <c r="M3435" s="123"/>
      <c r="N3435" s="126"/>
    </row>
    <row r="3436" spans="1:15" s="3" customFormat="1" ht="24" customHeight="1">
      <c r="A3436" s="125" t="s">
        <v>1890</v>
      </c>
      <c r="B3436" s="123"/>
      <c r="C3436" s="123"/>
      <c r="D3436" s="123"/>
      <c r="E3436" s="123"/>
      <c r="F3436" s="168"/>
      <c r="G3436" s="167" t="str">
        <f>PL!$B$14</f>
        <v>321 Tauke Khan Avenue, Turkestan region, Turkestan, Kazakhstan, 161200</v>
      </c>
      <c r="H3436" s="123"/>
      <c r="I3436" s="123"/>
      <c r="J3436" s="123"/>
      <c r="K3436" s="123"/>
      <c r="L3436" s="123"/>
      <c r="M3436" s="123"/>
      <c r="N3436" s="126"/>
    </row>
    <row r="3437" spans="1:15" s="4" customFormat="1" ht="25.2">
      <c r="A3437" s="125"/>
      <c r="B3437" s="123"/>
      <c r="C3437" s="123"/>
      <c r="D3437" s="123"/>
      <c r="E3437" s="123"/>
      <c r="F3437" s="168"/>
      <c r="G3437" s="167" t="str">
        <f>PL!$B$15</f>
        <v>BIN: 230741006561</v>
      </c>
      <c r="H3437" s="123"/>
      <c r="I3437" s="123"/>
      <c r="J3437" s="123"/>
      <c r="K3437" s="123"/>
      <c r="L3437" s="123"/>
      <c r="M3437" s="123"/>
      <c r="N3437" s="126"/>
    </row>
    <row r="3438" spans="1:15" s="3" customFormat="1" ht="9.9" customHeight="1">
      <c r="A3438" s="125"/>
      <c r="B3438" s="123"/>
      <c r="C3438" s="123"/>
      <c r="D3438" s="123"/>
      <c r="E3438" s="123"/>
      <c r="F3438" s="169"/>
      <c r="G3438" s="169"/>
      <c r="H3438" s="123"/>
      <c r="I3438" s="123"/>
      <c r="J3438" s="123"/>
      <c r="K3438" s="123"/>
      <c r="L3438" s="123"/>
      <c r="M3438" s="123"/>
      <c r="N3438" s="126"/>
    </row>
    <row r="3439" spans="1:15" s="3" customFormat="1" ht="25.2">
      <c r="A3439" s="125" t="s">
        <v>1891</v>
      </c>
      <c r="B3439" s="123"/>
      <c r="C3439" s="123"/>
      <c r="D3439" s="123"/>
      <c r="E3439" s="123"/>
      <c r="F3439" s="167" t="s">
        <v>1892</v>
      </c>
      <c r="G3439" s="123"/>
      <c r="H3439" s="123"/>
      <c r="I3439" s="123"/>
      <c r="J3439" s="123"/>
      <c r="K3439" s="123"/>
      <c r="L3439" s="123"/>
      <c r="M3439" s="123"/>
      <c r="N3439" s="126"/>
    </row>
    <row r="3440" spans="1:15" s="4" customFormat="1" ht="25.2">
      <c r="A3440" s="125" t="s">
        <v>1893</v>
      </c>
      <c r="B3440" s="123"/>
      <c r="C3440" s="123"/>
      <c r="D3440" s="123"/>
      <c r="E3440" s="123"/>
      <c r="F3440" s="167" t="s">
        <v>1894</v>
      </c>
      <c r="G3440" s="123"/>
      <c r="H3440" s="123"/>
      <c r="I3440" s="123"/>
      <c r="J3440" s="123"/>
      <c r="K3440" s="123"/>
      <c r="L3440" s="123"/>
      <c r="M3440" s="123"/>
      <c r="N3440" s="126"/>
    </row>
    <row r="3441" spans="1:14" s="3" customFormat="1" ht="9.9" customHeight="1">
      <c r="A3441" s="125"/>
      <c r="B3441" s="123"/>
      <c r="C3441" s="123"/>
      <c r="D3441" s="123"/>
      <c r="E3441" s="123"/>
      <c r="F3441" s="167"/>
      <c r="G3441" s="123"/>
      <c r="H3441" s="123"/>
      <c r="I3441" s="123"/>
      <c r="J3441" s="123"/>
      <c r="K3441" s="123"/>
      <c r="L3441" s="123"/>
      <c r="M3441" s="123"/>
      <c r="N3441" s="126"/>
    </row>
    <row r="3442" spans="1:14" s="3" customFormat="1" ht="25.2">
      <c r="A3442" s="125" t="s">
        <v>1895</v>
      </c>
      <c r="B3442" s="123"/>
      <c r="C3442" s="123"/>
      <c r="D3442" s="123"/>
      <c r="E3442" s="123"/>
      <c r="F3442" s="167" t="s">
        <v>1896</v>
      </c>
      <c r="G3442" s="167" t="str">
        <f>PL!$V$8</f>
        <v>PGU-DE-0139-001</v>
      </c>
      <c r="H3442" s="123"/>
      <c r="I3442" s="123"/>
      <c r="J3442" s="123"/>
      <c r="K3442" s="123"/>
      <c r="L3442" s="123"/>
      <c r="M3442" s="123"/>
      <c r="N3442" s="126"/>
    </row>
    <row r="3443" spans="1:14" s="3" customFormat="1" ht="25.2">
      <c r="A3443" s="125" t="s">
        <v>1897</v>
      </c>
      <c r="B3443" s="123"/>
      <c r="C3443" s="123"/>
      <c r="D3443" s="123"/>
      <c r="E3443" s="123"/>
      <c r="F3443" s="167"/>
      <c r="G3443" s="123"/>
      <c r="H3443" s="123"/>
      <c r="I3443" s="123"/>
      <c r="J3443" s="123"/>
      <c r="K3443" s="123"/>
      <c r="L3443" s="123"/>
      <c r="M3443" s="123"/>
      <c r="N3443" s="126"/>
    </row>
    <row r="3444" spans="1:14" s="3" customFormat="1" ht="9.9" customHeight="1">
      <c r="A3444" s="125"/>
      <c r="B3444" s="123"/>
      <c r="C3444" s="123"/>
      <c r="D3444" s="123"/>
      <c r="E3444" s="123"/>
      <c r="F3444" s="167"/>
      <c r="G3444" s="123"/>
      <c r="H3444" s="123"/>
      <c r="I3444" s="123"/>
      <c r="J3444" s="123"/>
      <c r="K3444" s="123"/>
      <c r="L3444" s="123"/>
      <c r="M3444" s="123"/>
      <c r="N3444" s="126"/>
    </row>
    <row r="3445" spans="1:14" s="3" customFormat="1" ht="31.2" customHeight="1">
      <c r="A3445" s="127" t="s">
        <v>1898</v>
      </c>
      <c r="B3445" s="170"/>
      <c r="C3445" s="170"/>
      <c r="D3445" s="170"/>
      <c r="E3445" s="170"/>
      <c r="F3445" s="171" t="s">
        <v>1885</v>
      </c>
      <c r="G3445" s="597" t="e">
        <f>VLOOKUP(G3448, 'Detail PL'!$B$14:$Q$799,2)</f>
        <v>#N/A</v>
      </c>
      <c r="H3445" s="597"/>
      <c r="I3445" s="597"/>
      <c r="J3445" s="597"/>
      <c r="K3445" s="597"/>
      <c r="L3445" s="597"/>
      <c r="M3445" s="597"/>
      <c r="N3445" s="128"/>
    </row>
    <row r="3446" spans="1:14" s="3" customFormat="1" ht="25.2">
      <c r="A3446" s="127" t="s">
        <v>1899</v>
      </c>
      <c r="B3446" s="170"/>
      <c r="C3446" s="170"/>
      <c r="D3446" s="170"/>
      <c r="E3446" s="170"/>
      <c r="F3446" s="171"/>
      <c r="G3446" s="170"/>
      <c r="H3446" s="170"/>
      <c r="I3446" s="170"/>
      <c r="J3446" s="170"/>
      <c r="K3446" s="170"/>
      <c r="L3446" s="170"/>
      <c r="M3446" s="170"/>
      <c r="N3446" s="128"/>
    </row>
    <row r="3447" spans="1:14" s="3" customFormat="1" ht="9.9" customHeight="1">
      <c r="A3447" s="125"/>
      <c r="B3447" s="123"/>
      <c r="C3447" s="123"/>
      <c r="D3447" s="123"/>
      <c r="E3447" s="123"/>
      <c r="F3447" s="167"/>
      <c r="G3447" s="123"/>
      <c r="H3447" s="123"/>
      <c r="I3447" s="123"/>
      <c r="J3447" s="123"/>
      <c r="K3447" s="123"/>
      <c r="L3447" s="123"/>
      <c r="M3447" s="123"/>
      <c r="N3447" s="126"/>
    </row>
    <row r="3448" spans="1:14" s="3" customFormat="1" ht="25.2">
      <c r="A3448" s="125" t="s">
        <v>1900</v>
      </c>
      <c r="B3448" s="123"/>
      <c r="C3448" s="123"/>
      <c r="D3448" s="123"/>
      <c r="E3448" s="123"/>
      <c r="F3448" s="171" t="s">
        <v>1901</v>
      </c>
      <c r="G3448" s="604">
        <f t="shared" ref="G3448" si="96">G3413+1</f>
        <v>99</v>
      </c>
      <c r="H3448" s="604"/>
      <c r="I3448" s="604"/>
      <c r="J3448" s="604"/>
      <c r="K3448" s="604"/>
      <c r="L3448" s="123"/>
      <c r="M3448" s="123"/>
      <c r="N3448" s="126"/>
    </row>
    <row r="3449" spans="1:14" s="4" customFormat="1" ht="25.2">
      <c r="A3449" s="125" t="s">
        <v>1903</v>
      </c>
      <c r="B3449" s="123"/>
      <c r="C3449" s="123"/>
      <c r="D3449" s="123"/>
      <c r="E3449" s="123"/>
      <c r="F3449" s="167"/>
      <c r="G3449" s="167"/>
      <c r="H3449" s="123"/>
      <c r="I3449" s="123"/>
      <c r="J3449" s="123"/>
      <c r="K3449" s="123"/>
      <c r="L3449" s="123"/>
      <c r="M3449" s="123"/>
      <c r="N3449" s="126"/>
    </row>
    <row r="3450" spans="1:14" s="3" customFormat="1" ht="9.9" customHeight="1">
      <c r="A3450" s="125"/>
      <c r="B3450" s="123"/>
      <c r="C3450" s="123"/>
      <c r="D3450" s="123"/>
      <c r="E3450" s="123"/>
      <c r="F3450" s="167"/>
      <c r="G3450" s="167"/>
      <c r="H3450" s="123"/>
      <c r="I3450" s="123"/>
      <c r="J3450" s="123"/>
      <c r="K3450" s="123"/>
      <c r="L3450" s="123"/>
      <c r="M3450" s="123"/>
      <c r="N3450" s="126"/>
    </row>
    <row r="3451" spans="1:14" s="3" customFormat="1" ht="25.2">
      <c r="A3451" s="125" t="s">
        <v>1904</v>
      </c>
      <c r="B3451" s="123"/>
      <c r="C3451" s="123"/>
      <c r="D3451" s="123"/>
      <c r="E3451" s="123"/>
      <c r="F3451" s="167" t="s">
        <v>1896</v>
      </c>
      <c r="G3451" s="204" t="e">
        <f>VLOOKUP(G3448, 'Detail PL'!$B$14:$Q$799, 10)</f>
        <v>#N/A</v>
      </c>
      <c r="H3451" s="204" t="s">
        <v>1905</v>
      </c>
      <c r="I3451" s="204"/>
      <c r="J3451" s="204"/>
      <c r="K3451" s="123"/>
      <c r="L3451" s="123"/>
      <c r="M3451" s="123"/>
      <c r="N3451" s="126"/>
    </row>
    <row r="3452" spans="1:14" s="4" customFormat="1" ht="25.2">
      <c r="A3452" s="125" t="s">
        <v>1906</v>
      </c>
      <c r="B3452" s="123"/>
      <c r="C3452" s="123"/>
      <c r="D3452" s="123"/>
      <c r="E3452" s="123"/>
      <c r="F3452" s="167"/>
      <c r="G3452" s="167"/>
      <c r="H3452" s="167"/>
      <c r="I3452" s="123"/>
      <c r="J3452" s="123"/>
      <c r="K3452" s="123"/>
      <c r="L3452" s="123"/>
      <c r="M3452" s="123"/>
      <c r="N3452" s="126"/>
    </row>
    <row r="3453" spans="1:14" s="3" customFormat="1" ht="9.9" customHeight="1">
      <c r="A3453" s="125"/>
      <c r="B3453" s="123"/>
      <c r="C3453" s="123"/>
      <c r="D3453" s="123"/>
      <c r="E3453" s="123"/>
      <c r="F3453" s="167"/>
      <c r="G3453" s="167"/>
      <c r="H3453" s="167"/>
      <c r="I3453" s="123"/>
      <c r="J3453" s="123"/>
      <c r="K3453" s="123"/>
      <c r="L3453" s="123"/>
      <c r="M3453" s="123"/>
      <c r="N3453" s="126"/>
    </row>
    <row r="3454" spans="1:14" s="3" customFormat="1" ht="25.2">
      <c r="A3454" s="125" t="s">
        <v>1907</v>
      </c>
      <c r="B3454" s="123"/>
      <c r="C3454" s="123"/>
      <c r="D3454" s="123"/>
      <c r="E3454" s="123"/>
      <c r="F3454" s="167" t="s">
        <v>1896</v>
      </c>
      <c r="G3454" s="204" t="e">
        <f>VLOOKUP(G3448, 'Detail PL'!$B$14:$Q$799, 11)</f>
        <v>#N/A</v>
      </c>
      <c r="H3454" s="204" t="s">
        <v>1905</v>
      </c>
      <c r="I3454" s="204"/>
      <c r="J3454" s="204"/>
      <c r="K3454" s="123"/>
      <c r="L3454" s="123"/>
      <c r="M3454" s="123"/>
      <c r="N3454" s="126"/>
    </row>
    <row r="3455" spans="1:14" s="4" customFormat="1" ht="25.2">
      <c r="A3455" s="125" t="s">
        <v>1908</v>
      </c>
      <c r="B3455" s="123"/>
      <c r="C3455" s="123"/>
      <c r="D3455" s="123"/>
      <c r="E3455" s="123"/>
      <c r="F3455" s="167"/>
      <c r="G3455" s="167"/>
      <c r="H3455" s="123"/>
      <c r="I3455" s="123"/>
      <c r="J3455" s="123"/>
      <c r="K3455" s="123"/>
      <c r="L3455" s="123"/>
      <c r="M3455" s="123"/>
      <c r="N3455" s="126"/>
    </row>
    <row r="3456" spans="1:14" s="3" customFormat="1" ht="9.9" customHeight="1">
      <c r="A3456" s="125"/>
      <c r="B3456" s="123"/>
      <c r="C3456" s="123"/>
      <c r="D3456" s="123"/>
      <c r="E3456" s="123"/>
      <c r="F3456" s="167"/>
      <c r="G3456" s="167"/>
      <c r="H3456" s="123"/>
      <c r="I3456" s="123"/>
      <c r="J3456" s="123"/>
      <c r="K3456" s="123"/>
      <c r="L3456" s="123"/>
      <c r="M3456" s="123"/>
      <c r="N3456" s="126"/>
    </row>
    <row r="3457" spans="1:15" s="3" customFormat="1" ht="25.2">
      <c r="A3457" s="129" t="s">
        <v>1909</v>
      </c>
      <c r="B3457" s="123"/>
      <c r="C3457" s="123"/>
      <c r="D3457" s="123"/>
      <c r="E3457" s="123"/>
      <c r="F3457" s="167" t="s">
        <v>1896</v>
      </c>
      <c r="G3457" s="204" t="e">
        <f>VLOOKUP(G3448, 'Detail PL'!$B$14:$Q$799, 9)</f>
        <v>#N/A</v>
      </c>
      <c r="H3457" s="205" t="s">
        <v>1910</v>
      </c>
      <c r="I3457" s="203"/>
      <c r="J3457" s="203"/>
      <c r="K3457" s="172"/>
      <c r="L3457" s="123"/>
      <c r="M3457" s="123"/>
      <c r="N3457" s="126"/>
    </row>
    <row r="3458" spans="1:15" s="4" customFormat="1" ht="25.2">
      <c r="A3458" s="125" t="s">
        <v>1911</v>
      </c>
      <c r="B3458" s="123"/>
      <c r="C3458" s="123"/>
      <c r="D3458" s="123"/>
      <c r="E3458" s="123"/>
      <c r="F3458" s="167"/>
      <c r="G3458" s="167"/>
      <c r="H3458" s="123"/>
      <c r="I3458" s="123"/>
      <c r="J3458" s="123"/>
      <c r="K3458" s="123"/>
      <c r="L3458" s="123"/>
      <c r="M3458" s="123"/>
      <c r="N3458" s="126"/>
    </row>
    <row r="3459" spans="1:15" s="3" customFormat="1" ht="9.9" customHeight="1">
      <c r="A3459" s="125"/>
      <c r="B3459" s="123"/>
      <c r="C3459" s="123"/>
      <c r="D3459" s="123"/>
      <c r="E3459" s="123"/>
      <c r="F3459" s="167"/>
      <c r="G3459" s="167"/>
      <c r="H3459" s="123"/>
      <c r="I3459" s="123"/>
      <c r="J3459" s="123"/>
      <c r="K3459" s="123"/>
      <c r="L3459" s="123"/>
      <c r="M3459" s="123"/>
      <c r="N3459" s="126"/>
    </row>
    <row r="3460" spans="1:15" s="3" customFormat="1" ht="42" customHeight="1">
      <c r="A3460" s="125" t="s">
        <v>1912</v>
      </c>
      <c r="B3460" s="123"/>
      <c r="C3460" s="123"/>
      <c r="D3460" s="123"/>
      <c r="E3460" s="123"/>
      <c r="F3460" s="166" t="s">
        <v>1913</v>
      </c>
      <c r="G3460" s="595" t="s">
        <v>1914</v>
      </c>
      <c r="H3460" s="595"/>
      <c r="I3460" s="595"/>
      <c r="J3460" s="595"/>
      <c r="K3460" s="595"/>
      <c r="L3460" s="595"/>
      <c r="M3460" s="595"/>
      <c r="N3460" s="596"/>
    </row>
    <row r="3461" spans="1:15" s="4" customFormat="1" ht="25.8" thickBot="1">
      <c r="A3461" s="125" t="s">
        <v>1915</v>
      </c>
      <c r="B3461" s="123"/>
      <c r="C3461" s="123"/>
      <c r="D3461" s="123"/>
      <c r="E3461" s="123"/>
      <c r="F3461" s="167"/>
      <c r="G3461" s="167"/>
      <c r="H3461" s="123"/>
      <c r="I3461" s="123"/>
      <c r="J3461" s="123"/>
      <c r="K3461" s="123"/>
      <c r="L3461" s="123"/>
      <c r="M3461" s="123"/>
      <c r="N3461" s="126"/>
    </row>
    <row r="3462" spans="1:15" ht="21" customHeight="1">
      <c r="A3462" s="598" t="s">
        <v>1916</v>
      </c>
      <c r="B3462" s="599"/>
      <c r="C3462" s="599"/>
      <c r="D3462" s="599"/>
      <c r="E3462" s="599"/>
      <c r="F3462" s="599"/>
      <c r="G3462" s="599"/>
      <c r="H3462" s="599"/>
      <c r="I3462" s="599"/>
      <c r="J3462" s="599"/>
      <c r="K3462" s="599"/>
      <c r="L3462" s="599"/>
      <c r="M3462" s="599"/>
      <c r="N3462" s="600"/>
    </row>
    <row r="3463" spans="1:15" ht="25.5" customHeight="1" thickBot="1">
      <c r="A3463" s="601"/>
      <c r="B3463" s="602"/>
      <c r="C3463" s="602"/>
      <c r="D3463" s="602"/>
      <c r="E3463" s="602"/>
      <c r="F3463" s="602"/>
      <c r="G3463" s="602"/>
      <c r="H3463" s="602"/>
      <c r="I3463" s="602"/>
      <c r="J3463" s="602"/>
      <c r="K3463" s="602"/>
      <c r="L3463" s="602"/>
      <c r="M3463" s="602"/>
      <c r="N3463" s="603"/>
    </row>
    <row r="3464" spans="1:15" ht="25.5" customHeight="1">
      <c r="E3464" s="206"/>
      <c r="F3464" s="206"/>
      <c r="G3464" s="206"/>
      <c r="H3464" s="206"/>
      <c r="I3464" s="206"/>
      <c r="J3464" s="206"/>
      <c r="K3464" s="206"/>
    </row>
    <row r="3465" spans="1:15" ht="21.6" thickBot="1"/>
    <row r="3466" spans="1:15" ht="95.25" customHeight="1" thickBot="1">
      <c r="A3466" s="592" t="s">
        <v>1883</v>
      </c>
      <c r="B3466" s="593"/>
      <c r="C3466" s="593"/>
      <c r="D3466" s="593"/>
      <c r="E3466" s="593"/>
      <c r="F3466" s="593"/>
      <c r="G3466" s="593"/>
      <c r="H3466" s="593"/>
      <c r="I3466" s="593"/>
      <c r="J3466" s="593"/>
      <c r="K3466" s="593"/>
      <c r="L3466" s="593"/>
      <c r="M3466" s="593"/>
      <c r="N3466" s="594"/>
    </row>
    <row r="3467" spans="1:15" s="3" customFormat="1" ht="37.5" customHeight="1">
      <c r="A3467" s="134" t="s">
        <v>1884</v>
      </c>
      <c r="B3467" s="166"/>
      <c r="C3467" s="166"/>
      <c r="D3467" s="123"/>
      <c r="E3467" s="123"/>
      <c r="F3467" s="167" t="s">
        <v>1885</v>
      </c>
      <c r="G3467" s="167" t="s">
        <v>1886</v>
      </c>
      <c r="H3467" s="167"/>
      <c r="I3467" s="167"/>
      <c r="J3467" s="167"/>
      <c r="K3467" s="167"/>
      <c r="L3467" s="167"/>
      <c r="M3467" s="167"/>
      <c r="N3467" s="152"/>
      <c r="O3467" s="201"/>
    </row>
    <row r="3468" spans="1:15" s="4" customFormat="1" ht="25.2">
      <c r="A3468" s="125" t="s">
        <v>1887</v>
      </c>
      <c r="B3468" s="123"/>
      <c r="C3468" s="123"/>
      <c r="D3468" s="123"/>
      <c r="E3468" s="123"/>
      <c r="F3468" s="167"/>
      <c r="G3468" s="167" t="s">
        <v>1888</v>
      </c>
      <c r="H3468" s="167"/>
      <c r="I3468" s="167"/>
      <c r="J3468" s="167"/>
      <c r="K3468" s="167"/>
      <c r="L3468" s="167"/>
      <c r="M3468" s="167"/>
      <c r="N3468" s="152"/>
    </row>
    <row r="3469" spans="1:15" s="3" customFormat="1" ht="9.9" customHeight="1">
      <c r="A3469" s="125"/>
      <c r="B3469" s="123"/>
      <c r="C3469" s="123"/>
      <c r="D3469" s="123"/>
      <c r="E3469" s="123"/>
      <c r="F3469" s="167"/>
      <c r="G3469" s="123"/>
      <c r="H3469" s="123"/>
      <c r="I3469" s="123"/>
      <c r="J3469" s="123"/>
      <c r="K3469" s="123"/>
      <c r="L3469" s="123"/>
      <c r="M3469" s="123"/>
      <c r="N3469" s="126"/>
    </row>
    <row r="3470" spans="1:15" s="3" customFormat="1" ht="42.75" customHeight="1">
      <c r="A3470" s="125" t="s">
        <v>1889</v>
      </c>
      <c r="B3470" s="123"/>
      <c r="C3470" s="123"/>
      <c r="D3470" s="123"/>
      <c r="E3470" s="123"/>
      <c r="F3470" s="167" t="s">
        <v>1885</v>
      </c>
      <c r="G3470" s="167" t="str">
        <f>PL!$B$13</f>
        <v>Branch of JSC "Doosan Enerbility" in the Turkestan region</v>
      </c>
      <c r="H3470" s="123"/>
      <c r="I3470" s="123"/>
      <c r="J3470" s="123"/>
      <c r="K3470" s="123"/>
      <c r="L3470" s="123"/>
      <c r="M3470" s="123"/>
      <c r="N3470" s="126"/>
    </row>
    <row r="3471" spans="1:15" s="3" customFormat="1" ht="24" customHeight="1">
      <c r="A3471" s="125" t="s">
        <v>1890</v>
      </c>
      <c r="B3471" s="123"/>
      <c r="C3471" s="123"/>
      <c r="D3471" s="123"/>
      <c r="E3471" s="123"/>
      <c r="F3471" s="168"/>
      <c r="G3471" s="167" t="str">
        <f>PL!$B$14</f>
        <v>321 Tauke Khan Avenue, Turkestan region, Turkestan, Kazakhstan, 161200</v>
      </c>
      <c r="H3471" s="123"/>
      <c r="I3471" s="123"/>
      <c r="J3471" s="123"/>
      <c r="K3471" s="123"/>
      <c r="L3471" s="123"/>
      <c r="M3471" s="123"/>
      <c r="N3471" s="126"/>
    </row>
    <row r="3472" spans="1:15" s="4" customFormat="1" ht="25.2">
      <c r="A3472" s="125"/>
      <c r="B3472" s="123"/>
      <c r="C3472" s="123"/>
      <c r="D3472" s="123"/>
      <c r="E3472" s="123"/>
      <c r="F3472" s="168"/>
      <c r="G3472" s="167" t="str">
        <f>PL!$B$15</f>
        <v>BIN: 230741006561</v>
      </c>
      <c r="H3472" s="123"/>
      <c r="I3472" s="123"/>
      <c r="J3472" s="123"/>
      <c r="K3472" s="123"/>
      <c r="L3472" s="123"/>
      <c r="M3472" s="123"/>
      <c r="N3472" s="126"/>
    </row>
    <row r="3473" spans="1:14" s="3" customFormat="1" ht="9.9" customHeight="1">
      <c r="A3473" s="125"/>
      <c r="B3473" s="123"/>
      <c r="C3473" s="123"/>
      <c r="D3473" s="123"/>
      <c r="E3473" s="123"/>
      <c r="F3473" s="169"/>
      <c r="G3473" s="169"/>
      <c r="H3473" s="123"/>
      <c r="I3473" s="123"/>
      <c r="J3473" s="123"/>
      <c r="K3473" s="123"/>
      <c r="L3473" s="123"/>
      <c r="M3473" s="123"/>
      <c r="N3473" s="126"/>
    </row>
    <row r="3474" spans="1:14" s="3" customFormat="1" ht="25.2">
      <c r="A3474" s="125" t="s">
        <v>1891</v>
      </c>
      <c r="B3474" s="123"/>
      <c r="C3474" s="123"/>
      <c r="D3474" s="123"/>
      <c r="E3474" s="123"/>
      <c r="F3474" s="167" t="s">
        <v>1892</v>
      </c>
      <c r="G3474" s="123"/>
      <c r="H3474" s="123"/>
      <c r="I3474" s="123"/>
      <c r="J3474" s="123"/>
      <c r="K3474" s="123"/>
      <c r="L3474" s="123"/>
      <c r="M3474" s="123"/>
      <c r="N3474" s="126"/>
    </row>
    <row r="3475" spans="1:14" s="4" customFormat="1" ht="25.2">
      <c r="A3475" s="125" t="s">
        <v>1893</v>
      </c>
      <c r="B3475" s="123"/>
      <c r="C3475" s="123"/>
      <c r="D3475" s="123"/>
      <c r="E3475" s="123"/>
      <c r="F3475" s="167" t="s">
        <v>1894</v>
      </c>
      <c r="G3475" s="123"/>
      <c r="H3475" s="123"/>
      <c r="I3475" s="123"/>
      <c r="J3475" s="123"/>
      <c r="K3475" s="123"/>
      <c r="L3475" s="123"/>
      <c r="M3475" s="123"/>
      <c r="N3475" s="126"/>
    </row>
    <row r="3476" spans="1:14" s="3" customFormat="1" ht="9.9" customHeight="1">
      <c r="A3476" s="125"/>
      <c r="B3476" s="123"/>
      <c r="C3476" s="123"/>
      <c r="D3476" s="123"/>
      <c r="E3476" s="123"/>
      <c r="F3476" s="167"/>
      <c r="G3476" s="123"/>
      <c r="H3476" s="123"/>
      <c r="I3476" s="123"/>
      <c r="J3476" s="123"/>
      <c r="K3476" s="123"/>
      <c r="L3476" s="123"/>
      <c r="M3476" s="123"/>
      <c r="N3476" s="126"/>
    </row>
    <row r="3477" spans="1:14" s="3" customFormat="1" ht="25.2">
      <c r="A3477" s="125" t="s">
        <v>1895</v>
      </c>
      <c r="B3477" s="123"/>
      <c r="C3477" s="123"/>
      <c r="D3477" s="123"/>
      <c r="E3477" s="123"/>
      <c r="F3477" s="167" t="s">
        <v>1896</v>
      </c>
      <c r="G3477" s="167" t="str">
        <f>PL!$V$8</f>
        <v>PGU-DE-0139-001</v>
      </c>
      <c r="H3477" s="123"/>
      <c r="I3477" s="123"/>
      <c r="J3477" s="123"/>
      <c r="K3477" s="123"/>
      <c r="L3477" s="123"/>
      <c r="M3477" s="123"/>
      <c r="N3477" s="126"/>
    </row>
    <row r="3478" spans="1:14" s="3" customFormat="1" ht="25.2">
      <c r="A3478" s="125" t="s">
        <v>1897</v>
      </c>
      <c r="B3478" s="123"/>
      <c r="C3478" s="123"/>
      <c r="D3478" s="123"/>
      <c r="E3478" s="123"/>
      <c r="F3478" s="167"/>
      <c r="G3478" s="123"/>
      <c r="H3478" s="123"/>
      <c r="I3478" s="123"/>
      <c r="J3478" s="123"/>
      <c r="K3478" s="123"/>
      <c r="L3478" s="123"/>
      <c r="M3478" s="123"/>
      <c r="N3478" s="126"/>
    </row>
    <row r="3479" spans="1:14" s="3" customFormat="1" ht="9.9" customHeight="1">
      <c r="A3479" s="125"/>
      <c r="B3479" s="123"/>
      <c r="C3479" s="123"/>
      <c r="D3479" s="123"/>
      <c r="E3479" s="123"/>
      <c r="F3479" s="167"/>
      <c r="G3479" s="123"/>
      <c r="H3479" s="123"/>
      <c r="I3479" s="123"/>
      <c r="J3479" s="123"/>
      <c r="K3479" s="123"/>
      <c r="L3479" s="123"/>
      <c r="M3479" s="123"/>
      <c r="N3479" s="126"/>
    </row>
    <row r="3480" spans="1:14" s="3" customFormat="1" ht="31.2" customHeight="1">
      <c r="A3480" s="127" t="s">
        <v>1898</v>
      </c>
      <c r="B3480" s="170"/>
      <c r="C3480" s="170"/>
      <c r="D3480" s="170"/>
      <c r="E3480" s="170"/>
      <c r="F3480" s="171" t="s">
        <v>1885</v>
      </c>
      <c r="G3480" s="597" t="e">
        <f>VLOOKUP(G3483, 'Detail PL'!$B$14:$Q$799,2)</f>
        <v>#N/A</v>
      </c>
      <c r="H3480" s="597"/>
      <c r="I3480" s="597"/>
      <c r="J3480" s="597"/>
      <c r="K3480" s="597"/>
      <c r="L3480" s="597"/>
      <c r="M3480" s="597"/>
      <c r="N3480" s="128"/>
    </row>
    <row r="3481" spans="1:14" s="3" customFormat="1" ht="25.2">
      <c r="A3481" s="127" t="s">
        <v>1899</v>
      </c>
      <c r="B3481" s="170"/>
      <c r="C3481" s="170"/>
      <c r="D3481" s="170"/>
      <c r="E3481" s="170"/>
      <c r="F3481" s="171"/>
      <c r="G3481" s="170"/>
      <c r="H3481" s="170"/>
      <c r="I3481" s="170"/>
      <c r="J3481" s="170"/>
      <c r="K3481" s="170"/>
      <c r="L3481" s="170"/>
      <c r="M3481" s="170"/>
      <c r="N3481" s="128"/>
    </row>
    <row r="3482" spans="1:14" s="3" customFormat="1" ht="9.9" customHeight="1">
      <c r="A3482" s="125"/>
      <c r="B3482" s="123"/>
      <c r="C3482" s="123"/>
      <c r="D3482" s="123"/>
      <c r="E3482" s="123"/>
      <c r="F3482" s="167"/>
      <c r="G3482" s="123"/>
      <c r="H3482" s="123"/>
      <c r="I3482" s="123"/>
      <c r="J3482" s="123"/>
      <c r="K3482" s="123"/>
      <c r="L3482" s="123"/>
      <c r="M3482" s="123"/>
      <c r="N3482" s="126"/>
    </row>
    <row r="3483" spans="1:14" s="3" customFormat="1" ht="25.2">
      <c r="A3483" s="125" t="s">
        <v>1900</v>
      </c>
      <c r="B3483" s="123"/>
      <c r="C3483" s="123"/>
      <c r="D3483" s="123"/>
      <c r="E3483" s="123"/>
      <c r="F3483" s="171" t="s">
        <v>1901</v>
      </c>
      <c r="G3483" s="604">
        <f t="shared" ref="G3483" si="97">G3448+1</f>
        <v>100</v>
      </c>
      <c r="H3483" s="604"/>
      <c r="I3483" s="604"/>
      <c r="J3483" s="604"/>
      <c r="K3483" s="604"/>
      <c r="L3483" s="123"/>
      <c r="M3483" s="123"/>
      <c r="N3483" s="126"/>
    </row>
    <row r="3484" spans="1:14" s="4" customFormat="1" ht="25.2">
      <c r="A3484" s="125" t="s">
        <v>1903</v>
      </c>
      <c r="B3484" s="123"/>
      <c r="C3484" s="123"/>
      <c r="D3484" s="123"/>
      <c r="E3484" s="123"/>
      <c r="F3484" s="167"/>
      <c r="G3484" s="167"/>
      <c r="H3484" s="123"/>
      <c r="I3484" s="123"/>
      <c r="J3484" s="123"/>
      <c r="K3484" s="123"/>
      <c r="L3484" s="123"/>
      <c r="M3484" s="123"/>
      <c r="N3484" s="126"/>
    </row>
    <row r="3485" spans="1:14" s="3" customFormat="1" ht="9.9" customHeight="1">
      <c r="A3485" s="125"/>
      <c r="B3485" s="123"/>
      <c r="C3485" s="123"/>
      <c r="D3485" s="123"/>
      <c r="E3485" s="123"/>
      <c r="F3485" s="167"/>
      <c r="G3485" s="167"/>
      <c r="H3485" s="123"/>
      <c r="I3485" s="123"/>
      <c r="J3485" s="123"/>
      <c r="K3485" s="123"/>
      <c r="L3485" s="123"/>
      <c r="M3485" s="123"/>
      <c r="N3485" s="126"/>
    </row>
    <row r="3486" spans="1:14" s="3" customFormat="1" ht="25.2">
      <c r="A3486" s="125" t="s">
        <v>1904</v>
      </c>
      <c r="B3486" s="123"/>
      <c r="C3486" s="123"/>
      <c r="D3486" s="123"/>
      <c r="E3486" s="123"/>
      <c r="F3486" s="167" t="s">
        <v>1896</v>
      </c>
      <c r="G3486" s="204" t="e">
        <f>VLOOKUP(G3483, 'Detail PL'!$B$14:$Q$799, 10)</f>
        <v>#N/A</v>
      </c>
      <c r="H3486" s="204" t="s">
        <v>1905</v>
      </c>
      <c r="I3486" s="204"/>
      <c r="J3486" s="204"/>
      <c r="K3486" s="123"/>
      <c r="L3486" s="123"/>
      <c r="M3486" s="123"/>
      <c r="N3486" s="126"/>
    </row>
    <row r="3487" spans="1:14" s="4" customFormat="1" ht="25.2">
      <c r="A3487" s="125" t="s">
        <v>1906</v>
      </c>
      <c r="B3487" s="123"/>
      <c r="C3487" s="123"/>
      <c r="D3487" s="123"/>
      <c r="E3487" s="123"/>
      <c r="F3487" s="167"/>
      <c r="G3487" s="167"/>
      <c r="H3487" s="167"/>
      <c r="I3487" s="123"/>
      <c r="J3487" s="123"/>
      <c r="K3487" s="123"/>
      <c r="L3487" s="123"/>
      <c r="M3487" s="123"/>
      <c r="N3487" s="126"/>
    </row>
    <row r="3488" spans="1:14" s="3" customFormat="1" ht="9.9" customHeight="1">
      <c r="A3488" s="125"/>
      <c r="B3488" s="123"/>
      <c r="C3488" s="123"/>
      <c r="D3488" s="123"/>
      <c r="E3488" s="123"/>
      <c r="F3488" s="167"/>
      <c r="G3488" s="167"/>
      <c r="H3488" s="167"/>
      <c r="I3488" s="123"/>
      <c r="J3488" s="123"/>
      <c r="K3488" s="123"/>
      <c r="L3488" s="123"/>
      <c r="M3488" s="123"/>
      <c r="N3488" s="126"/>
    </row>
    <row r="3489" spans="1:15" s="3" customFormat="1" ht="25.2">
      <c r="A3489" s="125" t="s">
        <v>1907</v>
      </c>
      <c r="B3489" s="123"/>
      <c r="C3489" s="123"/>
      <c r="D3489" s="123"/>
      <c r="E3489" s="123"/>
      <c r="F3489" s="167" t="s">
        <v>1896</v>
      </c>
      <c r="G3489" s="204" t="e">
        <f>VLOOKUP(G3483, 'Detail PL'!$B$14:$Q$799, 11)</f>
        <v>#N/A</v>
      </c>
      <c r="H3489" s="204" t="s">
        <v>1905</v>
      </c>
      <c r="I3489" s="204"/>
      <c r="J3489" s="204"/>
      <c r="K3489" s="123"/>
      <c r="L3489" s="123"/>
      <c r="M3489" s="123"/>
      <c r="N3489" s="126"/>
    </row>
    <row r="3490" spans="1:15" s="4" customFormat="1" ht="25.2">
      <c r="A3490" s="125" t="s">
        <v>1908</v>
      </c>
      <c r="B3490" s="123"/>
      <c r="C3490" s="123"/>
      <c r="D3490" s="123"/>
      <c r="E3490" s="123"/>
      <c r="F3490" s="167"/>
      <c r="G3490" s="167"/>
      <c r="H3490" s="123"/>
      <c r="I3490" s="123"/>
      <c r="J3490" s="123"/>
      <c r="K3490" s="123"/>
      <c r="L3490" s="123"/>
      <c r="M3490" s="123"/>
      <c r="N3490" s="126"/>
    </row>
    <row r="3491" spans="1:15" s="3" customFormat="1" ht="9.9" customHeight="1">
      <c r="A3491" s="125"/>
      <c r="B3491" s="123"/>
      <c r="C3491" s="123"/>
      <c r="D3491" s="123"/>
      <c r="E3491" s="123"/>
      <c r="F3491" s="167"/>
      <c r="G3491" s="167"/>
      <c r="H3491" s="123"/>
      <c r="I3491" s="123"/>
      <c r="J3491" s="123"/>
      <c r="K3491" s="123"/>
      <c r="L3491" s="123"/>
      <c r="M3491" s="123"/>
      <c r="N3491" s="126"/>
    </row>
    <row r="3492" spans="1:15" s="3" customFormat="1" ht="25.2">
      <c r="A3492" s="129" t="s">
        <v>1909</v>
      </c>
      <c r="B3492" s="123"/>
      <c r="C3492" s="123"/>
      <c r="D3492" s="123"/>
      <c r="E3492" s="123"/>
      <c r="F3492" s="167" t="s">
        <v>1896</v>
      </c>
      <c r="G3492" s="204" t="e">
        <f>VLOOKUP(G3483, 'Detail PL'!$B$14:$Q$799, 9)</f>
        <v>#N/A</v>
      </c>
      <c r="H3492" s="205" t="s">
        <v>1910</v>
      </c>
      <c r="I3492" s="203"/>
      <c r="J3492" s="203"/>
      <c r="K3492" s="172"/>
      <c r="L3492" s="123"/>
      <c r="M3492" s="123"/>
      <c r="N3492" s="126"/>
    </row>
    <row r="3493" spans="1:15" s="4" customFormat="1" ht="25.2">
      <c r="A3493" s="125" t="s">
        <v>1911</v>
      </c>
      <c r="B3493" s="123"/>
      <c r="C3493" s="123"/>
      <c r="D3493" s="123"/>
      <c r="E3493" s="123"/>
      <c r="F3493" s="167"/>
      <c r="G3493" s="167"/>
      <c r="H3493" s="123"/>
      <c r="I3493" s="123"/>
      <c r="J3493" s="123"/>
      <c r="K3493" s="123"/>
      <c r="L3493" s="123"/>
      <c r="M3493" s="123"/>
      <c r="N3493" s="126"/>
    </row>
    <row r="3494" spans="1:15" s="3" customFormat="1" ht="9.9" customHeight="1">
      <c r="A3494" s="125"/>
      <c r="B3494" s="123"/>
      <c r="C3494" s="123"/>
      <c r="D3494" s="123"/>
      <c r="E3494" s="123"/>
      <c r="F3494" s="167"/>
      <c r="G3494" s="167"/>
      <c r="H3494" s="123"/>
      <c r="I3494" s="123"/>
      <c r="J3494" s="123"/>
      <c r="K3494" s="123"/>
      <c r="L3494" s="123"/>
      <c r="M3494" s="123"/>
      <c r="N3494" s="126"/>
    </row>
    <row r="3495" spans="1:15" s="3" customFormat="1" ht="42" customHeight="1">
      <c r="A3495" s="125" t="s">
        <v>1912</v>
      </c>
      <c r="B3495" s="123"/>
      <c r="C3495" s="123"/>
      <c r="D3495" s="123"/>
      <c r="E3495" s="123"/>
      <c r="F3495" s="166" t="s">
        <v>1913</v>
      </c>
      <c r="G3495" s="595" t="s">
        <v>1914</v>
      </c>
      <c r="H3495" s="595"/>
      <c r="I3495" s="595"/>
      <c r="J3495" s="595"/>
      <c r="K3495" s="595"/>
      <c r="L3495" s="595"/>
      <c r="M3495" s="595"/>
      <c r="N3495" s="596"/>
    </row>
    <row r="3496" spans="1:15" s="4" customFormat="1" ht="25.8" thickBot="1">
      <c r="A3496" s="125" t="s">
        <v>1915</v>
      </c>
      <c r="B3496" s="123"/>
      <c r="C3496" s="123"/>
      <c r="D3496" s="123"/>
      <c r="E3496" s="123"/>
      <c r="F3496" s="167"/>
      <c r="G3496" s="167"/>
      <c r="H3496" s="123"/>
      <c r="I3496" s="123"/>
      <c r="J3496" s="123"/>
      <c r="K3496" s="123"/>
      <c r="L3496" s="123"/>
      <c r="M3496" s="123"/>
      <c r="N3496" s="126"/>
    </row>
    <row r="3497" spans="1:15" ht="21" customHeight="1">
      <c r="A3497" s="598" t="s">
        <v>1916</v>
      </c>
      <c r="B3497" s="599"/>
      <c r="C3497" s="599"/>
      <c r="D3497" s="599"/>
      <c r="E3497" s="599"/>
      <c r="F3497" s="599"/>
      <c r="G3497" s="599"/>
      <c r="H3497" s="599"/>
      <c r="I3497" s="599"/>
      <c r="J3497" s="599"/>
      <c r="K3497" s="599"/>
      <c r="L3497" s="599"/>
      <c r="M3497" s="599"/>
      <c r="N3497" s="600"/>
    </row>
    <row r="3498" spans="1:15" ht="25.5" customHeight="1" thickBot="1">
      <c r="A3498" s="601"/>
      <c r="B3498" s="602"/>
      <c r="C3498" s="602"/>
      <c r="D3498" s="602"/>
      <c r="E3498" s="602"/>
      <c r="F3498" s="602"/>
      <c r="G3498" s="602"/>
      <c r="H3498" s="602"/>
      <c r="I3498" s="602"/>
      <c r="J3498" s="602"/>
      <c r="K3498" s="602"/>
      <c r="L3498" s="602"/>
      <c r="M3498" s="602"/>
      <c r="N3498" s="603"/>
    </row>
    <row r="3499" spans="1:15" ht="25.5" customHeight="1">
      <c r="E3499" s="206"/>
      <c r="F3499" s="206"/>
      <c r="G3499" s="206"/>
      <c r="H3499" s="206"/>
      <c r="I3499" s="206"/>
      <c r="J3499" s="206"/>
      <c r="K3499" s="206"/>
    </row>
    <row r="3500" spans="1:15" ht="21.6" thickBot="1"/>
    <row r="3501" spans="1:15" ht="95.25" customHeight="1" thickBot="1">
      <c r="A3501" s="592" t="s">
        <v>1883</v>
      </c>
      <c r="B3501" s="593"/>
      <c r="C3501" s="593"/>
      <c r="D3501" s="593"/>
      <c r="E3501" s="593"/>
      <c r="F3501" s="593"/>
      <c r="G3501" s="593"/>
      <c r="H3501" s="593"/>
      <c r="I3501" s="593"/>
      <c r="J3501" s="593"/>
      <c r="K3501" s="593"/>
      <c r="L3501" s="593"/>
      <c r="M3501" s="593"/>
      <c r="N3501" s="594"/>
    </row>
    <row r="3502" spans="1:15" s="3" customFormat="1" ht="37.5" customHeight="1">
      <c r="A3502" s="134" t="s">
        <v>1884</v>
      </c>
      <c r="B3502" s="166"/>
      <c r="C3502" s="166"/>
      <c r="D3502" s="123"/>
      <c r="E3502" s="123"/>
      <c r="F3502" s="167" t="s">
        <v>1885</v>
      </c>
      <c r="G3502" s="167" t="s">
        <v>1886</v>
      </c>
      <c r="H3502" s="167"/>
      <c r="I3502" s="167"/>
      <c r="J3502" s="167"/>
      <c r="K3502" s="167"/>
      <c r="L3502" s="167"/>
      <c r="M3502" s="167"/>
      <c r="N3502" s="152"/>
      <c r="O3502" s="201"/>
    </row>
    <row r="3503" spans="1:15" s="4" customFormat="1" ht="25.2">
      <c r="A3503" s="125" t="s">
        <v>1887</v>
      </c>
      <c r="B3503" s="123"/>
      <c r="C3503" s="123"/>
      <c r="D3503" s="123"/>
      <c r="E3503" s="123"/>
      <c r="F3503" s="167"/>
      <c r="G3503" s="167" t="s">
        <v>1888</v>
      </c>
      <c r="H3503" s="167"/>
      <c r="I3503" s="167"/>
      <c r="J3503" s="167"/>
      <c r="K3503" s="167"/>
      <c r="L3503" s="167"/>
      <c r="M3503" s="167"/>
      <c r="N3503" s="152"/>
    </row>
    <row r="3504" spans="1:15" s="3" customFormat="1" ht="9.9" customHeight="1">
      <c r="A3504" s="125"/>
      <c r="B3504" s="123"/>
      <c r="C3504" s="123"/>
      <c r="D3504" s="123"/>
      <c r="E3504" s="123"/>
      <c r="F3504" s="167"/>
      <c r="G3504" s="123"/>
      <c r="H3504" s="123"/>
      <c r="I3504" s="123"/>
      <c r="J3504" s="123"/>
      <c r="K3504" s="123"/>
      <c r="L3504" s="123"/>
      <c r="M3504" s="123"/>
      <c r="N3504" s="126"/>
    </row>
    <row r="3505" spans="1:14" s="3" customFormat="1" ht="42.75" customHeight="1">
      <c r="A3505" s="125" t="s">
        <v>1889</v>
      </c>
      <c r="B3505" s="123"/>
      <c r="C3505" s="123"/>
      <c r="D3505" s="123"/>
      <c r="E3505" s="123"/>
      <c r="F3505" s="167" t="s">
        <v>1885</v>
      </c>
      <c r="G3505" s="167" t="str">
        <f>PL!$B$13</f>
        <v>Branch of JSC "Doosan Enerbility" in the Turkestan region</v>
      </c>
      <c r="H3505" s="123"/>
      <c r="I3505" s="123"/>
      <c r="J3505" s="123"/>
      <c r="K3505" s="123"/>
      <c r="L3505" s="123"/>
      <c r="M3505" s="123"/>
      <c r="N3505" s="126"/>
    </row>
    <row r="3506" spans="1:14" s="3" customFormat="1" ht="24" customHeight="1">
      <c r="A3506" s="125" t="s">
        <v>1890</v>
      </c>
      <c r="B3506" s="123"/>
      <c r="C3506" s="123"/>
      <c r="D3506" s="123"/>
      <c r="E3506" s="123"/>
      <c r="F3506" s="168"/>
      <c r="G3506" s="167" t="str">
        <f>PL!$B$14</f>
        <v>321 Tauke Khan Avenue, Turkestan region, Turkestan, Kazakhstan, 161200</v>
      </c>
      <c r="H3506" s="123"/>
      <c r="I3506" s="123"/>
      <c r="J3506" s="123"/>
      <c r="K3506" s="123"/>
      <c r="L3506" s="123"/>
      <c r="M3506" s="123"/>
      <c r="N3506" s="126"/>
    </row>
    <row r="3507" spans="1:14" s="4" customFormat="1" ht="25.2">
      <c r="A3507" s="125"/>
      <c r="B3507" s="123"/>
      <c r="C3507" s="123"/>
      <c r="D3507" s="123"/>
      <c r="E3507" s="123"/>
      <c r="F3507" s="168"/>
      <c r="G3507" s="167" t="str">
        <f>PL!$B$15</f>
        <v>BIN: 230741006561</v>
      </c>
      <c r="H3507" s="123"/>
      <c r="I3507" s="123"/>
      <c r="J3507" s="123"/>
      <c r="K3507" s="123"/>
      <c r="L3507" s="123"/>
      <c r="M3507" s="123"/>
      <c r="N3507" s="126"/>
    </row>
    <row r="3508" spans="1:14" s="3" customFormat="1" ht="9.9" customHeight="1">
      <c r="A3508" s="125"/>
      <c r="B3508" s="123"/>
      <c r="C3508" s="123"/>
      <c r="D3508" s="123"/>
      <c r="E3508" s="123"/>
      <c r="F3508" s="169"/>
      <c r="G3508" s="169"/>
      <c r="H3508" s="123"/>
      <c r="I3508" s="123"/>
      <c r="J3508" s="123"/>
      <c r="K3508" s="123"/>
      <c r="L3508" s="123"/>
      <c r="M3508" s="123"/>
      <c r="N3508" s="126"/>
    </row>
    <row r="3509" spans="1:14" s="3" customFormat="1" ht="25.2">
      <c r="A3509" s="125" t="s">
        <v>1891</v>
      </c>
      <c r="B3509" s="123"/>
      <c r="C3509" s="123"/>
      <c r="D3509" s="123"/>
      <c r="E3509" s="123"/>
      <c r="F3509" s="167" t="s">
        <v>1892</v>
      </c>
      <c r="G3509" s="123"/>
      <c r="H3509" s="123"/>
      <c r="I3509" s="123"/>
      <c r="J3509" s="123"/>
      <c r="K3509" s="123"/>
      <c r="L3509" s="123"/>
      <c r="M3509" s="123"/>
      <c r="N3509" s="126"/>
    </row>
    <row r="3510" spans="1:14" s="4" customFormat="1" ht="25.2">
      <c r="A3510" s="125" t="s">
        <v>1893</v>
      </c>
      <c r="B3510" s="123"/>
      <c r="C3510" s="123"/>
      <c r="D3510" s="123"/>
      <c r="E3510" s="123"/>
      <c r="F3510" s="167" t="s">
        <v>1894</v>
      </c>
      <c r="G3510" s="123"/>
      <c r="H3510" s="123"/>
      <c r="I3510" s="123"/>
      <c r="J3510" s="123"/>
      <c r="K3510" s="123"/>
      <c r="L3510" s="123"/>
      <c r="M3510" s="123"/>
      <c r="N3510" s="126"/>
    </row>
    <row r="3511" spans="1:14" s="3" customFormat="1" ht="9.9" customHeight="1">
      <c r="A3511" s="125"/>
      <c r="B3511" s="123"/>
      <c r="C3511" s="123"/>
      <c r="D3511" s="123"/>
      <c r="E3511" s="123"/>
      <c r="F3511" s="167"/>
      <c r="G3511" s="123"/>
      <c r="H3511" s="123"/>
      <c r="I3511" s="123"/>
      <c r="J3511" s="123"/>
      <c r="K3511" s="123"/>
      <c r="L3511" s="123"/>
      <c r="M3511" s="123"/>
      <c r="N3511" s="126"/>
    </row>
    <row r="3512" spans="1:14" s="3" customFormat="1" ht="25.2">
      <c r="A3512" s="125" t="s">
        <v>1895</v>
      </c>
      <c r="B3512" s="123"/>
      <c r="C3512" s="123"/>
      <c r="D3512" s="123"/>
      <c r="E3512" s="123"/>
      <c r="F3512" s="167" t="s">
        <v>1896</v>
      </c>
      <c r="G3512" s="167" t="str">
        <f>PL!$V$8</f>
        <v>PGU-DE-0139-001</v>
      </c>
      <c r="H3512" s="123"/>
      <c r="I3512" s="123"/>
      <c r="J3512" s="123"/>
      <c r="K3512" s="123"/>
      <c r="L3512" s="123"/>
      <c r="M3512" s="123"/>
      <c r="N3512" s="126"/>
    </row>
    <row r="3513" spans="1:14" s="3" customFormat="1" ht="25.2">
      <c r="A3513" s="125" t="s">
        <v>1897</v>
      </c>
      <c r="B3513" s="123"/>
      <c r="C3513" s="123"/>
      <c r="D3513" s="123"/>
      <c r="E3513" s="123"/>
      <c r="F3513" s="167"/>
      <c r="G3513" s="123"/>
      <c r="H3513" s="123"/>
      <c r="I3513" s="123"/>
      <c r="J3513" s="123"/>
      <c r="K3513" s="123"/>
      <c r="L3513" s="123"/>
      <c r="M3513" s="123"/>
      <c r="N3513" s="126"/>
    </row>
    <row r="3514" spans="1:14" s="3" customFormat="1" ht="9.9" customHeight="1">
      <c r="A3514" s="125"/>
      <c r="B3514" s="123"/>
      <c r="C3514" s="123"/>
      <c r="D3514" s="123"/>
      <c r="E3514" s="123"/>
      <c r="F3514" s="167"/>
      <c r="G3514" s="123"/>
      <c r="H3514" s="123"/>
      <c r="I3514" s="123"/>
      <c r="J3514" s="123"/>
      <c r="K3514" s="123"/>
      <c r="L3514" s="123"/>
      <c r="M3514" s="123"/>
      <c r="N3514" s="126"/>
    </row>
    <row r="3515" spans="1:14" s="3" customFormat="1" ht="31.2" customHeight="1">
      <c r="A3515" s="127" t="s">
        <v>1898</v>
      </c>
      <c r="B3515" s="170"/>
      <c r="C3515" s="170"/>
      <c r="D3515" s="170"/>
      <c r="E3515" s="170"/>
      <c r="F3515" s="171" t="s">
        <v>1885</v>
      </c>
      <c r="G3515" s="597" t="e">
        <f>VLOOKUP(G3518, 'Detail PL'!$B$14:$Q$799,2)</f>
        <v>#N/A</v>
      </c>
      <c r="H3515" s="597"/>
      <c r="I3515" s="597"/>
      <c r="J3515" s="597"/>
      <c r="K3515" s="597"/>
      <c r="L3515" s="597"/>
      <c r="M3515" s="597"/>
      <c r="N3515" s="128"/>
    </row>
    <row r="3516" spans="1:14" s="3" customFormat="1" ht="25.2">
      <c r="A3516" s="127" t="s">
        <v>1899</v>
      </c>
      <c r="B3516" s="170"/>
      <c r="C3516" s="170"/>
      <c r="D3516" s="170"/>
      <c r="E3516" s="170"/>
      <c r="F3516" s="171"/>
      <c r="G3516" s="170"/>
      <c r="H3516" s="170"/>
      <c r="I3516" s="170"/>
      <c r="J3516" s="170"/>
      <c r="K3516" s="170"/>
      <c r="L3516" s="170"/>
      <c r="M3516" s="170"/>
      <c r="N3516" s="128"/>
    </row>
    <row r="3517" spans="1:14" s="3" customFormat="1" ht="9.9" customHeight="1">
      <c r="A3517" s="125"/>
      <c r="B3517" s="123"/>
      <c r="C3517" s="123"/>
      <c r="D3517" s="123"/>
      <c r="E3517" s="123"/>
      <c r="F3517" s="167"/>
      <c r="G3517" s="123"/>
      <c r="H3517" s="123"/>
      <c r="I3517" s="123"/>
      <c r="J3517" s="123"/>
      <c r="K3517" s="123"/>
      <c r="L3517" s="123"/>
      <c r="M3517" s="123"/>
      <c r="N3517" s="126"/>
    </row>
    <row r="3518" spans="1:14" s="3" customFormat="1" ht="25.2">
      <c r="A3518" s="125" t="s">
        <v>1900</v>
      </c>
      <c r="B3518" s="123"/>
      <c r="C3518" s="123"/>
      <c r="D3518" s="123"/>
      <c r="E3518" s="123"/>
      <c r="F3518" s="171" t="s">
        <v>1901</v>
      </c>
      <c r="G3518" s="604">
        <f t="shared" ref="G3518" si="98">G3483+1</f>
        <v>101</v>
      </c>
      <c r="H3518" s="604"/>
      <c r="I3518" s="604"/>
      <c r="J3518" s="604"/>
      <c r="K3518" s="604"/>
      <c r="L3518" s="123"/>
      <c r="M3518" s="123"/>
      <c r="N3518" s="126"/>
    </row>
    <row r="3519" spans="1:14" s="4" customFormat="1" ht="25.2">
      <c r="A3519" s="125" t="s">
        <v>1903</v>
      </c>
      <c r="B3519" s="123"/>
      <c r="C3519" s="123"/>
      <c r="D3519" s="123"/>
      <c r="E3519" s="123"/>
      <c r="F3519" s="167"/>
      <c r="G3519" s="167"/>
      <c r="H3519" s="123"/>
      <c r="I3519" s="123"/>
      <c r="J3519" s="123"/>
      <c r="K3519" s="123"/>
      <c r="L3519" s="123"/>
      <c r="M3519" s="123"/>
      <c r="N3519" s="126"/>
    </row>
    <row r="3520" spans="1:14" s="3" customFormat="1" ht="9.9" customHeight="1">
      <c r="A3520" s="125"/>
      <c r="B3520" s="123"/>
      <c r="C3520" s="123"/>
      <c r="D3520" s="123"/>
      <c r="E3520" s="123"/>
      <c r="F3520" s="167"/>
      <c r="G3520" s="167"/>
      <c r="H3520" s="123"/>
      <c r="I3520" s="123"/>
      <c r="J3520" s="123"/>
      <c r="K3520" s="123"/>
      <c r="L3520" s="123"/>
      <c r="M3520" s="123"/>
      <c r="N3520" s="126"/>
    </row>
    <row r="3521" spans="1:14" s="3" customFormat="1" ht="25.2">
      <c r="A3521" s="125" t="s">
        <v>1904</v>
      </c>
      <c r="B3521" s="123"/>
      <c r="C3521" s="123"/>
      <c r="D3521" s="123"/>
      <c r="E3521" s="123"/>
      <c r="F3521" s="167" t="s">
        <v>1896</v>
      </c>
      <c r="G3521" s="204" t="e">
        <f>VLOOKUP(G3518, 'Detail PL'!$B$14:$Q$799, 10)</f>
        <v>#N/A</v>
      </c>
      <c r="H3521" s="204" t="s">
        <v>1905</v>
      </c>
      <c r="I3521" s="204"/>
      <c r="J3521" s="204"/>
      <c r="K3521" s="123"/>
      <c r="L3521" s="123"/>
      <c r="M3521" s="123"/>
      <c r="N3521" s="126"/>
    </row>
    <row r="3522" spans="1:14" s="4" customFormat="1" ht="25.2">
      <c r="A3522" s="125" t="s">
        <v>1906</v>
      </c>
      <c r="B3522" s="123"/>
      <c r="C3522" s="123"/>
      <c r="D3522" s="123"/>
      <c r="E3522" s="123"/>
      <c r="F3522" s="167"/>
      <c r="G3522" s="167"/>
      <c r="H3522" s="167"/>
      <c r="I3522" s="123"/>
      <c r="J3522" s="123"/>
      <c r="K3522" s="123"/>
      <c r="L3522" s="123"/>
      <c r="M3522" s="123"/>
      <c r="N3522" s="126"/>
    </row>
    <row r="3523" spans="1:14" s="3" customFormat="1" ht="9.9" customHeight="1">
      <c r="A3523" s="125"/>
      <c r="B3523" s="123"/>
      <c r="C3523" s="123"/>
      <c r="D3523" s="123"/>
      <c r="E3523" s="123"/>
      <c r="F3523" s="167"/>
      <c r="G3523" s="167"/>
      <c r="H3523" s="167"/>
      <c r="I3523" s="123"/>
      <c r="J3523" s="123"/>
      <c r="K3523" s="123"/>
      <c r="L3523" s="123"/>
      <c r="M3523" s="123"/>
      <c r="N3523" s="126"/>
    </row>
    <row r="3524" spans="1:14" s="3" customFormat="1" ht="25.2">
      <c r="A3524" s="125" t="s">
        <v>1907</v>
      </c>
      <c r="B3524" s="123"/>
      <c r="C3524" s="123"/>
      <c r="D3524" s="123"/>
      <c r="E3524" s="123"/>
      <c r="F3524" s="167" t="s">
        <v>1896</v>
      </c>
      <c r="G3524" s="204" t="e">
        <f>VLOOKUP(G3518, 'Detail PL'!$B$14:$Q$799, 11)</f>
        <v>#N/A</v>
      </c>
      <c r="H3524" s="204" t="s">
        <v>1905</v>
      </c>
      <c r="I3524" s="204"/>
      <c r="J3524" s="204"/>
      <c r="K3524" s="123"/>
      <c r="L3524" s="123"/>
      <c r="M3524" s="123"/>
      <c r="N3524" s="126"/>
    </row>
    <row r="3525" spans="1:14" s="4" customFormat="1" ht="25.2">
      <c r="A3525" s="125" t="s">
        <v>1908</v>
      </c>
      <c r="B3525" s="123"/>
      <c r="C3525" s="123"/>
      <c r="D3525" s="123"/>
      <c r="E3525" s="123"/>
      <c r="F3525" s="167"/>
      <c r="G3525" s="167"/>
      <c r="H3525" s="123"/>
      <c r="I3525" s="123"/>
      <c r="J3525" s="123"/>
      <c r="K3525" s="123"/>
      <c r="L3525" s="123"/>
      <c r="M3525" s="123"/>
      <c r="N3525" s="126"/>
    </row>
    <row r="3526" spans="1:14" s="3" customFormat="1" ht="9.9" customHeight="1">
      <c r="A3526" s="125"/>
      <c r="B3526" s="123"/>
      <c r="C3526" s="123"/>
      <c r="D3526" s="123"/>
      <c r="E3526" s="123"/>
      <c r="F3526" s="167"/>
      <c r="G3526" s="167"/>
      <c r="H3526" s="123"/>
      <c r="I3526" s="123"/>
      <c r="J3526" s="123"/>
      <c r="K3526" s="123"/>
      <c r="L3526" s="123"/>
      <c r="M3526" s="123"/>
      <c r="N3526" s="126"/>
    </row>
    <row r="3527" spans="1:14" s="3" customFormat="1" ht="25.2">
      <c r="A3527" s="129" t="s">
        <v>1909</v>
      </c>
      <c r="B3527" s="123"/>
      <c r="C3527" s="123"/>
      <c r="D3527" s="123"/>
      <c r="E3527" s="123"/>
      <c r="F3527" s="167" t="s">
        <v>1896</v>
      </c>
      <c r="G3527" s="204" t="e">
        <f>VLOOKUP(G3518, 'Detail PL'!$B$14:$Q$799, 9)</f>
        <v>#N/A</v>
      </c>
      <c r="H3527" s="205" t="s">
        <v>1910</v>
      </c>
      <c r="I3527" s="203"/>
      <c r="J3527" s="203"/>
      <c r="K3527" s="172"/>
      <c r="L3527" s="123"/>
      <c r="M3527" s="123"/>
      <c r="N3527" s="126"/>
    </row>
    <row r="3528" spans="1:14" s="4" customFormat="1" ht="25.2">
      <c r="A3528" s="125" t="s">
        <v>1911</v>
      </c>
      <c r="B3528" s="123"/>
      <c r="C3528" s="123"/>
      <c r="D3528" s="123"/>
      <c r="E3528" s="123"/>
      <c r="F3528" s="167"/>
      <c r="G3528" s="167"/>
      <c r="H3528" s="123"/>
      <c r="I3528" s="123"/>
      <c r="J3528" s="123"/>
      <c r="K3528" s="123"/>
      <c r="L3528" s="123"/>
      <c r="M3528" s="123"/>
      <c r="N3528" s="126"/>
    </row>
    <row r="3529" spans="1:14" s="3" customFormat="1" ht="9.9" customHeight="1">
      <c r="A3529" s="125"/>
      <c r="B3529" s="123"/>
      <c r="C3529" s="123"/>
      <c r="D3529" s="123"/>
      <c r="E3529" s="123"/>
      <c r="F3529" s="167"/>
      <c r="G3529" s="167"/>
      <c r="H3529" s="123"/>
      <c r="I3529" s="123"/>
      <c r="J3529" s="123"/>
      <c r="K3529" s="123"/>
      <c r="L3529" s="123"/>
      <c r="M3529" s="123"/>
      <c r="N3529" s="126"/>
    </row>
    <row r="3530" spans="1:14" s="3" customFormat="1" ht="42" customHeight="1">
      <c r="A3530" s="125" t="s">
        <v>1912</v>
      </c>
      <c r="B3530" s="123"/>
      <c r="C3530" s="123"/>
      <c r="D3530" s="123"/>
      <c r="E3530" s="123"/>
      <c r="F3530" s="166" t="s">
        <v>1913</v>
      </c>
      <c r="G3530" s="595" t="s">
        <v>1914</v>
      </c>
      <c r="H3530" s="595"/>
      <c r="I3530" s="595"/>
      <c r="J3530" s="595"/>
      <c r="K3530" s="595"/>
      <c r="L3530" s="595"/>
      <c r="M3530" s="595"/>
      <c r="N3530" s="596"/>
    </row>
    <row r="3531" spans="1:14" s="4" customFormat="1" ht="25.8" thickBot="1">
      <c r="A3531" s="125" t="s">
        <v>1915</v>
      </c>
      <c r="B3531" s="123"/>
      <c r="C3531" s="123"/>
      <c r="D3531" s="123"/>
      <c r="E3531" s="123"/>
      <c r="F3531" s="167"/>
      <c r="G3531" s="167"/>
      <c r="H3531" s="123"/>
      <c r="I3531" s="123"/>
      <c r="J3531" s="123"/>
      <c r="K3531" s="123"/>
      <c r="L3531" s="123"/>
      <c r="M3531" s="123"/>
      <c r="N3531" s="126"/>
    </row>
    <row r="3532" spans="1:14" ht="21" customHeight="1">
      <c r="A3532" s="598" t="s">
        <v>1916</v>
      </c>
      <c r="B3532" s="599"/>
      <c r="C3532" s="599"/>
      <c r="D3532" s="599"/>
      <c r="E3532" s="599"/>
      <c r="F3532" s="599"/>
      <c r="G3532" s="599"/>
      <c r="H3532" s="599"/>
      <c r="I3532" s="599"/>
      <c r="J3532" s="599"/>
      <c r="K3532" s="599"/>
      <c r="L3532" s="599"/>
      <c r="M3532" s="599"/>
      <c r="N3532" s="600"/>
    </row>
    <row r="3533" spans="1:14" ht="25.5" customHeight="1" thickBot="1">
      <c r="A3533" s="601"/>
      <c r="B3533" s="602"/>
      <c r="C3533" s="602"/>
      <c r="D3533" s="602"/>
      <c r="E3533" s="602"/>
      <c r="F3533" s="602"/>
      <c r="G3533" s="602"/>
      <c r="H3533" s="602"/>
      <c r="I3533" s="602"/>
      <c r="J3533" s="602"/>
      <c r="K3533" s="602"/>
      <c r="L3533" s="602"/>
      <c r="M3533" s="602"/>
      <c r="N3533" s="603"/>
    </row>
    <row r="3534" spans="1:14" ht="25.5" customHeight="1">
      <c r="E3534" s="206"/>
      <c r="F3534" s="206"/>
      <c r="G3534" s="206"/>
      <c r="H3534" s="206"/>
      <c r="I3534" s="206"/>
      <c r="J3534" s="206"/>
      <c r="K3534" s="206"/>
    </row>
    <row r="3535" spans="1:14" ht="21.6" thickBot="1"/>
    <row r="3536" spans="1:14" ht="95.25" customHeight="1" thickBot="1">
      <c r="A3536" s="592" t="s">
        <v>1883</v>
      </c>
      <c r="B3536" s="593"/>
      <c r="C3536" s="593"/>
      <c r="D3536" s="593"/>
      <c r="E3536" s="593"/>
      <c r="F3536" s="593"/>
      <c r="G3536" s="593"/>
      <c r="H3536" s="593"/>
      <c r="I3536" s="593"/>
      <c r="J3536" s="593"/>
      <c r="K3536" s="593"/>
      <c r="L3536" s="593"/>
      <c r="M3536" s="593"/>
      <c r="N3536" s="594"/>
    </row>
    <row r="3537" spans="1:15" s="3" customFormat="1" ht="37.5" customHeight="1">
      <c r="A3537" s="134" t="s">
        <v>1884</v>
      </c>
      <c r="B3537" s="166"/>
      <c r="C3537" s="166"/>
      <c r="D3537" s="123"/>
      <c r="E3537" s="123"/>
      <c r="F3537" s="167" t="s">
        <v>1885</v>
      </c>
      <c r="G3537" s="167" t="s">
        <v>1886</v>
      </c>
      <c r="H3537" s="167"/>
      <c r="I3537" s="167"/>
      <c r="J3537" s="167"/>
      <c r="K3537" s="167"/>
      <c r="L3537" s="167"/>
      <c r="M3537" s="167"/>
      <c r="N3537" s="152"/>
      <c r="O3537" s="201"/>
    </row>
    <row r="3538" spans="1:15" s="4" customFormat="1" ht="25.2">
      <c r="A3538" s="125" t="s">
        <v>1887</v>
      </c>
      <c r="B3538" s="123"/>
      <c r="C3538" s="123"/>
      <c r="D3538" s="123"/>
      <c r="E3538" s="123"/>
      <c r="F3538" s="167"/>
      <c r="G3538" s="167" t="s">
        <v>1888</v>
      </c>
      <c r="H3538" s="167"/>
      <c r="I3538" s="167"/>
      <c r="J3538" s="167"/>
      <c r="K3538" s="167"/>
      <c r="L3538" s="167"/>
      <c r="M3538" s="167"/>
      <c r="N3538" s="152"/>
    </row>
    <row r="3539" spans="1:15" s="3" customFormat="1" ht="9.9" customHeight="1">
      <c r="A3539" s="125"/>
      <c r="B3539" s="123"/>
      <c r="C3539" s="123"/>
      <c r="D3539" s="123"/>
      <c r="E3539" s="123"/>
      <c r="F3539" s="167"/>
      <c r="G3539" s="123"/>
      <c r="H3539" s="123"/>
      <c r="I3539" s="123"/>
      <c r="J3539" s="123"/>
      <c r="K3539" s="123"/>
      <c r="L3539" s="123"/>
      <c r="M3539" s="123"/>
      <c r="N3539" s="126"/>
    </row>
    <row r="3540" spans="1:15" s="3" customFormat="1" ht="42.75" customHeight="1">
      <c r="A3540" s="125" t="s">
        <v>1889</v>
      </c>
      <c r="B3540" s="123"/>
      <c r="C3540" s="123"/>
      <c r="D3540" s="123"/>
      <c r="E3540" s="123"/>
      <c r="F3540" s="167" t="s">
        <v>1885</v>
      </c>
      <c r="G3540" s="167" t="str">
        <f>PL!$B$13</f>
        <v>Branch of JSC "Doosan Enerbility" in the Turkestan region</v>
      </c>
      <c r="H3540" s="123"/>
      <c r="I3540" s="123"/>
      <c r="J3540" s="123"/>
      <c r="K3540" s="123"/>
      <c r="L3540" s="123"/>
      <c r="M3540" s="123"/>
      <c r="N3540" s="126"/>
    </row>
    <row r="3541" spans="1:15" s="3" customFormat="1" ht="24" customHeight="1">
      <c r="A3541" s="125" t="s">
        <v>1890</v>
      </c>
      <c r="B3541" s="123"/>
      <c r="C3541" s="123"/>
      <c r="D3541" s="123"/>
      <c r="E3541" s="123"/>
      <c r="F3541" s="168"/>
      <c r="G3541" s="167" t="str">
        <f>PL!$B$14</f>
        <v>321 Tauke Khan Avenue, Turkestan region, Turkestan, Kazakhstan, 161200</v>
      </c>
      <c r="H3541" s="123"/>
      <c r="I3541" s="123"/>
      <c r="J3541" s="123"/>
      <c r="K3541" s="123"/>
      <c r="L3541" s="123"/>
      <c r="M3541" s="123"/>
      <c r="N3541" s="126"/>
    </row>
    <row r="3542" spans="1:15" s="4" customFormat="1" ht="25.2">
      <c r="A3542" s="125"/>
      <c r="B3542" s="123"/>
      <c r="C3542" s="123"/>
      <c r="D3542" s="123"/>
      <c r="E3542" s="123"/>
      <c r="F3542" s="168"/>
      <c r="G3542" s="167" t="str">
        <f>PL!$B$15</f>
        <v>BIN: 230741006561</v>
      </c>
      <c r="H3542" s="123"/>
      <c r="I3542" s="123"/>
      <c r="J3542" s="123"/>
      <c r="K3542" s="123"/>
      <c r="L3542" s="123"/>
      <c r="M3542" s="123"/>
      <c r="N3542" s="126"/>
    </row>
    <row r="3543" spans="1:15" s="3" customFormat="1" ht="9.9" customHeight="1">
      <c r="A3543" s="125"/>
      <c r="B3543" s="123"/>
      <c r="C3543" s="123"/>
      <c r="D3543" s="123"/>
      <c r="E3543" s="123"/>
      <c r="F3543" s="169"/>
      <c r="G3543" s="169"/>
      <c r="H3543" s="123"/>
      <c r="I3543" s="123"/>
      <c r="J3543" s="123"/>
      <c r="K3543" s="123"/>
      <c r="L3543" s="123"/>
      <c r="M3543" s="123"/>
      <c r="N3543" s="126"/>
    </row>
    <row r="3544" spans="1:15" s="3" customFormat="1" ht="25.2">
      <c r="A3544" s="125" t="s">
        <v>1891</v>
      </c>
      <c r="B3544" s="123"/>
      <c r="C3544" s="123"/>
      <c r="D3544" s="123"/>
      <c r="E3544" s="123"/>
      <c r="F3544" s="167" t="s">
        <v>1892</v>
      </c>
      <c r="G3544" s="123"/>
      <c r="H3544" s="123"/>
      <c r="I3544" s="123"/>
      <c r="J3544" s="123"/>
      <c r="K3544" s="123"/>
      <c r="L3544" s="123"/>
      <c r="M3544" s="123"/>
      <c r="N3544" s="126"/>
    </row>
    <row r="3545" spans="1:15" s="4" customFormat="1" ht="25.2">
      <c r="A3545" s="125" t="s">
        <v>1893</v>
      </c>
      <c r="B3545" s="123"/>
      <c r="C3545" s="123"/>
      <c r="D3545" s="123"/>
      <c r="E3545" s="123"/>
      <c r="F3545" s="167" t="s">
        <v>1894</v>
      </c>
      <c r="G3545" s="123"/>
      <c r="H3545" s="123"/>
      <c r="I3545" s="123"/>
      <c r="J3545" s="123"/>
      <c r="K3545" s="123"/>
      <c r="L3545" s="123"/>
      <c r="M3545" s="123"/>
      <c r="N3545" s="126"/>
    </row>
    <row r="3546" spans="1:15" s="3" customFormat="1" ht="9.9" customHeight="1">
      <c r="A3546" s="125"/>
      <c r="B3546" s="123"/>
      <c r="C3546" s="123"/>
      <c r="D3546" s="123"/>
      <c r="E3546" s="123"/>
      <c r="F3546" s="167"/>
      <c r="G3546" s="123"/>
      <c r="H3546" s="123"/>
      <c r="I3546" s="123"/>
      <c r="J3546" s="123"/>
      <c r="K3546" s="123"/>
      <c r="L3546" s="123"/>
      <c r="M3546" s="123"/>
      <c r="N3546" s="126"/>
    </row>
    <row r="3547" spans="1:15" s="3" customFormat="1" ht="25.2">
      <c r="A3547" s="125" t="s">
        <v>1895</v>
      </c>
      <c r="B3547" s="123"/>
      <c r="C3547" s="123"/>
      <c r="D3547" s="123"/>
      <c r="E3547" s="123"/>
      <c r="F3547" s="167" t="s">
        <v>1896</v>
      </c>
      <c r="G3547" s="167" t="str">
        <f>PL!$V$8</f>
        <v>PGU-DE-0139-001</v>
      </c>
      <c r="H3547" s="123"/>
      <c r="I3547" s="123"/>
      <c r="J3547" s="123"/>
      <c r="K3547" s="123"/>
      <c r="L3547" s="123"/>
      <c r="M3547" s="123"/>
      <c r="N3547" s="126"/>
    </row>
    <row r="3548" spans="1:15" s="3" customFormat="1" ht="25.2">
      <c r="A3548" s="125" t="s">
        <v>1897</v>
      </c>
      <c r="B3548" s="123"/>
      <c r="C3548" s="123"/>
      <c r="D3548" s="123"/>
      <c r="E3548" s="123"/>
      <c r="F3548" s="167"/>
      <c r="G3548" s="123"/>
      <c r="H3548" s="123"/>
      <c r="I3548" s="123"/>
      <c r="J3548" s="123"/>
      <c r="K3548" s="123"/>
      <c r="L3548" s="123"/>
      <c r="M3548" s="123"/>
      <c r="N3548" s="126"/>
    </row>
    <row r="3549" spans="1:15" s="3" customFormat="1" ht="9.9" customHeight="1">
      <c r="A3549" s="125"/>
      <c r="B3549" s="123"/>
      <c r="C3549" s="123"/>
      <c r="D3549" s="123"/>
      <c r="E3549" s="123"/>
      <c r="F3549" s="167"/>
      <c r="G3549" s="123"/>
      <c r="H3549" s="123"/>
      <c r="I3549" s="123"/>
      <c r="J3549" s="123"/>
      <c r="K3549" s="123"/>
      <c r="L3549" s="123"/>
      <c r="M3549" s="123"/>
      <c r="N3549" s="126"/>
    </row>
    <row r="3550" spans="1:15" s="3" customFormat="1" ht="31.2" customHeight="1">
      <c r="A3550" s="127" t="s">
        <v>1898</v>
      </c>
      <c r="B3550" s="170"/>
      <c r="C3550" s="170"/>
      <c r="D3550" s="170"/>
      <c r="E3550" s="170"/>
      <c r="F3550" s="171" t="s">
        <v>1885</v>
      </c>
      <c r="G3550" s="597" t="e">
        <f>VLOOKUP(G3553, 'Detail PL'!$B$14:$Q$799,2)</f>
        <v>#N/A</v>
      </c>
      <c r="H3550" s="597"/>
      <c r="I3550" s="597"/>
      <c r="J3550" s="597"/>
      <c r="K3550" s="597"/>
      <c r="L3550" s="597"/>
      <c r="M3550" s="597"/>
      <c r="N3550" s="128"/>
    </row>
    <row r="3551" spans="1:15" s="3" customFormat="1" ht="25.2">
      <c r="A3551" s="127" t="s">
        <v>1899</v>
      </c>
      <c r="B3551" s="170"/>
      <c r="C3551" s="170"/>
      <c r="D3551" s="170"/>
      <c r="E3551" s="170"/>
      <c r="F3551" s="171"/>
      <c r="G3551" s="170"/>
      <c r="H3551" s="170"/>
      <c r="I3551" s="170"/>
      <c r="J3551" s="170"/>
      <c r="K3551" s="170"/>
      <c r="L3551" s="170"/>
      <c r="M3551" s="170"/>
      <c r="N3551" s="128"/>
    </row>
    <row r="3552" spans="1:15" s="3" customFormat="1" ht="9.9" customHeight="1">
      <c r="A3552" s="125"/>
      <c r="B3552" s="123"/>
      <c r="C3552" s="123"/>
      <c r="D3552" s="123"/>
      <c r="E3552" s="123"/>
      <c r="F3552" s="167"/>
      <c r="G3552" s="123"/>
      <c r="H3552" s="123"/>
      <c r="I3552" s="123"/>
      <c r="J3552" s="123"/>
      <c r="K3552" s="123"/>
      <c r="L3552" s="123"/>
      <c r="M3552" s="123"/>
      <c r="N3552" s="126"/>
    </row>
    <row r="3553" spans="1:14" s="3" customFormat="1" ht="25.2">
      <c r="A3553" s="125" t="s">
        <v>1900</v>
      </c>
      <c r="B3553" s="123"/>
      <c r="C3553" s="123"/>
      <c r="D3553" s="123"/>
      <c r="E3553" s="123"/>
      <c r="F3553" s="171" t="s">
        <v>1901</v>
      </c>
      <c r="G3553" s="604">
        <f t="shared" ref="G3553" si="99">G3518+1</f>
        <v>102</v>
      </c>
      <c r="H3553" s="604"/>
      <c r="I3553" s="604"/>
      <c r="J3553" s="604"/>
      <c r="K3553" s="604"/>
      <c r="L3553" s="123"/>
      <c r="M3553" s="123"/>
      <c r="N3553" s="126"/>
    </row>
    <row r="3554" spans="1:14" s="4" customFormat="1" ht="25.2">
      <c r="A3554" s="125" t="s">
        <v>1903</v>
      </c>
      <c r="B3554" s="123"/>
      <c r="C3554" s="123"/>
      <c r="D3554" s="123"/>
      <c r="E3554" s="123"/>
      <c r="F3554" s="167"/>
      <c r="G3554" s="167"/>
      <c r="H3554" s="123"/>
      <c r="I3554" s="123"/>
      <c r="J3554" s="123"/>
      <c r="K3554" s="123"/>
      <c r="L3554" s="123"/>
      <c r="M3554" s="123"/>
      <c r="N3554" s="126"/>
    </row>
    <row r="3555" spans="1:14" s="3" customFormat="1" ht="9.9" customHeight="1">
      <c r="A3555" s="125"/>
      <c r="B3555" s="123"/>
      <c r="C3555" s="123"/>
      <c r="D3555" s="123"/>
      <c r="E3555" s="123"/>
      <c r="F3555" s="167"/>
      <c r="G3555" s="167"/>
      <c r="H3555" s="123"/>
      <c r="I3555" s="123"/>
      <c r="J3555" s="123"/>
      <c r="K3555" s="123"/>
      <c r="L3555" s="123"/>
      <c r="M3555" s="123"/>
      <c r="N3555" s="126"/>
    </row>
    <row r="3556" spans="1:14" s="3" customFormat="1" ht="25.2">
      <c r="A3556" s="125" t="s">
        <v>1904</v>
      </c>
      <c r="B3556" s="123"/>
      <c r="C3556" s="123"/>
      <c r="D3556" s="123"/>
      <c r="E3556" s="123"/>
      <c r="F3556" s="167" t="s">
        <v>1896</v>
      </c>
      <c r="G3556" s="204" t="e">
        <f>VLOOKUP(G3553, 'Detail PL'!$B$14:$Q$799, 10)</f>
        <v>#N/A</v>
      </c>
      <c r="H3556" s="204" t="s">
        <v>1905</v>
      </c>
      <c r="I3556" s="204"/>
      <c r="J3556" s="204"/>
      <c r="K3556" s="123"/>
      <c r="L3556" s="123"/>
      <c r="M3556" s="123"/>
      <c r="N3556" s="126"/>
    </row>
    <row r="3557" spans="1:14" s="4" customFormat="1" ht="25.2">
      <c r="A3557" s="125" t="s">
        <v>1906</v>
      </c>
      <c r="B3557" s="123"/>
      <c r="C3557" s="123"/>
      <c r="D3557" s="123"/>
      <c r="E3557" s="123"/>
      <c r="F3557" s="167"/>
      <c r="G3557" s="167"/>
      <c r="H3557" s="167"/>
      <c r="I3557" s="123"/>
      <c r="J3557" s="123"/>
      <c r="K3557" s="123"/>
      <c r="L3557" s="123"/>
      <c r="M3557" s="123"/>
      <c r="N3557" s="126"/>
    </row>
    <row r="3558" spans="1:14" s="3" customFormat="1" ht="9.9" customHeight="1">
      <c r="A3558" s="125"/>
      <c r="B3558" s="123"/>
      <c r="C3558" s="123"/>
      <c r="D3558" s="123"/>
      <c r="E3558" s="123"/>
      <c r="F3558" s="167"/>
      <c r="G3558" s="167"/>
      <c r="H3558" s="167"/>
      <c r="I3558" s="123"/>
      <c r="J3558" s="123"/>
      <c r="K3558" s="123"/>
      <c r="L3558" s="123"/>
      <c r="M3558" s="123"/>
      <c r="N3558" s="126"/>
    </row>
    <row r="3559" spans="1:14" s="3" customFormat="1" ht="25.2">
      <c r="A3559" s="125" t="s">
        <v>1907</v>
      </c>
      <c r="B3559" s="123"/>
      <c r="C3559" s="123"/>
      <c r="D3559" s="123"/>
      <c r="E3559" s="123"/>
      <c r="F3559" s="167" t="s">
        <v>1896</v>
      </c>
      <c r="G3559" s="204" t="e">
        <f>VLOOKUP(G3553, 'Detail PL'!$B$14:$Q$799, 11)</f>
        <v>#N/A</v>
      </c>
      <c r="H3559" s="204" t="s">
        <v>1905</v>
      </c>
      <c r="I3559" s="204"/>
      <c r="J3559" s="204"/>
      <c r="K3559" s="123"/>
      <c r="L3559" s="123"/>
      <c r="M3559" s="123"/>
      <c r="N3559" s="126"/>
    </row>
    <row r="3560" spans="1:14" s="4" customFormat="1" ht="25.2">
      <c r="A3560" s="125" t="s">
        <v>1908</v>
      </c>
      <c r="B3560" s="123"/>
      <c r="C3560" s="123"/>
      <c r="D3560" s="123"/>
      <c r="E3560" s="123"/>
      <c r="F3560" s="167"/>
      <c r="G3560" s="167"/>
      <c r="H3560" s="123"/>
      <c r="I3560" s="123"/>
      <c r="J3560" s="123"/>
      <c r="K3560" s="123"/>
      <c r="L3560" s="123"/>
      <c r="M3560" s="123"/>
      <c r="N3560" s="126"/>
    </row>
    <row r="3561" spans="1:14" s="3" customFormat="1" ht="9.9" customHeight="1">
      <c r="A3561" s="125"/>
      <c r="B3561" s="123"/>
      <c r="C3561" s="123"/>
      <c r="D3561" s="123"/>
      <c r="E3561" s="123"/>
      <c r="F3561" s="167"/>
      <c r="G3561" s="167"/>
      <c r="H3561" s="123"/>
      <c r="I3561" s="123"/>
      <c r="J3561" s="123"/>
      <c r="K3561" s="123"/>
      <c r="L3561" s="123"/>
      <c r="M3561" s="123"/>
      <c r="N3561" s="126"/>
    </row>
    <row r="3562" spans="1:14" s="3" customFormat="1" ht="25.2">
      <c r="A3562" s="129" t="s">
        <v>1909</v>
      </c>
      <c r="B3562" s="123"/>
      <c r="C3562" s="123"/>
      <c r="D3562" s="123"/>
      <c r="E3562" s="123"/>
      <c r="F3562" s="167" t="s">
        <v>1896</v>
      </c>
      <c r="G3562" s="204" t="e">
        <f>VLOOKUP(G3553, 'Detail PL'!$B$14:$Q$799, 9)</f>
        <v>#N/A</v>
      </c>
      <c r="H3562" s="205" t="s">
        <v>1910</v>
      </c>
      <c r="I3562" s="203"/>
      <c r="J3562" s="203"/>
      <c r="K3562" s="172"/>
      <c r="L3562" s="123"/>
      <c r="M3562" s="123"/>
      <c r="N3562" s="126"/>
    </row>
    <row r="3563" spans="1:14" s="4" customFormat="1" ht="25.2">
      <c r="A3563" s="125" t="s">
        <v>1911</v>
      </c>
      <c r="B3563" s="123"/>
      <c r="C3563" s="123"/>
      <c r="D3563" s="123"/>
      <c r="E3563" s="123"/>
      <c r="F3563" s="167"/>
      <c r="G3563" s="167"/>
      <c r="H3563" s="123"/>
      <c r="I3563" s="123"/>
      <c r="J3563" s="123"/>
      <c r="K3563" s="123"/>
      <c r="L3563" s="123"/>
      <c r="M3563" s="123"/>
      <c r="N3563" s="126"/>
    </row>
    <row r="3564" spans="1:14" s="3" customFormat="1" ht="9.9" customHeight="1">
      <c r="A3564" s="125"/>
      <c r="B3564" s="123"/>
      <c r="C3564" s="123"/>
      <c r="D3564" s="123"/>
      <c r="E3564" s="123"/>
      <c r="F3564" s="167"/>
      <c r="G3564" s="167"/>
      <c r="H3564" s="123"/>
      <c r="I3564" s="123"/>
      <c r="J3564" s="123"/>
      <c r="K3564" s="123"/>
      <c r="L3564" s="123"/>
      <c r="M3564" s="123"/>
      <c r="N3564" s="126"/>
    </row>
    <row r="3565" spans="1:14" s="3" customFormat="1" ht="42" customHeight="1">
      <c r="A3565" s="125" t="s">
        <v>1912</v>
      </c>
      <c r="B3565" s="123"/>
      <c r="C3565" s="123"/>
      <c r="D3565" s="123"/>
      <c r="E3565" s="123"/>
      <c r="F3565" s="166" t="s">
        <v>1913</v>
      </c>
      <c r="G3565" s="595" t="s">
        <v>1914</v>
      </c>
      <c r="H3565" s="595"/>
      <c r="I3565" s="595"/>
      <c r="J3565" s="595"/>
      <c r="K3565" s="595"/>
      <c r="L3565" s="595"/>
      <c r="M3565" s="595"/>
      <c r="N3565" s="596"/>
    </row>
    <row r="3566" spans="1:14" s="4" customFormat="1" ht="25.8" thickBot="1">
      <c r="A3566" s="125" t="s">
        <v>1915</v>
      </c>
      <c r="B3566" s="123"/>
      <c r="C3566" s="123"/>
      <c r="D3566" s="123"/>
      <c r="E3566" s="123"/>
      <c r="F3566" s="167"/>
      <c r="G3566" s="167"/>
      <c r="H3566" s="123"/>
      <c r="I3566" s="123"/>
      <c r="J3566" s="123"/>
      <c r="K3566" s="123"/>
      <c r="L3566" s="123"/>
      <c r="M3566" s="123"/>
      <c r="N3566" s="126"/>
    </row>
    <row r="3567" spans="1:14" ht="21" customHeight="1">
      <c r="A3567" s="598" t="s">
        <v>1916</v>
      </c>
      <c r="B3567" s="599"/>
      <c r="C3567" s="599"/>
      <c r="D3567" s="599"/>
      <c r="E3567" s="599"/>
      <c r="F3567" s="599"/>
      <c r="G3567" s="599"/>
      <c r="H3567" s="599"/>
      <c r="I3567" s="599"/>
      <c r="J3567" s="599"/>
      <c r="K3567" s="599"/>
      <c r="L3567" s="599"/>
      <c r="M3567" s="599"/>
      <c r="N3567" s="600"/>
    </row>
    <row r="3568" spans="1:14" ht="25.5" customHeight="1" thickBot="1">
      <c r="A3568" s="601"/>
      <c r="B3568" s="602"/>
      <c r="C3568" s="602"/>
      <c r="D3568" s="602"/>
      <c r="E3568" s="602"/>
      <c r="F3568" s="602"/>
      <c r="G3568" s="602"/>
      <c r="H3568" s="602"/>
      <c r="I3568" s="602"/>
      <c r="J3568" s="602"/>
      <c r="K3568" s="602"/>
      <c r="L3568" s="602"/>
      <c r="M3568" s="602"/>
      <c r="N3568" s="603"/>
    </row>
    <row r="3569" spans="1:15" ht="25.5" customHeight="1">
      <c r="E3569" s="206"/>
      <c r="F3569" s="206"/>
      <c r="G3569" s="206"/>
      <c r="H3569" s="206"/>
      <c r="I3569" s="206"/>
      <c r="J3569" s="206"/>
      <c r="K3569" s="206"/>
    </row>
    <row r="3570" spans="1:15" ht="21.6" thickBot="1"/>
    <row r="3571" spans="1:15" ht="95.25" customHeight="1" thickBot="1">
      <c r="A3571" s="592" t="s">
        <v>1883</v>
      </c>
      <c r="B3571" s="593"/>
      <c r="C3571" s="593"/>
      <c r="D3571" s="593"/>
      <c r="E3571" s="593"/>
      <c r="F3571" s="593"/>
      <c r="G3571" s="593"/>
      <c r="H3571" s="593"/>
      <c r="I3571" s="593"/>
      <c r="J3571" s="593"/>
      <c r="K3571" s="593"/>
      <c r="L3571" s="593"/>
      <c r="M3571" s="593"/>
      <c r="N3571" s="594"/>
    </row>
    <row r="3572" spans="1:15" s="3" customFormat="1" ht="37.5" customHeight="1">
      <c r="A3572" s="134" t="s">
        <v>1884</v>
      </c>
      <c r="B3572" s="166"/>
      <c r="C3572" s="166"/>
      <c r="D3572" s="123"/>
      <c r="E3572" s="123"/>
      <c r="F3572" s="167" t="s">
        <v>1885</v>
      </c>
      <c r="G3572" s="167" t="s">
        <v>1886</v>
      </c>
      <c r="H3572" s="167"/>
      <c r="I3572" s="167"/>
      <c r="J3572" s="167"/>
      <c r="K3572" s="167"/>
      <c r="L3572" s="167"/>
      <c r="M3572" s="167"/>
      <c r="N3572" s="152"/>
      <c r="O3572" s="201"/>
    </row>
    <row r="3573" spans="1:15" s="4" customFormat="1" ht="25.2">
      <c r="A3573" s="125" t="s">
        <v>1887</v>
      </c>
      <c r="B3573" s="123"/>
      <c r="C3573" s="123"/>
      <c r="D3573" s="123"/>
      <c r="E3573" s="123"/>
      <c r="F3573" s="167"/>
      <c r="G3573" s="167" t="s">
        <v>1888</v>
      </c>
      <c r="H3573" s="167"/>
      <c r="I3573" s="167"/>
      <c r="J3573" s="167"/>
      <c r="K3573" s="167"/>
      <c r="L3573" s="167"/>
      <c r="M3573" s="167"/>
      <c r="N3573" s="152"/>
    </row>
    <row r="3574" spans="1:15" s="3" customFormat="1" ht="9.9" customHeight="1">
      <c r="A3574" s="125"/>
      <c r="B3574" s="123"/>
      <c r="C3574" s="123"/>
      <c r="D3574" s="123"/>
      <c r="E3574" s="123"/>
      <c r="F3574" s="167"/>
      <c r="G3574" s="123"/>
      <c r="H3574" s="123"/>
      <c r="I3574" s="123"/>
      <c r="J3574" s="123"/>
      <c r="K3574" s="123"/>
      <c r="L3574" s="123"/>
      <c r="M3574" s="123"/>
      <c r="N3574" s="126"/>
    </row>
    <row r="3575" spans="1:15" s="3" customFormat="1" ht="42.75" customHeight="1">
      <c r="A3575" s="125" t="s">
        <v>1889</v>
      </c>
      <c r="B3575" s="123"/>
      <c r="C3575" s="123"/>
      <c r="D3575" s="123"/>
      <c r="E3575" s="123"/>
      <c r="F3575" s="167" t="s">
        <v>1885</v>
      </c>
      <c r="G3575" s="167" t="str">
        <f>PL!$B$13</f>
        <v>Branch of JSC "Doosan Enerbility" in the Turkestan region</v>
      </c>
      <c r="H3575" s="123"/>
      <c r="I3575" s="123"/>
      <c r="J3575" s="123"/>
      <c r="K3575" s="123"/>
      <c r="L3575" s="123"/>
      <c r="M3575" s="123"/>
      <c r="N3575" s="126"/>
    </row>
    <row r="3576" spans="1:15" s="3" customFormat="1" ht="24" customHeight="1">
      <c r="A3576" s="125" t="s">
        <v>1890</v>
      </c>
      <c r="B3576" s="123"/>
      <c r="C3576" s="123"/>
      <c r="D3576" s="123"/>
      <c r="E3576" s="123"/>
      <c r="F3576" s="168"/>
      <c r="G3576" s="167" t="str">
        <f>PL!$B$14</f>
        <v>321 Tauke Khan Avenue, Turkestan region, Turkestan, Kazakhstan, 161200</v>
      </c>
      <c r="H3576" s="123"/>
      <c r="I3576" s="123"/>
      <c r="J3576" s="123"/>
      <c r="K3576" s="123"/>
      <c r="L3576" s="123"/>
      <c r="M3576" s="123"/>
      <c r="N3576" s="126"/>
    </row>
    <row r="3577" spans="1:15" s="4" customFormat="1" ht="25.2">
      <c r="A3577" s="125"/>
      <c r="B3577" s="123"/>
      <c r="C3577" s="123"/>
      <c r="D3577" s="123"/>
      <c r="E3577" s="123"/>
      <c r="F3577" s="168"/>
      <c r="G3577" s="167" t="str">
        <f>PL!$B$15</f>
        <v>BIN: 230741006561</v>
      </c>
      <c r="H3577" s="123"/>
      <c r="I3577" s="123"/>
      <c r="J3577" s="123"/>
      <c r="K3577" s="123"/>
      <c r="L3577" s="123"/>
      <c r="M3577" s="123"/>
      <c r="N3577" s="126"/>
    </row>
    <row r="3578" spans="1:15" s="3" customFormat="1" ht="9.9" customHeight="1">
      <c r="A3578" s="125"/>
      <c r="B3578" s="123"/>
      <c r="C3578" s="123"/>
      <c r="D3578" s="123"/>
      <c r="E3578" s="123"/>
      <c r="F3578" s="169"/>
      <c r="G3578" s="169"/>
      <c r="H3578" s="123"/>
      <c r="I3578" s="123"/>
      <c r="J3578" s="123"/>
      <c r="K3578" s="123"/>
      <c r="L3578" s="123"/>
      <c r="M3578" s="123"/>
      <c r="N3578" s="126"/>
    </row>
    <row r="3579" spans="1:15" s="3" customFormat="1" ht="25.2">
      <c r="A3579" s="125" t="s">
        <v>1891</v>
      </c>
      <c r="B3579" s="123"/>
      <c r="C3579" s="123"/>
      <c r="D3579" s="123"/>
      <c r="E3579" s="123"/>
      <c r="F3579" s="167" t="s">
        <v>1892</v>
      </c>
      <c r="G3579" s="123"/>
      <c r="H3579" s="123"/>
      <c r="I3579" s="123"/>
      <c r="J3579" s="123"/>
      <c r="K3579" s="123"/>
      <c r="L3579" s="123"/>
      <c r="M3579" s="123"/>
      <c r="N3579" s="126"/>
    </row>
    <row r="3580" spans="1:15" s="4" customFormat="1" ht="25.2">
      <c r="A3580" s="125" t="s">
        <v>1893</v>
      </c>
      <c r="B3580" s="123"/>
      <c r="C3580" s="123"/>
      <c r="D3580" s="123"/>
      <c r="E3580" s="123"/>
      <c r="F3580" s="167" t="s">
        <v>1894</v>
      </c>
      <c r="G3580" s="123"/>
      <c r="H3580" s="123"/>
      <c r="I3580" s="123"/>
      <c r="J3580" s="123"/>
      <c r="K3580" s="123"/>
      <c r="L3580" s="123"/>
      <c r="M3580" s="123"/>
      <c r="N3580" s="126"/>
    </row>
    <row r="3581" spans="1:15" s="3" customFormat="1" ht="9.9" customHeight="1">
      <c r="A3581" s="125"/>
      <c r="B3581" s="123"/>
      <c r="C3581" s="123"/>
      <c r="D3581" s="123"/>
      <c r="E3581" s="123"/>
      <c r="F3581" s="167"/>
      <c r="G3581" s="123"/>
      <c r="H3581" s="123"/>
      <c r="I3581" s="123"/>
      <c r="J3581" s="123"/>
      <c r="K3581" s="123"/>
      <c r="L3581" s="123"/>
      <c r="M3581" s="123"/>
      <c r="N3581" s="126"/>
    </row>
    <row r="3582" spans="1:15" s="3" customFormat="1" ht="25.2">
      <c r="A3582" s="125" t="s">
        <v>1895</v>
      </c>
      <c r="B3582" s="123"/>
      <c r="C3582" s="123"/>
      <c r="D3582" s="123"/>
      <c r="E3582" s="123"/>
      <c r="F3582" s="167" t="s">
        <v>1896</v>
      </c>
      <c r="G3582" s="167" t="str">
        <f>PL!$V$8</f>
        <v>PGU-DE-0139-001</v>
      </c>
      <c r="H3582" s="123"/>
      <c r="I3582" s="123"/>
      <c r="J3582" s="123"/>
      <c r="K3582" s="123"/>
      <c r="L3582" s="123"/>
      <c r="M3582" s="123"/>
      <c r="N3582" s="126"/>
    </row>
    <row r="3583" spans="1:15" s="3" customFormat="1" ht="25.2">
      <c r="A3583" s="125" t="s">
        <v>1897</v>
      </c>
      <c r="B3583" s="123"/>
      <c r="C3583" s="123"/>
      <c r="D3583" s="123"/>
      <c r="E3583" s="123"/>
      <c r="F3583" s="167"/>
      <c r="G3583" s="123"/>
      <c r="H3583" s="123"/>
      <c r="I3583" s="123"/>
      <c r="J3583" s="123"/>
      <c r="K3583" s="123"/>
      <c r="L3583" s="123"/>
      <c r="M3583" s="123"/>
      <c r="N3583" s="126"/>
    </row>
    <row r="3584" spans="1:15" s="3" customFormat="1" ht="9.9" customHeight="1">
      <c r="A3584" s="125"/>
      <c r="B3584" s="123"/>
      <c r="C3584" s="123"/>
      <c r="D3584" s="123"/>
      <c r="E3584" s="123"/>
      <c r="F3584" s="167"/>
      <c r="G3584" s="123"/>
      <c r="H3584" s="123"/>
      <c r="I3584" s="123"/>
      <c r="J3584" s="123"/>
      <c r="K3584" s="123"/>
      <c r="L3584" s="123"/>
      <c r="M3584" s="123"/>
      <c r="N3584" s="126"/>
    </row>
    <row r="3585" spans="1:14" s="3" customFormat="1" ht="31.2" customHeight="1">
      <c r="A3585" s="127" t="s">
        <v>1898</v>
      </c>
      <c r="B3585" s="170"/>
      <c r="C3585" s="170"/>
      <c r="D3585" s="170"/>
      <c r="E3585" s="170"/>
      <c r="F3585" s="171" t="s">
        <v>1885</v>
      </c>
      <c r="G3585" s="597" t="e">
        <f>VLOOKUP(G3588, 'Detail PL'!$B$14:$Q$799,2)</f>
        <v>#N/A</v>
      </c>
      <c r="H3585" s="597"/>
      <c r="I3585" s="597"/>
      <c r="J3585" s="597"/>
      <c r="K3585" s="597"/>
      <c r="L3585" s="597"/>
      <c r="M3585" s="597"/>
      <c r="N3585" s="128"/>
    </row>
    <row r="3586" spans="1:14" s="3" customFormat="1" ht="25.2">
      <c r="A3586" s="127" t="s">
        <v>1899</v>
      </c>
      <c r="B3586" s="170"/>
      <c r="C3586" s="170"/>
      <c r="D3586" s="170"/>
      <c r="E3586" s="170"/>
      <c r="F3586" s="171"/>
      <c r="G3586" s="170"/>
      <c r="H3586" s="170"/>
      <c r="I3586" s="170"/>
      <c r="J3586" s="170"/>
      <c r="K3586" s="170"/>
      <c r="L3586" s="170"/>
      <c r="M3586" s="170"/>
      <c r="N3586" s="128"/>
    </row>
    <row r="3587" spans="1:14" s="3" customFormat="1" ht="9.9" customHeight="1">
      <c r="A3587" s="125"/>
      <c r="B3587" s="123"/>
      <c r="C3587" s="123"/>
      <c r="D3587" s="123"/>
      <c r="E3587" s="123"/>
      <c r="F3587" s="167"/>
      <c r="G3587" s="123"/>
      <c r="H3587" s="123"/>
      <c r="I3587" s="123"/>
      <c r="J3587" s="123"/>
      <c r="K3587" s="123"/>
      <c r="L3587" s="123"/>
      <c r="M3587" s="123"/>
      <c r="N3587" s="126"/>
    </row>
    <row r="3588" spans="1:14" s="3" customFormat="1" ht="25.2">
      <c r="A3588" s="125" t="s">
        <v>1900</v>
      </c>
      <c r="B3588" s="123"/>
      <c r="C3588" s="123"/>
      <c r="D3588" s="123"/>
      <c r="E3588" s="123"/>
      <c r="F3588" s="171" t="s">
        <v>1901</v>
      </c>
      <c r="G3588" s="604">
        <f t="shared" ref="G3588" si="100">G3553+1</f>
        <v>103</v>
      </c>
      <c r="H3588" s="604"/>
      <c r="I3588" s="604"/>
      <c r="J3588" s="604"/>
      <c r="K3588" s="604"/>
      <c r="L3588" s="123"/>
      <c r="M3588" s="123"/>
      <c r="N3588" s="126"/>
    </row>
    <row r="3589" spans="1:14" s="4" customFormat="1" ht="25.2">
      <c r="A3589" s="125" t="s">
        <v>1903</v>
      </c>
      <c r="B3589" s="123"/>
      <c r="C3589" s="123"/>
      <c r="D3589" s="123"/>
      <c r="E3589" s="123"/>
      <c r="F3589" s="167"/>
      <c r="G3589" s="167"/>
      <c r="H3589" s="123"/>
      <c r="I3589" s="123"/>
      <c r="J3589" s="123"/>
      <c r="K3589" s="123"/>
      <c r="L3589" s="123"/>
      <c r="M3589" s="123"/>
      <c r="N3589" s="126"/>
    </row>
    <row r="3590" spans="1:14" s="3" customFormat="1" ht="9.9" customHeight="1">
      <c r="A3590" s="125"/>
      <c r="B3590" s="123"/>
      <c r="C3590" s="123"/>
      <c r="D3590" s="123"/>
      <c r="E3590" s="123"/>
      <c r="F3590" s="167"/>
      <c r="G3590" s="167"/>
      <c r="H3590" s="123"/>
      <c r="I3590" s="123"/>
      <c r="J3590" s="123"/>
      <c r="K3590" s="123"/>
      <c r="L3590" s="123"/>
      <c r="M3590" s="123"/>
      <c r="N3590" s="126"/>
    </row>
    <row r="3591" spans="1:14" s="3" customFormat="1" ht="25.2">
      <c r="A3591" s="125" t="s">
        <v>1904</v>
      </c>
      <c r="B3591" s="123"/>
      <c r="C3591" s="123"/>
      <c r="D3591" s="123"/>
      <c r="E3591" s="123"/>
      <c r="F3591" s="167" t="s">
        <v>1896</v>
      </c>
      <c r="G3591" s="204" t="e">
        <f>VLOOKUP(G3588, 'Detail PL'!$B$14:$Q$799, 10)</f>
        <v>#N/A</v>
      </c>
      <c r="H3591" s="204" t="s">
        <v>1905</v>
      </c>
      <c r="I3591" s="204"/>
      <c r="J3591" s="204"/>
      <c r="K3591" s="123"/>
      <c r="L3591" s="123"/>
      <c r="M3591" s="123"/>
      <c r="N3591" s="126"/>
    </row>
    <row r="3592" spans="1:14" s="4" customFormat="1" ht="25.2">
      <c r="A3592" s="125" t="s">
        <v>1906</v>
      </c>
      <c r="B3592" s="123"/>
      <c r="C3592" s="123"/>
      <c r="D3592" s="123"/>
      <c r="E3592" s="123"/>
      <c r="F3592" s="167"/>
      <c r="G3592" s="167"/>
      <c r="H3592" s="167"/>
      <c r="I3592" s="123"/>
      <c r="J3592" s="123"/>
      <c r="K3592" s="123"/>
      <c r="L3592" s="123"/>
      <c r="M3592" s="123"/>
      <c r="N3592" s="126"/>
    </row>
    <row r="3593" spans="1:14" s="3" customFormat="1" ht="9.9" customHeight="1">
      <c r="A3593" s="125"/>
      <c r="B3593" s="123"/>
      <c r="C3593" s="123"/>
      <c r="D3593" s="123"/>
      <c r="E3593" s="123"/>
      <c r="F3593" s="167"/>
      <c r="G3593" s="167"/>
      <c r="H3593" s="167"/>
      <c r="I3593" s="123"/>
      <c r="J3593" s="123"/>
      <c r="K3593" s="123"/>
      <c r="L3593" s="123"/>
      <c r="M3593" s="123"/>
      <c r="N3593" s="126"/>
    </row>
    <row r="3594" spans="1:14" s="3" customFormat="1" ht="25.2">
      <c r="A3594" s="125" t="s">
        <v>1907</v>
      </c>
      <c r="B3594" s="123"/>
      <c r="C3594" s="123"/>
      <c r="D3594" s="123"/>
      <c r="E3594" s="123"/>
      <c r="F3594" s="167" t="s">
        <v>1896</v>
      </c>
      <c r="G3594" s="204" t="e">
        <f>VLOOKUP(G3588, 'Detail PL'!$B$14:$Q$799, 11)</f>
        <v>#N/A</v>
      </c>
      <c r="H3594" s="204" t="s">
        <v>1905</v>
      </c>
      <c r="I3594" s="204"/>
      <c r="J3594" s="204"/>
      <c r="K3594" s="123"/>
      <c r="L3594" s="123"/>
      <c r="M3594" s="123"/>
      <c r="N3594" s="126"/>
    </row>
    <row r="3595" spans="1:14" s="4" customFormat="1" ht="25.2">
      <c r="A3595" s="125" t="s">
        <v>1908</v>
      </c>
      <c r="B3595" s="123"/>
      <c r="C3595" s="123"/>
      <c r="D3595" s="123"/>
      <c r="E3595" s="123"/>
      <c r="F3595" s="167"/>
      <c r="G3595" s="167"/>
      <c r="H3595" s="123"/>
      <c r="I3595" s="123"/>
      <c r="J3595" s="123"/>
      <c r="K3595" s="123"/>
      <c r="L3595" s="123"/>
      <c r="M3595" s="123"/>
      <c r="N3595" s="126"/>
    </row>
    <row r="3596" spans="1:14" s="3" customFormat="1" ht="9.9" customHeight="1">
      <c r="A3596" s="125"/>
      <c r="B3596" s="123"/>
      <c r="C3596" s="123"/>
      <c r="D3596" s="123"/>
      <c r="E3596" s="123"/>
      <c r="F3596" s="167"/>
      <c r="G3596" s="167"/>
      <c r="H3596" s="123"/>
      <c r="I3596" s="123"/>
      <c r="J3596" s="123"/>
      <c r="K3596" s="123"/>
      <c r="L3596" s="123"/>
      <c r="M3596" s="123"/>
      <c r="N3596" s="126"/>
    </row>
    <row r="3597" spans="1:14" s="3" customFormat="1" ht="25.2">
      <c r="A3597" s="129" t="s">
        <v>1909</v>
      </c>
      <c r="B3597" s="123"/>
      <c r="C3597" s="123"/>
      <c r="D3597" s="123"/>
      <c r="E3597" s="123"/>
      <c r="F3597" s="167" t="s">
        <v>1896</v>
      </c>
      <c r="G3597" s="204" t="e">
        <f>VLOOKUP(G3588, 'Detail PL'!$B$14:$Q$799, 9)</f>
        <v>#N/A</v>
      </c>
      <c r="H3597" s="205" t="s">
        <v>1910</v>
      </c>
      <c r="I3597" s="203"/>
      <c r="J3597" s="203"/>
      <c r="K3597" s="172"/>
      <c r="L3597" s="123"/>
      <c r="M3597" s="123"/>
      <c r="N3597" s="126"/>
    </row>
    <row r="3598" spans="1:14" s="4" customFormat="1" ht="25.2">
      <c r="A3598" s="125" t="s">
        <v>1911</v>
      </c>
      <c r="B3598" s="123"/>
      <c r="C3598" s="123"/>
      <c r="D3598" s="123"/>
      <c r="E3598" s="123"/>
      <c r="F3598" s="167"/>
      <c r="G3598" s="167"/>
      <c r="H3598" s="123"/>
      <c r="I3598" s="123"/>
      <c r="J3598" s="123"/>
      <c r="K3598" s="123"/>
      <c r="L3598" s="123"/>
      <c r="M3598" s="123"/>
      <c r="N3598" s="126"/>
    </row>
    <row r="3599" spans="1:14" s="3" customFormat="1" ht="9.9" customHeight="1">
      <c r="A3599" s="125"/>
      <c r="B3599" s="123"/>
      <c r="C3599" s="123"/>
      <c r="D3599" s="123"/>
      <c r="E3599" s="123"/>
      <c r="F3599" s="167"/>
      <c r="G3599" s="167"/>
      <c r="H3599" s="123"/>
      <c r="I3599" s="123"/>
      <c r="J3599" s="123"/>
      <c r="K3599" s="123"/>
      <c r="L3599" s="123"/>
      <c r="M3599" s="123"/>
      <c r="N3599" s="126"/>
    </row>
    <row r="3600" spans="1:14" s="3" customFormat="1" ht="42" customHeight="1">
      <c r="A3600" s="125" t="s">
        <v>1912</v>
      </c>
      <c r="B3600" s="123"/>
      <c r="C3600" s="123"/>
      <c r="D3600" s="123"/>
      <c r="E3600" s="123"/>
      <c r="F3600" s="166" t="s">
        <v>1913</v>
      </c>
      <c r="G3600" s="595" t="s">
        <v>1914</v>
      </c>
      <c r="H3600" s="595"/>
      <c r="I3600" s="595"/>
      <c r="J3600" s="595"/>
      <c r="K3600" s="595"/>
      <c r="L3600" s="595"/>
      <c r="M3600" s="595"/>
      <c r="N3600" s="596"/>
    </row>
    <row r="3601" spans="1:15" s="4" customFormat="1" ht="25.8" thickBot="1">
      <c r="A3601" s="125" t="s">
        <v>1915</v>
      </c>
      <c r="B3601" s="123"/>
      <c r="C3601" s="123"/>
      <c r="D3601" s="123"/>
      <c r="E3601" s="123"/>
      <c r="F3601" s="167"/>
      <c r="G3601" s="167"/>
      <c r="H3601" s="123"/>
      <c r="I3601" s="123"/>
      <c r="J3601" s="123"/>
      <c r="K3601" s="123"/>
      <c r="L3601" s="123"/>
      <c r="M3601" s="123"/>
      <c r="N3601" s="126"/>
    </row>
    <row r="3602" spans="1:15" ht="21" customHeight="1">
      <c r="A3602" s="598" t="s">
        <v>1916</v>
      </c>
      <c r="B3602" s="599"/>
      <c r="C3602" s="599"/>
      <c r="D3602" s="599"/>
      <c r="E3602" s="599"/>
      <c r="F3602" s="599"/>
      <c r="G3602" s="599"/>
      <c r="H3602" s="599"/>
      <c r="I3602" s="599"/>
      <c r="J3602" s="599"/>
      <c r="K3602" s="599"/>
      <c r="L3602" s="599"/>
      <c r="M3602" s="599"/>
      <c r="N3602" s="600"/>
    </row>
    <row r="3603" spans="1:15" ht="25.5" customHeight="1" thickBot="1">
      <c r="A3603" s="601"/>
      <c r="B3603" s="602"/>
      <c r="C3603" s="602"/>
      <c r="D3603" s="602"/>
      <c r="E3603" s="602"/>
      <c r="F3603" s="602"/>
      <c r="G3603" s="602"/>
      <c r="H3603" s="602"/>
      <c r="I3603" s="602"/>
      <c r="J3603" s="602"/>
      <c r="K3603" s="602"/>
      <c r="L3603" s="602"/>
      <c r="M3603" s="602"/>
      <c r="N3603" s="603"/>
    </row>
    <row r="3604" spans="1:15" ht="25.5" customHeight="1">
      <c r="E3604" s="206"/>
      <c r="F3604" s="206"/>
      <c r="G3604" s="206"/>
      <c r="H3604" s="206"/>
      <c r="I3604" s="206"/>
      <c r="J3604" s="206"/>
      <c r="K3604" s="206"/>
    </row>
    <row r="3605" spans="1:15" ht="21.6" thickBot="1"/>
    <row r="3606" spans="1:15" ht="95.25" customHeight="1" thickBot="1">
      <c r="A3606" s="592" t="s">
        <v>1883</v>
      </c>
      <c r="B3606" s="593"/>
      <c r="C3606" s="593"/>
      <c r="D3606" s="593"/>
      <c r="E3606" s="593"/>
      <c r="F3606" s="593"/>
      <c r="G3606" s="593"/>
      <c r="H3606" s="593"/>
      <c r="I3606" s="593"/>
      <c r="J3606" s="593"/>
      <c r="K3606" s="593"/>
      <c r="L3606" s="593"/>
      <c r="M3606" s="593"/>
      <c r="N3606" s="594"/>
    </row>
    <row r="3607" spans="1:15" s="3" customFormat="1" ht="37.5" customHeight="1">
      <c r="A3607" s="134" t="s">
        <v>1884</v>
      </c>
      <c r="B3607" s="166"/>
      <c r="C3607" s="166"/>
      <c r="D3607" s="123"/>
      <c r="E3607" s="123"/>
      <c r="F3607" s="167" t="s">
        <v>1885</v>
      </c>
      <c r="G3607" s="167" t="s">
        <v>1886</v>
      </c>
      <c r="H3607" s="167"/>
      <c r="I3607" s="167"/>
      <c r="J3607" s="167"/>
      <c r="K3607" s="167"/>
      <c r="L3607" s="167"/>
      <c r="M3607" s="167"/>
      <c r="N3607" s="152"/>
      <c r="O3607" s="201"/>
    </row>
    <row r="3608" spans="1:15" s="4" customFormat="1" ht="25.2">
      <c r="A3608" s="125" t="s">
        <v>1887</v>
      </c>
      <c r="B3608" s="123"/>
      <c r="C3608" s="123"/>
      <c r="D3608" s="123"/>
      <c r="E3608" s="123"/>
      <c r="F3608" s="167"/>
      <c r="G3608" s="167" t="s">
        <v>1888</v>
      </c>
      <c r="H3608" s="167"/>
      <c r="I3608" s="167"/>
      <c r="J3608" s="167"/>
      <c r="K3608" s="167"/>
      <c r="L3608" s="167"/>
      <c r="M3608" s="167"/>
      <c r="N3608" s="152"/>
    </row>
    <row r="3609" spans="1:15" s="3" customFormat="1" ht="9.9" customHeight="1">
      <c r="A3609" s="125"/>
      <c r="B3609" s="123"/>
      <c r="C3609" s="123"/>
      <c r="D3609" s="123"/>
      <c r="E3609" s="123"/>
      <c r="F3609" s="167"/>
      <c r="G3609" s="123"/>
      <c r="H3609" s="123"/>
      <c r="I3609" s="123"/>
      <c r="J3609" s="123"/>
      <c r="K3609" s="123"/>
      <c r="L3609" s="123"/>
      <c r="M3609" s="123"/>
      <c r="N3609" s="126"/>
    </row>
    <row r="3610" spans="1:15" s="3" customFormat="1" ht="42.75" customHeight="1">
      <c r="A3610" s="125" t="s">
        <v>1889</v>
      </c>
      <c r="B3610" s="123"/>
      <c r="C3610" s="123"/>
      <c r="D3610" s="123"/>
      <c r="E3610" s="123"/>
      <c r="F3610" s="167" t="s">
        <v>1885</v>
      </c>
      <c r="G3610" s="167" t="str">
        <f>PL!$B$13</f>
        <v>Branch of JSC "Doosan Enerbility" in the Turkestan region</v>
      </c>
      <c r="H3610" s="123"/>
      <c r="I3610" s="123"/>
      <c r="J3610" s="123"/>
      <c r="K3610" s="123"/>
      <c r="L3610" s="123"/>
      <c r="M3610" s="123"/>
      <c r="N3610" s="126"/>
    </row>
    <row r="3611" spans="1:15" s="3" customFormat="1" ht="24" customHeight="1">
      <c r="A3611" s="125" t="s">
        <v>1890</v>
      </c>
      <c r="B3611" s="123"/>
      <c r="C3611" s="123"/>
      <c r="D3611" s="123"/>
      <c r="E3611" s="123"/>
      <c r="F3611" s="168"/>
      <c r="G3611" s="167" t="str">
        <f>PL!$B$14</f>
        <v>321 Tauke Khan Avenue, Turkestan region, Turkestan, Kazakhstan, 161200</v>
      </c>
      <c r="H3611" s="123"/>
      <c r="I3611" s="123"/>
      <c r="J3611" s="123"/>
      <c r="K3611" s="123"/>
      <c r="L3611" s="123"/>
      <c r="M3611" s="123"/>
      <c r="N3611" s="126"/>
    </row>
    <row r="3612" spans="1:15" s="4" customFormat="1" ht="25.2">
      <c r="A3612" s="125"/>
      <c r="B3612" s="123"/>
      <c r="C3612" s="123"/>
      <c r="D3612" s="123"/>
      <c r="E3612" s="123"/>
      <c r="F3612" s="168"/>
      <c r="G3612" s="167" t="str">
        <f>PL!$B$15</f>
        <v>BIN: 230741006561</v>
      </c>
      <c r="H3612" s="123"/>
      <c r="I3612" s="123"/>
      <c r="J3612" s="123"/>
      <c r="K3612" s="123"/>
      <c r="L3612" s="123"/>
      <c r="M3612" s="123"/>
      <c r="N3612" s="126"/>
    </row>
    <row r="3613" spans="1:15" s="3" customFormat="1" ht="9.9" customHeight="1">
      <c r="A3613" s="125"/>
      <c r="B3613" s="123"/>
      <c r="C3613" s="123"/>
      <c r="D3613" s="123"/>
      <c r="E3613" s="123"/>
      <c r="F3613" s="169"/>
      <c r="G3613" s="169"/>
      <c r="H3613" s="123"/>
      <c r="I3613" s="123"/>
      <c r="J3613" s="123"/>
      <c r="K3613" s="123"/>
      <c r="L3613" s="123"/>
      <c r="M3613" s="123"/>
      <c r="N3613" s="126"/>
    </row>
    <row r="3614" spans="1:15" s="3" customFormat="1" ht="25.2">
      <c r="A3614" s="125" t="s">
        <v>1891</v>
      </c>
      <c r="B3614" s="123"/>
      <c r="C3614" s="123"/>
      <c r="D3614" s="123"/>
      <c r="E3614" s="123"/>
      <c r="F3614" s="167" t="s">
        <v>1892</v>
      </c>
      <c r="G3614" s="123"/>
      <c r="H3614" s="123"/>
      <c r="I3614" s="123"/>
      <c r="J3614" s="123"/>
      <c r="K3614" s="123"/>
      <c r="L3614" s="123"/>
      <c r="M3614" s="123"/>
      <c r="N3614" s="126"/>
    </row>
    <row r="3615" spans="1:15" s="4" customFormat="1" ht="25.2">
      <c r="A3615" s="125" t="s">
        <v>1893</v>
      </c>
      <c r="B3615" s="123"/>
      <c r="C3615" s="123"/>
      <c r="D3615" s="123"/>
      <c r="E3615" s="123"/>
      <c r="F3615" s="167" t="s">
        <v>1894</v>
      </c>
      <c r="G3615" s="123"/>
      <c r="H3615" s="123"/>
      <c r="I3615" s="123"/>
      <c r="J3615" s="123"/>
      <c r="K3615" s="123"/>
      <c r="L3615" s="123"/>
      <c r="M3615" s="123"/>
      <c r="N3615" s="126"/>
    </row>
    <row r="3616" spans="1:15" s="3" customFormat="1" ht="9.9" customHeight="1">
      <c r="A3616" s="125"/>
      <c r="B3616" s="123"/>
      <c r="C3616" s="123"/>
      <c r="D3616" s="123"/>
      <c r="E3616" s="123"/>
      <c r="F3616" s="167"/>
      <c r="G3616" s="123"/>
      <c r="H3616" s="123"/>
      <c r="I3616" s="123"/>
      <c r="J3616" s="123"/>
      <c r="K3616" s="123"/>
      <c r="L3616" s="123"/>
      <c r="M3616" s="123"/>
      <c r="N3616" s="126"/>
    </row>
    <row r="3617" spans="1:14" s="3" customFormat="1" ht="25.2">
      <c r="A3617" s="125" t="s">
        <v>1895</v>
      </c>
      <c r="B3617" s="123"/>
      <c r="C3617" s="123"/>
      <c r="D3617" s="123"/>
      <c r="E3617" s="123"/>
      <c r="F3617" s="167" t="s">
        <v>1896</v>
      </c>
      <c r="G3617" s="167" t="str">
        <f>PL!$V$8</f>
        <v>PGU-DE-0139-001</v>
      </c>
      <c r="H3617" s="123"/>
      <c r="I3617" s="123"/>
      <c r="J3617" s="123"/>
      <c r="K3617" s="123"/>
      <c r="L3617" s="123"/>
      <c r="M3617" s="123"/>
      <c r="N3617" s="126"/>
    </row>
    <row r="3618" spans="1:14" s="3" customFormat="1" ht="25.2">
      <c r="A3618" s="125" t="s">
        <v>1897</v>
      </c>
      <c r="B3618" s="123"/>
      <c r="C3618" s="123"/>
      <c r="D3618" s="123"/>
      <c r="E3618" s="123"/>
      <c r="F3618" s="167"/>
      <c r="G3618" s="123"/>
      <c r="H3618" s="123"/>
      <c r="I3618" s="123"/>
      <c r="J3618" s="123"/>
      <c r="K3618" s="123"/>
      <c r="L3618" s="123"/>
      <c r="M3618" s="123"/>
      <c r="N3618" s="126"/>
    </row>
    <row r="3619" spans="1:14" s="3" customFormat="1" ht="9.9" customHeight="1">
      <c r="A3619" s="125"/>
      <c r="B3619" s="123"/>
      <c r="C3619" s="123"/>
      <c r="D3619" s="123"/>
      <c r="E3619" s="123"/>
      <c r="F3619" s="167"/>
      <c r="G3619" s="123"/>
      <c r="H3619" s="123"/>
      <c r="I3619" s="123"/>
      <c r="J3619" s="123"/>
      <c r="K3619" s="123"/>
      <c r="L3619" s="123"/>
      <c r="M3619" s="123"/>
      <c r="N3619" s="126"/>
    </row>
    <row r="3620" spans="1:14" s="3" customFormat="1" ht="31.2" customHeight="1">
      <c r="A3620" s="127" t="s">
        <v>1898</v>
      </c>
      <c r="B3620" s="170"/>
      <c r="C3620" s="170"/>
      <c r="D3620" s="170"/>
      <c r="E3620" s="170"/>
      <c r="F3620" s="171" t="s">
        <v>1885</v>
      </c>
      <c r="G3620" s="597" t="e">
        <f>VLOOKUP(G3623, 'Detail PL'!$B$14:$Q$799,2)</f>
        <v>#N/A</v>
      </c>
      <c r="H3620" s="597"/>
      <c r="I3620" s="597"/>
      <c r="J3620" s="597"/>
      <c r="K3620" s="597"/>
      <c r="L3620" s="597"/>
      <c r="M3620" s="597"/>
      <c r="N3620" s="128"/>
    </row>
    <row r="3621" spans="1:14" s="3" customFormat="1" ht="25.2">
      <c r="A3621" s="127" t="s">
        <v>1899</v>
      </c>
      <c r="B3621" s="170"/>
      <c r="C3621" s="170"/>
      <c r="D3621" s="170"/>
      <c r="E3621" s="170"/>
      <c r="F3621" s="171"/>
      <c r="G3621" s="170"/>
      <c r="H3621" s="170"/>
      <c r="I3621" s="170"/>
      <c r="J3621" s="170"/>
      <c r="K3621" s="170"/>
      <c r="L3621" s="170"/>
      <c r="M3621" s="170"/>
      <c r="N3621" s="128"/>
    </row>
    <row r="3622" spans="1:14" s="3" customFormat="1" ht="9.9" customHeight="1">
      <c r="A3622" s="125"/>
      <c r="B3622" s="123"/>
      <c r="C3622" s="123"/>
      <c r="D3622" s="123"/>
      <c r="E3622" s="123"/>
      <c r="F3622" s="167"/>
      <c r="G3622" s="123"/>
      <c r="H3622" s="123"/>
      <c r="I3622" s="123"/>
      <c r="J3622" s="123"/>
      <c r="K3622" s="123"/>
      <c r="L3622" s="123"/>
      <c r="M3622" s="123"/>
      <c r="N3622" s="126"/>
    </row>
    <row r="3623" spans="1:14" s="3" customFormat="1" ht="25.2">
      <c r="A3623" s="125" t="s">
        <v>1900</v>
      </c>
      <c r="B3623" s="123"/>
      <c r="C3623" s="123"/>
      <c r="D3623" s="123"/>
      <c r="E3623" s="123"/>
      <c r="F3623" s="171" t="s">
        <v>1901</v>
      </c>
      <c r="G3623" s="604">
        <f t="shared" ref="G3623" si="101">G3588+1</f>
        <v>104</v>
      </c>
      <c r="H3623" s="604"/>
      <c r="I3623" s="604"/>
      <c r="J3623" s="604"/>
      <c r="K3623" s="604"/>
      <c r="L3623" s="123"/>
      <c r="M3623" s="123"/>
      <c r="N3623" s="126"/>
    </row>
    <row r="3624" spans="1:14" s="4" customFormat="1" ht="25.2">
      <c r="A3624" s="125" t="s">
        <v>1903</v>
      </c>
      <c r="B3624" s="123"/>
      <c r="C3624" s="123"/>
      <c r="D3624" s="123"/>
      <c r="E3624" s="123"/>
      <c r="F3624" s="167"/>
      <c r="G3624" s="167"/>
      <c r="H3624" s="123"/>
      <c r="I3624" s="123"/>
      <c r="J3624" s="123"/>
      <c r="K3624" s="123"/>
      <c r="L3624" s="123"/>
      <c r="M3624" s="123"/>
      <c r="N3624" s="126"/>
    </row>
    <row r="3625" spans="1:14" s="3" customFormat="1" ht="9.9" customHeight="1">
      <c r="A3625" s="125"/>
      <c r="B3625" s="123"/>
      <c r="C3625" s="123"/>
      <c r="D3625" s="123"/>
      <c r="E3625" s="123"/>
      <c r="F3625" s="167"/>
      <c r="G3625" s="167"/>
      <c r="H3625" s="123"/>
      <c r="I3625" s="123"/>
      <c r="J3625" s="123"/>
      <c r="K3625" s="123"/>
      <c r="L3625" s="123"/>
      <c r="M3625" s="123"/>
      <c r="N3625" s="126"/>
    </row>
    <row r="3626" spans="1:14" s="3" customFormat="1" ht="25.2">
      <c r="A3626" s="125" t="s">
        <v>1904</v>
      </c>
      <c r="B3626" s="123"/>
      <c r="C3626" s="123"/>
      <c r="D3626" s="123"/>
      <c r="E3626" s="123"/>
      <c r="F3626" s="167" t="s">
        <v>1896</v>
      </c>
      <c r="G3626" s="204" t="e">
        <f>VLOOKUP(G3623, 'Detail PL'!$B$14:$Q$799, 10)</f>
        <v>#N/A</v>
      </c>
      <c r="H3626" s="204" t="s">
        <v>1905</v>
      </c>
      <c r="I3626" s="204"/>
      <c r="J3626" s="204"/>
      <c r="K3626" s="123"/>
      <c r="L3626" s="123"/>
      <c r="M3626" s="123"/>
      <c r="N3626" s="126"/>
    </row>
    <row r="3627" spans="1:14" s="4" customFormat="1" ht="25.2">
      <c r="A3627" s="125" t="s">
        <v>1906</v>
      </c>
      <c r="B3627" s="123"/>
      <c r="C3627" s="123"/>
      <c r="D3627" s="123"/>
      <c r="E3627" s="123"/>
      <c r="F3627" s="167"/>
      <c r="G3627" s="167"/>
      <c r="H3627" s="167"/>
      <c r="I3627" s="123"/>
      <c r="J3627" s="123"/>
      <c r="K3627" s="123"/>
      <c r="L3627" s="123"/>
      <c r="M3627" s="123"/>
      <c r="N3627" s="126"/>
    </row>
    <row r="3628" spans="1:14" s="3" customFormat="1" ht="9.9" customHeight="1">
      <c r="A3628" s="125"/>
      <c r="B3628" s="123"/>
      <c r="C3628" s="123"/>
      <c r="D3628" s="123"/>
      <c r="E3628" s="123"/>
      <c r="F3628" s="167"/>
      <c r="G3628" s="167"/>
      <c r="H3628" s="167"/>
      <c r="I3628" s="123"/>
      <c r="J3628" s="123"/>
      <c r="K3628" s="123"/>
      <c r="L3628" s="123"/>
      <c r="M3628" s="123"/>
      <c r="N3628" s="126"/>
    </row>
    <row r="3629" spans="1:14" s="3" customFormat="1" ht="25.2">
      <c r="A3629" s="125" t="s">
        <v>1907</v>
      </c>
      <c r="B3629" s="123"/>
      <c r="C3629" s="123"/>
      <c r="D3629" s="123"/>
      <c r="E3629" s="123"/>
      <c r="F3629" s="167" t="s">
        <v>1896</v>
      </c>
      <c r="G3629" s="204" t="e">
        <f>VLOOKUP(G3623, 'Detail PL'!$B$14:$Q$799, 11)</f>
        <v>#N/A</v>
      </c>
      <c r="H3629" s="204" t="s">
        <v>1905</v>
      </c>
      <c r="I3629" s="204"/>
      <c r="J3629" s="204"/>
      <c r="K3629" s="123"/>
      <c r="L3629" s="123"/>
      <c r="M3629" s="123"/>
      <c r="N3629" s="126"/>
    </row>
    <row r="3630" spans="1:14" s="4" customFormat="1" ht="25.2">
      <c r="A3630" s="125" t="s">
        <v>1908</v>
      </c>
      <c r="B3630" s="123"/>
      <c r="C3630" s="123"/>
      <c r="D3630" s="123"/>
      <c r="E3630" s="123"/>
      <c r="F3630" s="167"/>
      <c r="G3630" s="167"/>
      <c r="H3630" s="123"/>
      <c r="I3630" s="123"/>
      <c r="J3630" s="123"/>
      <c r="K3630" s="123"/>
      <c r="L3630" s="123"/>
      <c r="M3630" s="123"/>
      <c r="N3630" s="126"/>
    </row>
    <row r="3631" spans="1:14" s="3" customFormat="1" ht="9.9" customHeight="1">
      <c r="A3631" s="125"/>
      <c r="B3631" s="123"/>
      <c r="C3631" s="123"/>
      <c r="D3631" s="123"/>
      <c r="E3631" s="123"/>
      <c r="F3631" s="167"/>
      <c r="G3631" s="167"/>
      <c r="H3631" s="123"/>
      <c r="I3631" s="123"/>
      <c r="J3631" s="123"/>
      <c r="K3631" s="123"/>
      <c r="L3631" s="123"/>
      <c r="M3631" s="123"/>
      <c r="N3631" s="126"/>
    </row>
    <row r="3632" spans="1:14" s="3" customFormat="1" ht="25.2">
      <c r="A3632" s="129" t="s">
        <v>1909</v>
      </c>
      <c r="B3632" s="123"/>
      <c r="C3632" s="123"/>
      <c r="D3632" s="123"/>
      <c r="E3632" s="123"/>
      <c r="F3632" s="167" t="s">
        <v>1896</v>
      </c>
      <c r="G3632" s="204" t="e">
        <f>VLOOKUP(G3623, 'Detail PL'!$B$14:$Q$799, 9)</f>
        <v>#N/A</v>
      </c>
      <c r="H3632" s="205" t="s">
        <v>1910</v>
      </c>
      <c r="I3632" s="203"/>
      <c r="J3632" s="203"/>
      <c r="K3632" s="172"/>
      <c r="L3632" s="123"/>
      <c r="M3632" s="123"/>
      <c r="N3632" s="126"/>
    </row>
    <row r="3633" spans="1:15" s="4" customFormat="1" ht="25.2">
      <c r="A3633" s="125" t="s">
        <v>1911</v>
      </c>
      <c r="B3633" s="123"/>
      <c r="C3633" s="123"/>
      <c r="D3633" s="123"/>
      <c r="E3633" s="123"/>
      <c r="F3633" s="167"/>
      <c r="G3633" s="167"/>
      <c r="H3633" s="123"/>
      <c r="I3633" s="123"/>
      <c r="J3633" s="123"/>
      <c r="K3633" s="123"/>
      <c r="L3633" s="123"/>
      <c r="M3633" s="123"/>
      <c r="N3633" s="126"/>
    </row>
    <row r="3634" spans="1:15" s="3" customFormat="1" ht="9.9" customHeight="1">
      <c r="A3634" s="125"/>
      <c r="B3634" s="123"/>
      <c r="C3634" s="123"/>
      <c r="D3634" s="123"/>
      <c r="E3634" s="123"/>
      <c r="F3634" s="167"/>
      <c r="G3634" s="167"/>
      <c r="H3634" s="123"/>
      <c r="I3634" s="123"/>
      <c r="J3634" s="123"/>
      <c r="K3634" s="123"/>
      <c r="L3634" s="123"/>
      <c r="M3634" s="123"/>
      <c r="N3634" s="126"/>
    </row>
    <row r="3635" spans="1:15" s="3" customFormat="1" ht="42" customHeight="1">
      <c r="A3635" s="125" t="s">
        <v>1912</v>
      </c>
      <c r="B3635" s="123"/>
      <c r="C3635" s="123"/>
      <c r="D3635" s="123"/>
      <c r="E3635" s="123"/>
      <c r="F3635" s="166" t="s">
        <v>1913</v>
      </c>
      <c r="G3635" s="595" t="s">
        <v>1914</v>
      </c>
      <c r="H3635" s="595"/>
      <c r="I3635" s="595"/>
      <c r="J3635" s="595"/>
      <c r="K3635" s="595"/>
      <c r="L3635" s="595"/>
      <c r="M3635" s="595"/>
      <c r="N3635" s="596"/>
    </row>
    <row r="3636" spans="1:15" s="4" customFormat="1" ht="25.8" thickBot="1">
      <c r="A3636" s="125" t="s">
        <v>1915</v>
      </c>
      <c r="B3636" s="123"/>
      <c r="C3636" s="123"/>
      <c r="D3636" s="123"/>
      <c r="E3636" s="123"/>
      <c r="F3636" s="167"/>
      <c r="G3636" s="167"/>
      <c r="H3636" s="123"/>
      <c r="I3636" s="123"/>
      <c r="J3636" s="123"/>
      <c r="K3636" s="123"/>
      <c r="L3636" s="123"/>
      <c r="M3636" s="123"/>
      <c r="N3636" s="126"/>
    </row>
    <row r="3637" spans="1:15" ht="21" customHeight="1">
      <c r="A3637" s="598" t="s">
        <v>1916</v>
      </c>
      <c r="B3637" s="599"/>
      <c r="C3637" s="599"/>
      <c r="D3637" s="599"/>
      <c r="E3637" s="599"/>
      <c r="F3637" s="599"/>
      <c r="G3637" s="599"/>
      <c r="H3637" s="599"/>
      <c r="I3637" s="599"/>
      <c r="J3637" s="599"/>
      <c r="K3637" s="599"/>
      <c r="L3637" s="599"/>
      <c r="M3637" s="599"/>
      <c r="N3637" s="600"/>
    </row>
    <row r="3638" spans="1:15" ht="25.5" customHeight="1" thickBot="1">
      <c r="A3638" s="601"/>
      <c r="B3638" s="602"/>
      <c r="C3638" s="602"/>
      <c r="D3638" s="602"/>
      <c r="E3638" s="602"/>
      <c r="F3638" s="602"/>
      <c r="G3638" s="602"/>
      <c r="H3638" s="602"/>
      <c r="I3638" s="602"/>
      <c r="J3638" s="602"/>
      <c r="K3638" s="602"/>
      <c r="L3638" s="602"/>
      <c r="M3638" s="602"/>
      <c r="N3638" s="603"/>
    </row>
    <row r="3639" spans="1:15" ht="25.5" customHeight="1">
      <c r="E3639" s="206"/>
      <c r="F3639" s="206"/>
      <c r="G3639" s="206"/>
      <c r="H3639" s="206"/>
      <c r="I3639" s="206"/>
      <c r="J3639" s="206"/>
      <c r="K3639" s="206"/>
    </row>
    <row r="3640" spans="1:15" ht="21.6" thickBot="1"/>
    <row r="3641" spans="1:15" ht="95.25" customHeight="1" thickBot="1">
      <c r="A3641" s="592" t="s">
        <v>1883</v>
      </c>
      <c r="B3641" s="593"/>
      <c r="C3641" s="593"/>
      <c r="D3641" s="593"/>
      <c r="E3641" s="593"/>
      <c r="F3641" s="593"/>
      <c r="G3641" s="593"/>
      <c r="H3641" s="593"/>
      <c r="I3641" s="593"/>
      <c r="J3641" s="593"/>
      <c r="K3641" s="593"/>
      <c r="L3641" s="593"/>
      <c r="M3641" s="593"/>
      <c r="N3641" s="594"/>
    </row>
    <row r="3642" spans="1:15" s="3" customFormat="1" ht="37.5" customHeight="1">
      <c r="A3642" s="134" t="s">
        <v>1884</v>
      </c>
      <c r="B3642" s="166"/>
      <c r="C3642" s="166"/>
      <c r="D3642" s="123"/>
      <c r="E3642" s="123"/>
      <c r="F3642" s="167" t="s">
        <v>1885</v>
      </c>
      <c r="G3642" s="167" t="s">
        <v>1886</v>
      </c>
      <c r="H3642" s="167"/>
      <c r="I3642" s="167"/>
      <c r="J3642" s="167"/>
      <c r="K3642" s="167"/>
      <c r="L3642" s="167"/>
      <c r="M3642" s="167"/>
      <c r="N3642" s="152"/>
      <c r="O3642" s="201"/>
    </row>
    <row r="3643" spans="1:15" s="4" customFormat="1" ht="25.2">
      <c r="A3643" s="125" t="s">
        <v>1887</v>
      </c>
      <c r="B3643" s="123"/>
      <c r="C3643" s="123"/>
      <c r="D3643" s="123"/>
      <c r="E3643" s="123"/>
      <c r="F3643" s="167"/>
      <c r="G3643" s="167" t="s">
        <v>1888</v>
      </c>
      <c r="H3643" s="167"/>
      <c r="I3643" s="167"/>
      <c r="J3643" s="167"/>
      <c r="K3643" s="167"/>
      <c r="L3643" s="167"/>
      <c r="M3643" s="167"/>
      <c r="N3643" s="152"/>
    </row>
    <row r="3644" spans="1:15" s="3" customFormat="1" ht="9.9" customHeight="1">
      <c r="A3644" s="125"/>
      <c r="B3644" s="123"/>
      <c r="C3644" s="123"/>
      <c r="D3644" s="123"/>
      <c r="E3644" s="123"/>
      <c r="F3644" s="167"/>
      <c r="G3644" s="123"/>
      <c r="H3644" s="123"/>
      <c r="I3644" s="123"/>
      <c r="J3644" s="123"/>
      <c r="K3644" s="123"/>
      <c r="L3644" s="123"/>
      <c r="M3644" s="123"/>
      <c r="N3644" s="126"/>
    </row>
    <row r="3645" spans="1:15" s="3" customFormat="1" ht="42.75" customHeight="1">
      <c r="A3645" s="125" t="s">
        <v>1889</v>
      </c>
      <c r="B3645" s="123"/>
      <c r="C3645" s="123"/>
      <c r="D3645" s="123"/>
      <c r="E3645" s="123"/>
      <c r="F3645" s="167" t="s">
        <v>1885</v>
      </c>
      <c r="G3645" s="167" t="str">
        <f>PL!$B$13</f>
        <v>Branch of JSC "Doosan Enerbility" in the Turkestan region</v>
      </c>
      <c r="H3645" s="123"/>
      <c r="I3645" s="123"/>
      <c r="J3645" s="123"/>
      <c r="K3645" s="123"/>
      <c r="L3645" s="123"/>
      <c r="M3645" s="123"/>
      <c r="N3645" s="126"/>
    </row>
    <row r="3646" spans="1:15" s="3" customFormat="1" ht="24" customHeight="1">
      <c r="A3646" s="125" t="s">
        <v>1890</v>
      </c>
      <c r="B3646" s="123"/>
      <c r="C3646" s="123"/>
      <c r="D3646" s="123"/>
      <c r="E3646" s="123"/>
      <c r="F3646" s="168"/>
      <c r="G3646" s="167" t="str">
        <f>PL!$B$14</f>
        <v>321 Tauke Khan Avenue, Turkestan region, Turkestan, Kazakhstan, 161200</v>
      </c>
      <c r="H3646" s="123"/>
      <c r="I3646" s="123"/>
      <c r="J3646" s="123"/>
      <c r="K3646" s="123"/>
      <c r="L3646" s="123"/>
      <c r="M3646" s="123"/>
      <c r="N3646" s="126"/>
    </row>
    <row r="3647" spans="1:15" s="4" customFormat="1" ht="25.2">
      <c r="A3647" s="125"/>
      <c r="B3647" s="123"/>
      <c r="C3647" s="123"/>
      <c r="D3647" s="123"/>
      <c r="E3647" s="123"/>
      <c r="F3647" s="168"/>
      <c r="G3647" s="167" t="str">
        <f>PL!$B$15</f>
        <v>BIN: 230741006561</v>
      </c>
      <c r="H3647" s="123"/>
      <c r="I3647" s="123"/>
      <c r="J3647" s="123"/>
      <c r="K3647" s="123"/>
      <c r="L3647" s="123"/>
      <c r="M3647" s="123"/>
      <c r="N3647" s="126"/>
    </row>
    <row r="3648" spans="1:15" s="3" customFormat="1" ht="9.9" customHeight="1">
      <c r="A3648" s="125"/>
      <c r="B3648" s="123"/>
      <c r="C3648" s="123"/>
      <c r="D3648" s="123"/>
      <c r="E3648" s="123"/>
      <c r="F3648" s="169"/>
      <c r="G3648" s="169"/>
      <c r="H3648" s="123"/>
      <c r="I3648" s="123"/>
      <c r="J3648" s="123"/>
      <c r="K3648" s="123"/>
      <c r="L3648" s="123"/>
      <c r="M3648" s="123"/>
      <c r="N3648" s="126"/>
    </row>
    <row r="3649" spans="1:14" s="3" customFormat="1" ht="25.2">
      <c r="A3649" s="125" t="s">
        <v>1891</v>
      </c>
      <c r="B3649" s="123"/>
      <c r="C3649" s="123"/>
      <c r="D3649" s="123"/>
      <c r="E3649" s="123"/>
      <c r="F3649" s="167" t="s">
        <v>1892</v>
      </c>
      <c r="G3649" s="123"/>
      <c r="H3649" s="123"/>
      <c r="I3649" s="123"/>
      <c r="J3649" s="123"/>
      <c r="K3649" s="123"/>
      <c r="L3649" s="123"/>
      <c r="M3649" s="123"/>
      <c r="N3649" s="126"/>
    </row>
    <row r="3650" spans="1:14" s="4" customFormat="1" ht="25.2">
      <c r="A3650" s="125" t="s">
        <v>1893</v>
      </c>
      <c r="B3650" s="123"/>
      <c r="C3650" s="123"/>
      <c r="D3650" s="123"/>
      <c r="E3650" s="123"/>
      <c r="F3650" s="167" t="s">
        <v>1894</v>
      </c>
      <c r="G3650" s="123"/>
      <c r="H3650" s="123"/>
      <c r="I3650" s="123"/>
      <c r="J3650" s="123"/>
      <c r="K3650" s="123"/>
      <c r="L3650" s="123"/>
      <c r="M3650" s="123"/>
      <c r="N3650" s="126"/>
    </row>
    <row r="3651" spans="1:14" s="3" customFormat="1" ht="9.9" customHeight="1">
      <c r="A3651" s="125"/>
      <c r="B3651" s="123"/>
      <c r="C3651" s="123"/>
      <c r="D3651" s="123"/>
      <c r="E3651" s="123"/>
      <c r="F3651" s="167"/>
      <c r="G3651" s="123"/>
      <c r="H3651" s="123"/>
      <c r="I3651" s="123"/>
      <c r="J3651" s="123"/>
      <c r="K3651" s="123"/>
      <c r="L3651" s="123"/>
      <c r="M3651" s="123"/>
      <c r="N3651" s="126"/>
    </row>
    <row r="3652" spans="1:14" s="3" customFormat="1" ht="25.2">
      <c r="A3652" s="125" t="s">
        <v>1895</v>
      </c>
      <c r="B3652" s="123"/>
      <c r="C3652" s="123"/>
      <c r="D3652" s="123"/>
      <c r="E3652" s="123"/>
      <c r="F3652" s="167" t="s">
        <v>1896</v>
      </c>
      <c r="G3652" s="167" t="str">
        <f>PL!$V$8</f>
        <v>PGU-DE-0139-001</v>
      </c>
      <c r="H3652" s="123"/>
      <c r="I3652" s="123"/>
      <c r="J3652" s="123"/>
      <c r="K3652" s="123"/>
      <c r="L3652" s="123"/>
      <c r="M3652" s="123"/>
      <c r="N3652" s="126"/>
    </row>
    <row r="3653" spans="1:14" s="3" customFormat="1" ht="25.2">
      <c r="A3653" s="125" t="s">
        <v>1897</v>
      </c>
      <c r="B3653" s="123"/>
      <c r="C3653" s="123"/>
      <c r="D3653" s="123"/>
      <c r="E3653" s="123"/>
      <c r="F3653" s="167"/>
      <c r="G3653" s="123"/>
      <c r="H3653" s="123"/>
      <c r="I3653" s="123"/>
      <c r="J3653" s="123"/>
      <c r="K3653" s="123"/>
      <c r="L3653" s="123"/>
      <c r="M3653" s="123"/>
      <c r="N3653" s="126"/>
    </row>
    <row r="3654" spans="1:14" s="3" customFormat="1" ht="9.9" customHeight="1">
      <c r="A3654" s="125"/>
      <c r="B3654" s="123"/>
      <c r="C3654" s="123"/>
      <c r="D3654" s="123"/>
      <c r="E3654" s="123"/>
      <c r="F3654" s="167"/>
      <c r="G3654" s="123"/>
      <c r="H3654" s="123"/>
      <c r="I3654" s="123"/>
      <c r="J3654" s="123"/>
      <c r="K3654" s="123"/>
      <c r="L3654" s="123"/>
      <c r="M3654" s="123"/>
      <c r="N3654" s="126"/>
    </row>
    <row r="3655" spans="1:14" s="3" customFormat="1" ht="31.2" customHeight="1">
      <c r="A3655" s="127" t="s">
        <v>1898</v>
      </c>
      <c r="B3655" s="170"/>
      <c r="C3655" s="170"/>
      <c r="D3655" s="170"/>
      <c r="E3655" s="170"/>
      <c r="F3655" s="171" t="s">
        <v>1885</v>
      </c>
      <c r="G3655" s="597" t="e">
        <f>VLOOKUP(G3658, 'Detail PL'!$B$14:$Q$799,2)</f>
        <v>#N/A</v>
      </c>
      <c r="H3655" s="597"/>
      <c r="I3655" s="597"/>
      <c r="J3655" s="597"/>
      <c r="K3655" s="597"/>
      <c r="L3655" s="597"/>
      <c r="M3655" s="597"/>
      <c r="N3655" s="128"/>
    </row>
    <row r="3656" spans="1:14" s="3" customFormat="1" ht="25.2">
      <c r="A3656" s="127" t="s">
        <v>1899</v>
      </c>
      <c r="B3656" s="170"/>
      <c r="C3656" s="170"/>
      <c r="D3656" s="170"/>
      <c r="E3656" s="170"/>
      <c r="F3656" s="171"/>
      <c r="G3656" s="170"/>
      <c r="H3656" s="170"/>
      <c r="I3656" s="170"/>
      <c r="J3656" s="170"/>
      <c r="K3656" s="170"/>
      <c r="L3656" s="170"/>
      <c r="M3656" s="170"/>
      <c r="N3656" s="128"/>
    </row>
    <row r="3657" spans="1:14" s="3" customFormat="1" ht="9.9" customHeight="1">
      <c r="A3657" s="125"/>
      <c r="B3657" s="123"/>
      <c r="C3657" s="123"/>
      <c r="D3657" s="123"/>
      <c r="E3657" s="123"/>
      <c r="F3657" s="167"/>
      <c r="G3657" s="123"/>
      <c r="H3657" s="123"/>
      <c r="I3657" s="123"/>
      <c r="J3657" s="123"/>
      <c r="K3657" s="123"/>
      <c r="L3657" s="123"/>
      <c r="M3657" s="123"/>
      <c r="N3657" s="126"/>
    </row>
    <row r="3658" spans="1:14" s="3" customFormat="1" ht="25.2">
      <c r="A3658" s="125" t="s">
        <v>1900</v>
      </c>
      <c r="B3658" s="123"/>
      <c r="C3658" s="123"/>
      <c r="D3658" s="123"/>
      <c r="E3658" s="123"/>
      <c r="F3658" s="171" t="s">
        <v>1901</v>
      </c>
      <c r="G3658" s="604">
        <f t="shared" ref="G3658" si="102">G3623+1</f>
        <v>105</v>
      </c>
      <c r="H3658" s="604"/>
      <c r="I3658" s="604"/>
      <c r="J3658" s="604"/>
      <c r="K3658" s="604"/>
      <c r="L3658" s="123"/>
      <c r="M3658" s="123"/>
      <c r="N3658" s="126"/>
    </row>
    <row r="3659" spans="1:14" s="4" customFormat="1" ht="25.2">
      <c r="A3659" s="125" t="s">
        <v>1903</v>
      </c>
      <c r="B3659" s="123"/>
      <c r="C3659" s="123"/>
      <c r="D3659" s="123"/>
      <c r="E3659" s="123"/>
      <c r="F3659" s="167"/>
      <c r="G3659" s="167"/>
      <c r="H3659" s="123"/>
      <c r="I3659" s="123"/>
      <c r="J3659" s="123"/>
      <c r="K3659" s="123"/>
      <c r="L3659" s="123"/>
      <c r="M3659" s="123"/>
      <c r="N3659" s="126"/>
    </row>
    <row r="3660" spans="1:14" s="3" customFormat="1" ht="9.9" customHeight="1">
      <c r="A3660" s="125"/>
      <c r="B3660" s="123"/>
      <c r="C3660" s="123"/>
      <c r="D3660" s="123"/>
      <c r="E3660" s="123"/>
      <c r="F3660" s="167"/>
      <c r="G3660" s="167"/>
      <c r="H3660" s="123"/>
      <c r="I3660" s="123"/>
      <c r="J3660" s="123"/>
      <c r="K3660" s="123"/>
      <c r="L3660" s="123"/>
      <c r="M3660" s="123"/>
      <c r="N3660" s="126"/>
    </row>
    <row r="3661" spans="1:14" s="3" customFormat="1" ht="25.2">
      <c r="A3661" s="125" t="s">
        <v>1904</v>
      </c>
      <c r="B3661" s="123"/>
      <c r="C3661" s="123"/>
      <c r="D3661" s="123"/>
      <c r="E3661" s="123"/>
      <c r="F3661" s="167" t="s">
        <v>1896</v>
      </c>
      <c r="G3661" s="204" t="e">
        <f>VLOOKUP(G3658, 'Detail PL'!$B$14:$Q$799, 10)</f>
        <v>#N/A</v>
      </c>
      <c r="H3661" s="204" t="s">
        <v>1905</v>
      </c>
      <c r="I3661" s="204"/>
      <c r="J3661" s="204"/>
      <c r="K3661" s="123"/>
      <c r="L3661" s="123"/>
      <c r="M3661" s="123"/>
      <c r="N3661" s="126"/>
    </row>
    <row r="3662" spans="1:14" s="4" customFormat="1" ht="25.2">
      <c r="A3662" s="125" t="s">
        <v>1906</v>
      </c>
      <c r="B3662" s="123"/>
      <c r="C3662" s="123"/>
      <c r="D3662" s="123"/>
      <c r="E3662" s="123"/>
      <c r="F3662" s="167"/>
      <c r="G3662" s="167"/>
      <c r="H3662" s="167"/>
      <c r="I3662" s="123"/>
      <c r="J3662" s="123"/>
      <c r="K3662" s="123"/>
      <c r="L3662" s="123"/>
      <c r="M3662" s="123"/>
      <c r="N3662" s="126"/>
    </row>
    <row r="3663" spans="1:14" s="3" customFormat="1" ht="9.9" customHeight="1">
      <c r="A3663" s="125"/>
      <c r="B3663" s="123"/>
      <c r="C3663" s="123"/>
      <c r="D3663" s="123"/>
      <c r="E3663" s="123"/>
      <c r="F3663" s="167"/>
      <c r="G3663" s="167"/>
      <c r="H3663" s="167"/>
      <c r="I3663" s="123"/>
      <c r="J3663" s="123"/>
      <c r="K3663" s="123"/>
      <c r="L3663" s="123"/>
      <c r="M3663" s="123"/>
      <c r="N3663" s="126"/>
    </row>
    <row r="3664" spans="1:14" s="3" customFormat="1" ht="25.2">
      <c r="A3664" s="125" t="s">
        <v>1907</v>
      </c>
      <c r="B3664" s="123"/>
      <c r="C3664" s="123"/>
      <c r="D3664" s="123"/>
      <c r="E3664" s="123"/>
      <c r="F3664" s="167" t="s">
        <v>1896</v>
      </c>
      <c r="G3664" s="204" t="e">
        <f>VLOOKUP(G3658, 'Detail PL'!$B$14:$Q$799, 11)</f>
        <v>#N/A</v>
      </c>
      <c r="H3664" s="204" t="s">
        <v>1905</v>
      </c>
      <c r="I3664" s="204"/>
      <c r="J3664" s="204"/>
      <c r="K3664" s="123"/>
      <c r="L3664" s="123"/>
      <c r="M3664" s="123"/>
      <c r="N3664" s="126"/>
    </row>
    <row r="3665" spans="1:15" s="4" customFormat="1" ht="25.2">
      <c r="A3665" s="125" t="s">
        <v>1908</v>
      </c>
      <c r="B3665" s="123"/>
      <c r="C3665" s="123"/>
      <c r="D3665" s="123"/>
      <c r="E3665" s="123"/>
      <c r="F3665" s="167"/>
      <c r="G3665" s="167"/>
      <c r="H3665" s="123"/>
      <c r="I3665" s="123"/>
      <c r="J3665" s="123"/>
      <c r="K3665" s="123"/>
      <c r="L3665" s="123"/>
      <c r="M3665" s="123"/>
      <c r="N3665" s="126"/>
    </row>
    <row r="3666" spans="1:15" s="3" customFormat="1" ht="9.9" customHeight="1">
      <c r="A3666" s="125"/>
      <c r="B3666" s="123"/>
      <c r="C3666" s="123"/>
      <c r="D3666" s="123"/>
      <c r="E3666" s="123"/>
      <c r="F3666" s="167"/>
      <c r="G3666" s="167"/>
      <c r="H3666" s="123"/>
      <c r="I3666" s="123"/>
      <c r="J3666" s="123"/>
      <c r="K3666" s="123"/>
      <c r="L3666" s="123"/>
      <c r="M3666" s="123"/>
      <c r="N3666" s="126"/>
    </row>
    <row r="3667" spans="1:15" s="3" customFormat="1" ht="25.2">
      <c r="A3667" s="129" t="s">
        <v>1909</v>
      </c>
      <c r="B3667" s="123"/>
      <c r="C3667" s="123"/>
      <c r="D3667" s="123"/>
      <c r="E3667" s="123"/>
      <c r="F3667" s="167" t="s">
        <v>1896</v>
      </c>
      <c r="G3667" s="204" t="e">
        <f>VLOOKUP(G3658, 'Detail PL'!$B$14:$Q$799, 9)</f>
        <v>#N/A</v>
      </c>
      <c r="H3667" s="205" t="s">
        <v>1910</v>
      </c>
      <c r="I3667" s="203"/>
      <c r="J3667" s="203"/>
      <c r="K3667" s="172"/>
      <c r="L3667" s="123"/>
      <c r="M3667" s="123"/>
      <c r="N3667" s="126"/>
    </row>
    <row r="3668" spans="1:15" s="4" customFormat="1" ht="25.2">
      <c r="A3668" s="125" t="s">
        <v>1911</v>
      </c>
      <c r="B3668" s="123"/>
      <c r="C3668" s="123"/>
      <c r="D3668" s="123"/>
      <c r="E3668" s="123"/>
      <c r="F3668" s="167"/>
      <c r="G3668" s="167"/>
      <c r="H3668" s="123"/>
      <c r="I3668" s="123"/>
      <c r="J3668" s="123"/>
      <c r="K3668" s="123"/>
      <c r="L3668" s="123"/>
      <c r="M3668" s="123"/>
      <c r="N3668" s="126"/>
    </row>
    <row r="3669" spans="1:15" s="3" customFormat="1" ht="9.9" customHeight="1">
      <c r="A3669" s="125"/>
      <c r="B3669" s="123"/>
      <c r="C3669" s="123"/>
      <c r="D3669" s="123"/>
      <c r="E3669" s="123"/>
      <c r="F3669" s="167"/>
      <c r="G3669" s="167"/>
      <c r="H3669" s="123"/>
      <c r="I3669" s="123"/>
      <c r="J3669" s="123"/>
      <c r="K3669" s="123"/>
      <c r="L3669" s="123"/>
      <c r="M3669" s="123"/>
      <c r="N3669" s="126"/>
    </row>
    <row r="3670" spans="1:15" s="3" customFormat="1" ht="42" customHeight="1">
      <c r="A3670" s="125" t="s">
        <v>1912</v>
      </c>
      <c r="B3670" s="123"/>
      <c r="C3670" s="123"/>
      <c r="D3670" s="123"/>
      <c r="E3670" s="123"/>
      <c r="F3670" s="166" t="s">
        <v>1913</v>
      </c>
      <c r="G3670" s="595" t="s">
        <v>1914</v>
      </c>
      <c r="H3670" s="595"/>
      <c r="I3670" s="595"/>
      <c r="J3670" s="595"/>
      <c r="K3670" s="595"/>
      <c r="L3670" s="595"/>
      <c r="M3670" s="595"/>
      <c r="N3670" s="596"/>
    </row>
    <row r="3671" spans="1:15" s="4" customFormat="1" ht="25.8" thickBot="1">
      <c r="A3671" s="125" t="s">
        <v>1915</v>
      </c>
      <c r="B3671" s="123"/>
      <c r="C3671" s="123"/>
      <c r="D3671" s="123"/>
      <c r="E3671" s="123"/>
      <c r="F3671" s="167"/>
      <c r="G3671" s="167"/>
      <c r="H3671" s="123"/>
      <c r="I3671" s="123"/>
      <c r="J3671" s="123"/>
      <c r="K3671" s="123"/>
      <c r="L3671" s="123"/>
      <c r="M3671" s="123"/>
      <c r="N3671" s="126"/>
    </row>
    <row r="3672" spans="1:15" ht="21" customHeight="1">
      <c r="A3672" s="598" t="s">
        <v>1916</v>
      </c>
      <c r="B3672" s="599"/>
      <c r="C3672" s="599"/>
      <c r="D3672" s="599"/>
      <c r="E3672" s="599"/>
      <c r="F3672" s="599"/>
      <c r="G3672" s="599"/>
      <c r="H3672" s="599"/>
      <c r="I3672" s="599"/>
      <c r="J3672" s="599"/>
      <c r="K3672" s="599"/>
      <c r="L3672" s="599"/>
      <c r="M3672" s="599"/>
      <c r="N3672" s="600"/>
    </row>
    <row r="3673" spans="1:15" ht="25.5" customHeight="1" thickBot="1">
      <c r="A3673" s="601"/>
      <c r="B3673" s="602"/>
      <c r="C3673" s="602"/>
      <c r="D3673" s="602"/>
      <c r="E3673" s="602"/>
      <c r="F3673" s="602"/>
      <c r="G3673" s="602"/>
      <c r="H3673" s="602"/>
      <c r="I3673" s="602"/>
      <c r="J3673" s="602"/>
      <c r="K3673" s="602"/>
      <c r="L3673" s="602"/>
      <c r="M3673" s="602"/>
      <c r="N3673" s="603"/>
    </row>
    <row r="3674" spans="1:15" ht="25.5" customHeight="1">
      <c r="E3674" s="206"/>
      <c r="F3674" s="206"/>
      <c r="G3674" s="206"/>
      <c r="H3674" s="206"/>
      <c r="I3674" s="206"/>
      <c r="J3674" s="206"/>
      <c r="K3674" s="206"/>
    </row>
    <row r="3675" spans="1:15" ht="21.6" thickBot="1"/>
    <row r="3676" spans="1:15" ht="95.25" customHeight="1" thickBot="1">
      <c r="A3676" s="592" t="s">
        <v>1883</v>
      </c>
      <c r="B3676" s="593"/>
      <c r="C3676" s="593"/>
      <c r="D3676" s="593"/>
      <c r="E3676" s="593"/>
      <c r="F3676" s="593"/>
      <c r="G3676" s="593"/>
      <c r="H3676" s="593"/>
      <c r="I3676" s="593"/>
      <c r="J3676" s="593"/>
      <c r="K3676" s="593"/>
      <c r="L3676" s="593"/>
      <c r="M3676" s="593"/>
      <c r="N3676" s="594"/>
    </row>
    <row r="3677" spans="1:15" s="3" customFormat="1" ht="37.5" customHeight="1">
      <c r="A3677" s="134" t="s">
        <v>1884</v>
      </c>
      <c r="B3677" s="166"/>
      <c r="C3677" s="166"/>
      <c r="D3677" s="123"/>
      <c r="E3677" s="123"/>
      <c r="F3677" s="167" t="s">
        <v>1885</v>
      </c>
      <c r="G3677" s="167" t="s">
        <v>1886</v>
      </c>
      <c r="H3677" s="167"/>
      <c r="I3677" s="167"/>
      <c r="J3677" s="167"/>
      <c r="K3677" s="167"/>
      <c r="L3677" s="167"/>
      <c r="M3677" s="167"/>
      <c r="N3677" s="152"/>
      <c r="O3677" s="201"/>
    </row>
    <row r="3678" spans="1:15" s="4" customFormat="1" ht="25.2">
      <c r="A3678" s="125" t="s">
        <v>1887</v>
      </c>
      <c r="B3678" s="123"/>
      <c r="C3678" s="123"/>
      <c r="D3678" s="123"/>
      <c r="E3678" s="123"/>
      <c r="F3678" s="167"/>
      <c r="G3678" s="167" t="s">
        <v>1888</v>
      </c>
      <c r="H3678" s="167"/>
      <c r="I3678" s="167"/>
      <c r="J3678" s="167"/>
      <c r="K3678" s="167"/>
      <c r="L3678" s="167"/>
      <c r="M3678" s="167"/>
      <c r="N3678" s="152"/>
    </row>
    <row r="3679" spans="1:15" s="3" customFormat="1" ht="9.9" customHeight="1">
      <c r="A3679" s="125"/>
      <c r="B3679" s="123"/>
      <c r="C3679" s="123"/>
      <c r="D3679" s="123"/>
      <c r="E3679" s="123"/>
      <c r="F3679" s="167"/>
      <c r="G3679" s="123"/>
      <c r="H3679" s="123"/>
      <c r="I3679" s="123"/>
      <c r="J3679" s="123"/>
      <c r="K3679" s="123"/>
      <c r="L3679" s="123"/>
      <c r="M3679" s="123"/>
      <c r="N3679" s="126"/>
    </row>
    <row r="3680" spans="1:15" s="3" customFormat="1" ht="42.75" customHeight="1">
      <c r="A3680" s="125" t="s">
        <v>1889</v>
      </c>
      <c r="B3680" s="123"/>
      <c r="C3680" s="123"/>
      <c r="D3680" s="123"/>
      <c r="E3680" s="123"/>
      <c r="F3680" s="167" t="s">
        <v>1885</v>
      </c>
      <c r="G3680" s="167" t="str">
        <f>PL!$B$13</f>
        <v>Branch of JSC "Doosan Enerbility" in the Turkestan region</v>
      </c>
      <c r="H3680" s="123"/>
      <c r="I3680" s="123"/>
      <c r="J3680" s="123"/>
      <c r="K3680" s="123"/>
      <c r="L3680" s="123"/>
      <c r="M3680" s="123"/>
      <c r="N3680" s="126"/>
    </row>
    <row r="3681" spans="1:14" s="3" customFormat="1" ht="24" customHeight="1">
      <c r="A3681" s="125" t="s">
        <v>1890</v>
      </c>
      <c r="B3681" s="123"/>
      <c r="C3681" s="123"/>
      <c r="D3681" s="123"/>
      <c r="E3681" s="123"/>
      <c r="F3681" s="168"/>
      <c r="G3681" s="167" t="str">
        <f>PL!$B$14</f>
        <v>321 Tauke Khan Avenue, Turkestan region, Turkestan, Kazakhstan, 161200</v>
      </c>
      <c r="H3681" s="123"/>
      <c r="I3681" s="123"/>
      <c r="J3681" s="123"/>
      <c r="K3681" s="123"/>
      <c r="L3681" s="123"/>
      <c r="M3681" s="123"/>
      <c r="N3681" s="126"/>
    </row>
    <row r="3682" spans="1:14" s="4" customFormat="1" ht="25.2">
      <c r="A3682" s="125"/>
      <c r="B3682" s="123"/>
      <c r="C3682" s="123"/>
      <c r="D3682" s="123"/>
      <c r="E3682" s="123"/>
      <c r="F3682" s="168"/>
      <c r="G3682" s="167" t="str">
        <f>PL!$B$15</f>
        <v>BIN: 230741006561</v>
      </c>
      <c r="H3682" s="123"/>
      <c r="I3682" s="123"/>
      <c r="J3682" s="123"/>
      <c r="K3682" s="123"/>
      <c r="L3682" s="123"/>
      <c r="M3682" s="123"/>
      <c r="N3682" s="126"/>
    </row>
    <row r="3683" spans="1:14" s="3" customFormat="1" ht="9.9" customHeight="1">
      <c r="A3683" s="125"/>
      <c r="B3683" s="123"/>
      <c r="C3683" s="123"/>
      <c r="D3683" s="123"/>
      <c r="E3683" s="123"/>
      <c r="F3683" s="169"/>
      <c r="G3683" s="169"/>
      <c r="H3683" s="123"/>
      <c r="I3683" s="123"/>
      <c r="J3683" s="123"/>
      <c r="K3683" s="123"/>
      <c r="L3683" s="123"/>
      <c r="M3683" s="123"/>
      <c r="N3683" s="126"/>
    </row>
    <row r="3684" spans="1:14" s="3" customFormat="1" ht="25.2">
      <c r="A3684" s="125" t="s">
        <v>1891</v>
      </c>
      <c r="B3684" s="123"/>
      <c r="C3684" s="123"/>
      <c r="D3684" s="123"/>
      <c r="E3684" s="123"/>
      <c r="F3684" s="167" t="s">
        <v>1892</v>
      </c>
      <c r="G3684" s="123"/>
      <c r="H3684" s="123"/>
      <c r="I3684" s="123"/>
      <c r="J3684" s="123"/>
      <c r="K3684" s="123"/>
      <c r="L3684" s="123"/>
      <c r="M3684" s="123"/>
      <c r="N3684" s="126"/>
    </row>
    <row r="3685" spans="1:14" s="4" customFormat="1" ht="25.2">
      <c r="A3685" s="125" t="s">
        <v>1893</v>
      </c>
      <c r="B3685" s="123"/>
      <c r="C3685" s="123"/>
      <c r="D3685" s="123"/>
      <c r="E3685" s="123"/>
      <c r="F3685" s="167" t="s">
        <v>1894</v>
      </c>
      <c r="G3685" s="123"/>
      <c r="H3685" s="123"/>
      <c r="I3685" s="123"/>
      <c r="J3685" s="123"/>
      <c r="K3685" s="123"/>
      <c r="L3685" s="123"/>
      <c r="M3685" s="123"/>
      <c r="N3685" s="126"/>
    </row>
    <row r="3686" spans="1:14" s="3" customFormat="1" ht="9.9" customHeight="1">
      <c r="A3686" s="125"/>
      <c r="B3686" s="123"/>
      <c r="C3686" s="123"/>
      <c r="D3686" s="123"/>
      <c r="E3686" s="123"/>
      <c r="F3686" s="167"/>
      <c r="G3686" s="123"/>
      <c r="H3686" s="123"/>
      <c r="I3686" s="123"/>
      <c r="J3686" s="123"/>
      <c r="K3686" s="123"/>
      <c r="L3686" s="123"/>
      <c r="M3686" s="123"/>
      <c r="N3686" s="126"/>
    </row>
    <row r="3687" spans="1:14" s="3" customFormat="1" ht="25.2">
      <c r="A3687" s="125" t="s">
        <v>1895</v>
      </c>
      <c r="B3687" s="123"/>
      <c r="C3687" s="123"/>
      <c r="D3687" s="123"/>
      <c r="E3687" s="123"/>
      <c r="F3687" s="167" t="s">
        <v>1896</v>
      </c>
      <c r="G3687" s="167" t="str">
        <f>PL!$V$8</f>
        <v>PGU-DE-0139-001</v>
      </c>
      <c r="H3687" s="123"/>
      <c r="I3687" s="123"/>
      <c r="J3687" s="123"/>
      <c r="K3687" s="123"/>
      <c r="L3687" s="123"/>
      <c r="M3687" s="123"/>
      <c r="N3687" s="126"/>
    </row>
    <row r="3688" spans="1:14" s="3" customFormat="1" ht="25.2">
      <c r="A3688" s="125" t="s">
        <v>1897</v>
      </c>
      <c r="B3688" s="123"/>
      <c r="C3688" s="123"/>
      <c r="D3688" s="123"/>
      <c r="E3688" s="123"/>
      <c r="F3688" s="167"/>
      <c r="G3688" s="123"/>
      <c r="H3688" s="123"/>
      <c r="I3688" s="123"/>
      <c r="J3688" s="123"/>
      <c r="K3688" s="123"/>
      <c r="L3688" s="123"/>
      <c r="M3688" s="123"/>
      <c r="N3688" s="126"/>
    </row>
    <row r="3689" spans="1:14" s="3" customFormat="1" ht="9.9" customHeight="1">
      <c r="A3689" s="125"/>
      <c r="B3689" s="123"/>
      <c r="C3689" s="123"/>
      <c r="D3689" s="123"/>
      <c r="E3689" s="123"/>
      <c r="F3689" s="167"/>
      <c r="G3689" s="123"/>
      <c r="H3689" s="123"/>
      <c r="I3689" s="123"/>
      <c r="J3689" s="123"/>
      <c r="K3689" s="123"/>
      <c r="L3689" s="123"/>
      <c r="M3689" s="123"/>
      <c r="N3689" s="126"/>
    </row>
    <row r="3690" spans="1:14" s="3" customFormat="1" ht="31.2" customHeight="1">
      <c r="A3690" s="127" t="s">
        <v>1898</v>
      </c>
      <c r="B3690" s="170"/>
      <c r="C3690" s="170"/>
      <c r="D3690" s="170"/>
      <c r="E3690" s="170"/>
      <c r="F3690" s="171" t="s">
        <v>1885</v>
      </c>
      <c r="G3690" s="597" t="e">
        <f>VLOOKUP(G3693, 'Detail PL'!$B$14:$Q$799,2)</f>
        <v>#N/A</v>
      </c>
      <c r="H3690" s="597"/>
      <c r="I3690" s="597"/>
      <c r="J3690" s="597"/>
      <c r="K3690" s="597"/>
      <c r="L3690" s="597"/>
      <c r="M3690" s="597"/>
      <c r="N3690" s="128"/>
    </row>
    <row r="3691" spans="1:14" s="3" customFormat="1" ht="25.2">
      <c r="A3691" s="127" t="s">
        <v>1899</v>
      </c>
      <c r="B3691" s="170"/>
      <c r="C3691" s="170"/>
      <c r="D3691" s="170"/>
      <c r="E3691" s="170"/>
      <c r="F3691" s="171"/>
      <c r="G3691" s="170"/>
      <c r="H3691" s="170"/>
      <c r="I3691" s="170"/>
      <c r="J3691" s="170"/>
      <c r="K3691" s="170"/>
      <c r="L3691" s="170"/>
      <c r="M3691" s="170"/>
      <c r="N3691" s="128"/>
    </row>
    <row r="3692" spans="1:14" s="3" customFormat="1" ht="9.9" customHeight="1">
      <c r="A3692" s="125"/>
      <c r="B3692" s="123"/>
      <c r="C3692" s="123"/>
      <c r="D3692" s="123"/>
      <c r="E3692" s="123"/>
      <c r="F3692" s="167"/>
      <c r="G3692" s="123"/>
      <c r="H3692" s="123"/>
      <c r="I3692" s="123"/>
      <c r="J3692" s="123"/>
      <c r="K3692" s="123"/>
      <c r="L3692" s="123"/>
      <c r="M3692" s="123"/>
      <c r="N3692" s="126"/>
    </row>
    <row r="3693" spans="1:14" s="3" customFormat="1" ht="25.2">
      <c r="A3693" s="125" t="s">
        <v>1900</v>
      </c>
      <c r="B3693" s="123"/>
      <c r="C3693" s="123"/>
      <c r="D3693" s="123"/>
      <c r="E3693" s="123"/>
      <c r="F3693" s="171" t="s">
        <v>1901</v>
      </c>
      <c r="G3693" s="604">
        <f t="shared" ref="G3693" si="103">G3658+1</f>
        <v>106</v>
      </c>
      <c r="H3693" s="604"/>
      <c r="I3693" s="604"/>
      <c r="J3693" s="604"/>
      <c r="K3693" s="604"/>
      <c r="L3693" s="123"/>
      <c r="M3693" s="123"/>
      <c r="N3693" s="126"/>
    </row>
    <row r="3694" spans="1:14" s="4" customFormat="1" ht="25.2">
      <c r="A3694" s="125" t="s">
        <v>1903</v>
      </c>
      <c r="B3694" s="123"/>
      <c r="C3694" s="123"/>
      <c r="D3694" s="123"/>
      <c r="E3694" s="123"/>
      <c r="F3694" s="167"/>
      <c r="G3694" s="167"/>
      <c r="H3694" s="123"/>
      <c r="I3694" s="123"/>
      <c r="J3694" s="123"/>
      <c r="K3694" s="123"/>
      <c r="L3694" s="123"/>
      <c r="M3694" s="123"/>
      <c r="N3694" s="126"/>
    </row>
    <row r="3695" spans="1:14" s="3" customFormat="1" ht="9.9" customHeight="1">
      <c r="A3695" s="125"/>
      <c r="B3695" s="123"/>
      <c r="C3695" s="123"/>
      <c r="D3695" s="123"/>
      <c r="E3695" s="123"/>
      <c r="F3695" s="167"/>
      <c r="G3695" s="167"/>
      <c r="H3695" s="123"/>
      <c r="I3695" s="123"/>
      <c r="J3695" s="123"/>
      <c r="K3695" s="123"/>
      <c r="L3695" s="123"/>
      <c r="M3695" s="123"/>
      <c r="N3695" s="126"/>
    </row>
    <row r="3696" spans="1:14" s="3" customFormat="1" ht="25.2">
      <c r="A3696" s="125" t="s">
        <v>1904</v>
      </c>
      <c r="B3696" s="123"/>
      <c r="C3696" s="123"/>
      <c r="D3696" s="123"/>
      <c r="E3696" s="123"/>
      <c r="F3696" s="167" t="s">
        <v>1896</v>
      </c>
      <c r="G3696" s="204" t="e">
        <f>VLOOKUP(G3693, 'Detail PL'!$B$14:$Q$799, 10)</f>
        <v>#N/A</v>
      </c>
      <c r="H3696" s="204" t="s">
        <v>1905</v>
      </c>
      <c r="I3696" s="204"/>
      <c r="J3696" s="204"/>
      <c r="K3696" s="123"/>
      <c r="L3696" s="123"/>
      <c r="M3696" s="123"/>
      <c r="N3696" s="126"/>
    </row>
    <row r="3697" spans="1:15" s="4" customFormat="1" ht="25.2">
      <c r="A3697" s="125" t="s">
        <v>1906</v>
      </c>
      <c r="B3697" s="123"/>
      <c r="C3697" s="123"/>
      <c r="D3697" s="123"/>
      <c r="E3697" s="123"/>
      <c r="F3697" s="167"/>
      <c r="G3697" s="167"/>
      <c r="H3697" s="167"/>
      <c r="I3697" s="123"/>
      <c r="J3697" s="123"/>
      <c r="K3697" s="123"/>
      <c r="L3697" s="123"/>
      <c r="M3697" s="123"/>
      <c r="N3697" s="126"/>
    </row>
    <row r="3698" spans="1:15" s="3" customFormat="1" ht="9.9" customHeight="1">
      <c r="A3698" s="125"/>
      <c r="B3698" s="123"/>
      <c r="C3698" s="123"/>
      <c r="D3698" s="123"/>
      <c r="E3698" s="123"/>
      <c r="F3698" s="167"/>
      <c r="G3698" s="167"/>
      <c r="H3698" s="167"/>
      <c r="I3698" s="123"/>
      <c r="J3698" s="123"/>
      <c r="K3698" s="123"/>
      <c r="L3698" s="123"/>
      <c r="M3698" s="123"/>
      <c r="N3698" s="126"/>
    </row>
    <row r="3699" spans="1:15" s="3" customFormat="1" ht="25.2">
      <c r="A3699" s="125" t="s">
        <v>1907</v>
      </c>
      <c r="B3699" s="123"/>
      <c r="C3699" s="123"/>
      <c r="D3699" s="123"/>
      <c r="E3699" s="123"/>
      <c r="F3699" s="167" t="s">
        <v>1896</v>
      </c>
      <c r="G3699" s="204" t="e">
        <f>VLOOKUP(G3693, 'Detail PL'!$B$14:$Q$799, 11)</f>
        <v>#N/A</v>
      </c>
      <c r="H3699" s="204" t="s">
        <v>1905</v>
      </c>
      <c r="I3699" s="204"/>
      <c r="J3699" s="204"/>
      <c r="K3699" s="123"/>
      <c r="L3699" s="123"/>
      <c r="M3699" s="123"/>
      <c r="N3699" s="126"/>
    </row>
    <row r="3700" spans="1:15" s="4" customFormat="1" ht="25.2">
      <c r="A3700" s="125" t="s">
        <v>1908</v>
      </c>
      <c r="B3700" s="123"/>
      <c r="C3700" s="123"/>
      <c r="D3700" s="123"/>
      <c r="E3700" s="123"/>
      <c r="F3700" s="167"/>
      <c r="G3700" s="167"/>
      <c r="H3700" s="123"/>
      <c r="I3700" s="123"/>
      <c r="J3700" s="123"/>
      <c r="K3700" s="123"/>
      <c r="L3700" s="123"/>
      <c r="M3700" s="123"/>
      <c r="N3700" s="126"/>
    </row>
    <row r="3701" spans="1:15" s="3" customFormat="1" ht="9.9" customHeight="1">
      <c r="A3701" s="125"/>
      <c r="B3701" s="123"/>
      <c r="C3701" s="123"/>
      <c r="D3701" s="123"/>
      <c r="E3701" s="123"/>
      <c r="F3701" s="167"/>
      <c r="G3701" s="167"/>
      <c r="H3701" s="123"/>
      <c r="I3701" s="123"/>
      <c r="J3701" s="123"/>
      <c r="K3701" s="123"/>
      <c r="L3701" s="123"/>
      <c r="M3701" s="123"/>
      <c r="N3701" s="126"/>
    </row>
    <row r="3702" spans="1:15" s="3" customFormat="1" ht="25.2">
      <c r="A3702" s="129" t="s">
        <v>1909</v>
      </c>
      <c r="B3702" s="123"/>
      <c r="C3702" s="123"/>
      <c r="D3702" s="123"/>
      <c r="E3702" s="123"/>
      <c r="F3702" s="167" t="s">
        <v>1896</v>
      </c>
      <c r="G3702" s="204" t="e">
        <f>VLOOKUP(G3693, 'Detail PL'!$B$14:$Q$799, 9)</f>
        <v>#N/A</v>
      </c>
      <c r="H3702" s="205" t="s">
        <v>1910</v>
      </c>
      <c r="I3702" s="203"/>
      <c r="J3702" s="203"/>
      <c r="K3702" s="172"/>
      <c r="L3702" s="123"/>
      <c r="M3702" s="123"/>
      <c r="N3702" s="126"/>
    </row>
    <row r="3703" spans="1:15" s="4" customFormat="1" ht="25.2">
      <c r="A3703" s="125" t="s">
        <v>1911</v>
      </c>
      <c r="B3703" s="123"/>
      <c r="C3703" s="123"/>
      <c r="D3703" s="123"/>
      <c r="E3703" s="123"/>
      <c r="F3703" s="167"/>
      <c r="G3703" s="167"/>
      <c r="H3703" s="123"/>
      <c r="I3703" s="123"/>
      <c r="J3703" s="123"/>
      <c r="K3703" s="123"/>
      <c r="L3703" s="123"/>
      <c r="M3703" s="123"/>
      <c r="N3703" s="126"/>
    </row>
    <row r="3704" spans="1:15" s="3" customFormat="1" ht="9.9" customHeight="1">
      <c r="A3704" s="125"/>
      <c r="B3704" s="123"/>
      <c r="C3704" s="123"/>
      <c r="D3704" s="123"/>
      <c r="E3704" s="123"/>
      <c r="F3704" s="167"/>
      <c r="G3704" s="167"/>
      <c r="H3704" s="123"/>
      <c r="I3704" s="123"/>
      <c r="J3704" s="123"/>
      <c r="K3704" s="123"/>
      <c r="L3704" s="123"/>
      <c r="M3704" s="123"/>
      <c r="N3704" s="126"/>
    </row>
    <row r="3705" spans="1:15" s="3" customFormat="1" ht="42" customHeight="1">
      <c r="A3705" s="125" t="s">
        <v>1912</v>
      </c>
      <c r="B3705" s="123"/>
      <c r="C3705" s="123"/>
      <c r="D3705" s="123"/>
      <c r="E3705" s="123"/>
      <c r="F3705" s="166" t="s">
        <v>1913</v>
      </c>
      <c r="G3705" s="595" t="s">
        <v>1914</v>
      </c>
      <c r="H3705" s="595"/>
      <c r="I3705" s="595"/>
      <c r="J3705" s="595"/>
      <c r="K3705" s="595"/>
      <c r="L3705" s="595"/>
      <c r="M3705" s="595"/>
      <c r="N3705" s="596"/>
    </row>
    <row r="3706" spans="1:15" s="4" customFormat="1" ht="25.8" thickBot="1">
      <c r="A3706" s="125" t="s">
        <v>1915</v>
      </c>
      <c r="B3706" s="123"/>
      <c r="C3706" s="123"/>
      <c r="D3706" s="123"/>
      <c r="E3706" s="123"/>
      <c r="F3706" s="167"/>
      <c r="G3706" s="167"/>
      <c r="H3706" s="123"/>
      <c r="I3706" s="123"/>
      <c r="J3706" s="123"/>
      <c r="K3706" s="123"/>
      <c r="L3706" s="123"/>
      <c r="M3706" s="123"/>
      <c r="N3706" s="126"/>
    </row>
    <row r="3707" spans="1:15" ht="21" customHeight="1">
      <c r="A3707" s="598" t="s">
        <v>1916</v>
      </c>
      <c r="B3707" s="599"/>
      <c r="C3707" s="599"/>
      <c r="D3707" s="599"/>
      <c r="E3707" s="599"/>
      <c r="F3707" s="599"/>
      <c r="G3707" s="599"/>
      <c r="H3707" s="599"/>
      <c r="I3707" s="599"/>
      <c r="J3707" s="599"/>
      <c r="K3707" s="599"/>
      <c r="L3707" s="599"/>
      <c r="M3707" s="599"/>
      <c r="N3707" s="600"/>
    </row>
    <row r="3708" spans="1:15" ht="25.5" customHeight="1" thickBot="1">
      <c r="A3708" s="601"/>
      <c r="B3708" s="602"/>
      <c r="C3708" s="602"/>
      <c r="D3708" s="602"/>
      <c r="E3708" s="602"/>
      <c r="F3708" s="602"/>
      <c r="G3708" s="602"/>
      <c r="H3708" s="602"/>
      <c r="I3708" s="602"/>
      <c r="J3708" s="602"/>
      <c r="K3708" s="602"/>
      <c r="L3708" s="602"/>
      <c r="M3708" s="602"/>
      <c r="N3708" s="603"/>
    </row>
    <row r="3709" spans="1:15" ht="25.5" customHeight="1">
      <c r="E3709" s="206"/>
      <c r="F3709" s="206"/>
      <c r="G3709" s="206"/>
      <c r="H3709" s="206"/>
      <c r="I3709" s="206"/>
      <c r="J3709" s="206"/>
      <c r="K3709" s="206"/>
    </row>
    <row r="3710" spans="1:15" ht="21.6" thickBot="1"/>
    <row r="3711" spans="1:15" ht="95.25" customHeight="1" thickBot="1">
      <c r="A3711" s="592" t="s">
        <v>1883</v>
      </c>
      <c r="B3711" s="593"/>
      <c r="C3711" s="593"/>
      <c r="D3711" s="593"/>
      <c r="E3711" s="593"/>
      <c r="F3711" s="593"/>
      <c r="G3711" s="593"/>
      <c r="H3711" s="593"/>
      <c r="I3711" s="593"/>
      <c r="J3711" s="593"/>
      <c r="K3711" s="593"/>
      <c r="L3711" s="593"/>
      <c r="M3711" s="593"/>
      <c r="N3711" s="594"/>
    </row>
    <row r="3712" spans="1:15" s="3" customFormat="1" ht="37.5" customHeight="1">
      <c r="A3712" s="134" t="s">
        <v>1884</v>
      </c>
      <c r="B3712" s="166"/>
      <c r="C3712" s="166"/>
      <c r="D3712" s="123"/>
      <c r="E3712" s="123"/>
      <c r="F3712" s="167" t="s">
        <v>1885</v>
      </c>
      <c r="G3712" s="167" t="s">
        <v>1886</v>
      </c>
      <c r="H3712" s="167"/>
      <c r="I3712" s="167"/>
      <c r="J3712" s="167"/>
      <c r="K3712" s="167"/>
      <c r="L3712" s="167"/>
      <c r="M3712" s="167"/>
      <c r="N3712" s="152"/>
      <c r="O3712" s="201"/>
    </row>
    <row r="3713" spans="1:14" s="4" customFormat="1" ht="25.2">
      <c r="A3713" s="125" t="s">
        <v>1887</v>
      </c>
      <c r="B3713" s="123"/>
      <c r="C3713" s="123"/>
      <c r="D3713" s="123"/>
      <c r="E3713" s="123"/>
      <c r="F3713" s="167"/>
      <c r="G3713" s="167" t="s">
        <v>1888</v>
      </c>
      <c r="H3713" s="167"/>
      <c r="I3713" s="167"/>
      <c r="J3713" s="167"/>
      <c r="K3713" s="167"/>
      <c r="L3713" s="167"/>
      <c r="M3713" s="167"/>
      <c r="N3713" s="152"/>
    </row>
    <row r="3714" spans="1:14" s="3" customFormat="1" ht="9.9" customHeight="1">
      <c r="A3714" s="125"/>
      <c r="B3714" s="123"/>
      <c r="C3714" s="123"/>
      <c r="D3714" s="123"/>
      <c r="E3714" s="123"/>
      <c r="F3714" s="167"/>
      <c r="G3714" s="123"/>
      <c r="H3714" s="123"/>
      <c r="I3714" s="123"/>
      <c r="J3714" s="123"/>
      <c r="K3714" s="123"/>
      <c r="L3714" s="123"/>
      <c r="M3714" s="123"/>
      <c r="N3714" s="126"/>
    </row>
    <row r="3715" spans="1:14" s="3" customFormat="1" ht="42.75" customHeight="1">
      <c r="A3715" s="125" t="s">
        <v>1889</v>
      </c>
      <c r="B3715" s="123"/>
      <c r="C3715" s="123"/>
      <c r="D3715" s="123"/>
      <c r="E3715" s="123"/>
      <c r="F3715" s="167" t="s">
        <v>1885</v>
      </c>
      <c r="G3715" s="167" t="str">
        <f>PL!$B$13</f>
        <v>Branch of JSC "Doosan Enerbility" in the Turkestan region</v>
      </c>
      <c r="H3715" s="123"/>
      <c r="I3715" s="123"/>
      <c r="J3715" s="123"/>
      <c r="K3715" s="123"/>
      <c r="L3715" s="123"/>
      <c r="M3715" s="123"/>
      <c r="N3715" s="126"/>
    </row>
    <row r="3716" spans="1:14" s="3" customFormat="1" ht="24" customHeight="1">
      <c r="A3716" s="125" t="s">
        <v>1890</v>
      </c>
      <c r="B3716" s="123"/>
      <c r="C3716" s="123"/>
      <c r="D3716" s="123"/>
      <c r="E3716" s="123"/>
      <c r="F3716" s="168"/>
      <c r="G3716" s="167" t="str">
        <f>PL!$B$14</f>
        <v>321 Tauke Khan Avenue, Turkestan region, Turkestan, Kazakhstan, 161200</v>
      </c>
      <c r="H3716" s="123"/>
      <c r="I3716" s="123"/>
      <c r="J3716" s="123"/>
      <c r="K3716" s="123"/>
      <c r="L3716" s="123"/>
      <c r="M3716" s="123"/>
      <c r="N3716" s="126"/>
    </row>
    <row r="3717" spans="1:14" s="4" customFormat="1" ht="25.2">
      <c r="A3717" s="125"/>
      <c r="B3717" s="123"/>
      <c r="C3717" s="123"/>
      <c r="D3717" s="123"/>
      <c r="E3717" s="123"/>
      <c r="F3717" s="168"/>
      <c r="G3717" s="167" t="str">
        <f>PL!$B$15</f>
        <v>BIN: 230741006561</v>
      </c>
      <c r="H3717" s="123"/>
      <c r="I3717" s="123"/>
      <c r="J3717" s="123"/>
      <c r="K3717" s="123"/>
      <c r="L3717" s="123"/>
      <c r="M3717" s="123"/>
      <c r="N3717" s="126"/>
    </row>
    <row r="3718" spans="1:14" s="3" customFormat="1" ht="9.9" customHeight="1">
      <c r="A3718" s="125"/>
      <c r="B3718" s="123"/>
      <c r="C3718" s="123"/>
      <c r="D3718" s="123"/>
      <c r="E3718" s="123"/>
      <c r="F3718" s="169"/>
      <c r="G3718" s="169"/>
      <c r="H3718" s="123"/>
      <c r="I3718" s="123"/>
      <c r="J3718" s="123"/>
      <c r="K3718" s="123"/>
      <c r="L3718" s="123"/>
      <c r="M3718" s="123"/>
      <c r="N3718" s="126"/>
    </row>
    <row r="3719" spans="1:14" s="3" customFormat="1" ht="25.2">
      <c r="A3719" s="125" t="s">
        <v>1891</v>
      </c>
      <c r="B3719" s="123"/>
      <c r="C3719" s="123"/>
      <c r="D3719" s="123"/>
      <c r="E3719" s="123"/>
      <c r="F3719" s="167" t="s">
        <v>1892</v>
      </c>
      <c r="G3719" s="123"/>
      <c r="H3719" s="123"/>
      <c r="I3719" s="123"/>
      <c r="J3719" s="123"/>
      <c r="K3719" s="123"/>
      <c r="L3719" s="123"/>
      <c r="M3719" s="123"/>
      <c r="N3719" s="126"/>
    </row>
    <row r="3720" spans="1:14" s="4" customFormat="1" ht="25.2">
      <c r="A3720" s="125" t="s">
        <v>1893</v>
      </c>
      <c r="B3720" s="123"/>
      <c r="C3720" s="123"/>
      <c r="D3720" s="123"/>
      <c r="E3720" s="123"/>
      <c r="F3720" s="167" t="s">
        <v>1894</v>
      </c>
      <c r="G3720" s="123"/>
      <c r="H3720" s="123"/>
      <c r="I3720" s="123"/>
      <c r="J3720" s="123"/>
      <c r="K3720" s="123"/>
      <c r="L3720" s="123"/>
      <c r="M3720" s="123"/>
      <c r="N3720" s="126"/>
    </row>
    <row r="3721" spans="1:14" s="3" customFormat="1" ht="9.9" customHeight="1">
      <c r="A3721" s="125"/>
      <c r="B3721" s="123"/>
      <c r="C3721" s="123"/>
      <c r="D3721" s="123"/>
      <c r="E3721" s="123"/>
      <c r="F3721" s="167"/>
      <c r="G3721" s="123"/>
      <c r="H3721" s="123"/>
      <c r="I3721" s="123"/>
      <c r="J3721" s="123"/>
      <c r="K3721" s="123"/>
      <c r="L3721" s="123"/>
      <c r="M3721" s="123"/>
      <c r="N3721" s="126"/>
    </row>
    <row r="3722" spans="1:14" s="3" customFormat="1" ht="25.2">
      <c r="A3722" s="125" t="s">
        <v>1895</v>
      </c>
      <c r="B3722" s="123"/>
      <c r="C3722" s="123"/>
      <c r="D3722" s="123"/>
      <c r="E3722" s="123"/>
      <c r="F3722" s="167" t="s">
        <v>1896</v>
      </c>
      <c r="G3722" s="167" t="str">
        <f>PL!$V$8</f>
        <v>PGU-DE-0139-001</v>
      </c>
      <c r="H3722" s="123"/>
      <c r="I3722" s="123"/>
      <c r="J3722" s="123"/>
      <c r="K3722" s="123"/>
      <c r="L3722" s="123"/>
      <c r="M3722" s="123"/>
      <c r="N3722" s="126"/>
    </row>
    <row r="3723" spans="1:14" s="3" customFormat="1" ht="25.2">
      <c r="A3723" s="125" t="s">
        <v>1897</v>
      </c>
      <c r="B3723" s="123"/>
      <c r="C3723" s="123"/>
      <c r="D3723" s="123"/>
      <c r="E3723" s="123"/>
      <c r="F3723" s="167"/>
      <c r="G3723" s="123"/>
      <c r="H3723" s="123"/>
      <c r="I3723" s="123"/>
      <c r="J3723" s="123"/>
      <c r="K3723" s="123"/>
      <c r="L3723" s="123"/>
      <c r="M3723" s="123"/>
      <c r="N3723" s="126"/>
    </row>
    <row r="3724" spans="1:14" s="3" customFormat="1" ht="9.9" customHeight="1">
      <c r="A3724" s="125"/>
      <c r="B3724" s="123"/>
      <c r="C3724" s="123"/>
      <c r="D3724" s="123"/>
      <c r="E3724" s="123"/>
      <c r="F3724" s="167"/>
      <c r="G3724" s="123"/>
      <c r="H3724" s="123"/>
      <c r="I3724" s="123"/>
      <c r="J3724" s="123"/>
      <c r="K3724" s="123"/>
      <c r="L3724" s="123"/>
      <c r="M3724" s="123"/>
      <c r="N3724" s="126"/>
    </row>
    <row r="3725" spans="1:14" s="3" customFormat="1" ht="31.2" customHeight="1">
      <c r="A3725" s="127" t="s">
        <v>1898</v>
      </c>
      <c r="B3725" s="170"/>
      <c r="C3725" s="170"/>
      <c r="D3725" s="170"/>
      <c r="E3725" s="170"/>
      <c r="F3725" s="171" t="s">
        <v>1885</v>
      </c>
      <c r="G3725" s="597" t="e">
        <f>VLOOKUP(G3728, 'Detail PL'!$B$14:$Q$799,2)</f>
        <v>#N/A</v>
      </c>
      <c r="H3725" s="597"/>
      <c r="I3725" s="597"/>
      <c r="J3725" s="597"/>
      <c r="K3725" s="597"/>
      <c r="L3725" s="597"/>
      <c r="M3725" s="597"/>
      <c r="N3725" s="128"/>
    </row>
    <row r="3726" spans="1:14" s="3" customFormat="1" ht="25.2">
      <c r="A3726" s="127" t="s">
        <v>1899</v>
      </c>
      <c r="B3726" s="170"/>
      <c r="C3726" s="170"/>
      <c r="D3726" s="170"/>
      <c r="E3726" s="170"/>
      <c r="F3726" s="171"/>
      <c r="G3726" s="170"/>
      <c r="H3726" s="170"/>
      <c r="I3726" s="170"/>
      <c r="J3726" s="170"/>
      <c r="K3726" s="170"/>
      <c r="L3726" s="170"/>
      <c r="M3726" s="170"/>
      <c r="N3726" s="128"/>
    </row>
    <row r="3727" spans="1:14" s="3" customFormat="1" ht="9.9" customHeight="1">
      <c r="A3727" s="125"/>
      <c r="B3727" s="123"/>
      <c r="C3727" s="123"/>
      <c r="D3727" s="123"/>
      <c r="E3727" s="123"/>
      <c r="F3727" s="167"/>
      <c r="G3727" s="123"/>
      <c r="H3727" s="123"/>
      <c r="I3727" s="123"/>
      <c r="J3727" s="123"/>
      <c r="K3727" s="123"/>
      <c r="L3727" s="123"/>
      <c r="M3727" s="123"/>
      <c r="N3727" s="126"/>
    </row>
    <row r="3728" spans="1:14" s="3" customFormat="1" ht="25.2">
      <c r="A3728" s="125" t="s">
        <v>1900</v>
      </c>
      <c r="B3728" s="123"/>
      <c r="C3728" s="123"/>
      <c r="D3728" s="123"/>
      <c r="E3728" s="123"/>
      <c r="F3728" s="171" t="s">
        <v>1901</v>
      </c>
      <c r="G3728" s="604">
        <f t="shared" ref="G3728" si="104">G3693+1</f>
        <v>107</v>
      </c>
      <c r="H3728" s="604"/>
      <c r="I3728" s="604"/>
      <c r="J3728" s="604"/>
      <c r="K3728" s="604"/>
      <c r="L3728" s="123"/>
      <c r="M3728" s="123"/>
      <c r="N3728" s="126"/>
    </row>
    <row r="3729" spans="1:14" s="4" customFormat="1" ht="25.2">
      <c r="A3729" s="125" t="s">
        <v>1903</v>
      </c>
      <c r="B3729" s="123"/>
      <c r="C3729" s="123"/>
      <c r="D3729" s="123"/>
      <c r="E3729" s="123"/>
      <c r="F3729" s="167"/>
      <c r="G3729" s="167"/>
      <c r="H3729" s="123"/>
      <c r="I3729" s="123"/>
      <c r="J3729" s="123"/>
      <c r="K3729" s="123"/>
      <c r="L3729" s="123"/>
      <c r="M3729" s="123"/>
      <c r="N3729" s="126"/>
    </row>
    <row r="3730" spans="1:14" s="3" customFormat="1" ht="9.9" customHeight="1">
      <c r="A3730" s="125"/>
      <c r="B3730" s="123"/>
      <c r="C3730" s="123"/>
      <c r="D3730" s="123"/>
      <c r="E3730" s="123"/>
      <c r="F3730" s="167"/>
      <c r="G3730" s="167"/>
      <c r="H3730" s="123"/>
      <c r="I3730" s="123"/>
      <c r="J3730" s="123"/>
      <c r="K3730" s="123"/>
      <c r="L3730" s="123"/>
      <c r="M3730" s="123"/>
      <c r="N3730" s="126"/>
    </row>
    <row r="3731" spans="1:14" s="3" customFormat="1" ht="25.2">
      <c r="A3731" s="125" t="s">
        <v>1904</v>
      </c>
      <c r="B3731" s="123"/>
      <c r="C3731" s="123"/>
      <c r="D3731" s="123"/>
      <c r="E3731" s="123"/>
      <c r="F3731" s="167" t="s">
        <v>1896</v>
      </c>
      <c r="G3731" s="204" t="e">
        <f>VLOOKUP(G3728, 'Detail PL'!$B$14:$Q$799, 10)</f>
        <v>#N/A</v>
      </c>
      <c r="H3731" s="204" t="s">
        <v>1905</v>
      </c>
      <c r="I3731" s="204"/>
      <c r="J3731" s="204"/>
      <c r="K3731" s="123"/>
      <c r="L3731" s="123"/>
      <c r="M3731" s="123"/>
      <c r="N3731" s="126"/>
    </row>
    <row r="3732" spans="1:14" s="4" customFormat="1" ht="25.2">
      <c r="A3732" s="125" t="s">
        <v>1906</v>
      </c>
      <c r="B3732" s="123"/>
      <c r="C3732" s="123"/>
      <c r="D3732" s="123"/>
      <c r="E3732" s="123"/>
      <c r="F3732" s="167"/>
      <c r="G3732" s="167"/>
      <c r="H3732" s="167"/>
      <c r="I3732" s="123"/>
      <c r="J3732" s="123"/>
      <c r="K3732" s="123"/>
      <c r="L3732" s="123"/>
      <c r="M3732" s="123"/>
      <c r="N3732" s="126"/>
    </row>
    <row r="3733" spans="1:14" s="3" customFormat="1" ht="9.9" customHeight="1">
      <c r="A3733" s="125"/>
      <c r="B3733" s="123"/>
      <c r="C3733" s="123"/>
      <c r="D3733" s="123"/>
      <c r="E3733" s="123"/>
      <c r="F3733" s="167"/>
      <c r="G3733" s="167"/>
      <c r="H3733" s="167"/>
      <c r="I3733" s="123"/>
      <c r="J3733" s="123"/>
      <c r="K3733" s="123"/>
      <c r="L3733" s="123"/>
      <c r="M3733" s="123"/>
      <c r="N3733" s="126"/>
    </row>
    <row r="3734" spans="1:14" s="3" customFormat="1" ht="25.2">
      <c r="A3734" s="125" t="s">
        <v>1907</v>
      </c>
      <c r="B3734" s="123"/>
      <c r="C3734" s="123"/>
      <c r="D3734" s="123"/>
      <c r="E3734" s="123"/>
      <c r="F3734" s="167" t="s">
        <v>1896</v>
      </c>
      <c r="G3734" s="204" t="e">
        <f>VLOOKUP(G3728, 'Detail PL'!$B$14:$Q$799, 11)</f>
        <v>#N/A</v>
      </c>
      <c r="H3734" s="204" t="s">
        <v>1905</v>
      </c>
      <c r="I3734" s="204"/>
      <c r="J3734" s="204"/>
      <c r="K3734" s="123"/>
      <c r="L3734" s="123"/>
      <c r="M3734" s="123"/>
      <c r="N3734" s="126"/>
    </row>
    <row r="3735" spans="1:14" s="4" customFormat="1" ht="25.2">
      <c r="A3735" s="125" t="s">
        <v>1908</v>
      </c>
      <c r="B3735" s="123"/>
      <c r="C3735" s="123"/>
      <c r="D3735" s="123"/>
      <c r="E3735" s="123"/>
      <c r="F3735" s="167"/>
      <c r="G3735" s="167"/>
      <c r="H3735" s="123"/>
      <c r="I3735" s="123"/>
      <c r="J3735" s="123"/>
      <c r="K3735" s="123"/>
      <c r="L3735" s="123"/>
      <c r="M3735" s="123"/>
      <c r="N3735" s="126"/>
    </row>
    <row r="3736" spans="1:14" s="3" customFormat="1" ht="9.9" customHeight="1">
      <c r="A3736" s="125"/>
      <c r="B3736" s="123"/>
      <c r="C3736" s="123"/>
      <c r="D3736" s="123"/>
      <c r="E3736" s="123"/>
      <c r="F3736" s="167"/>
      <c r="G3736" s="167"/>
      <c r="H3736" s="123"/>
      <c r="I3736" s="123"/>
      <c r="J3736" s="123"/>
      <c r="K3736" s="123"/>
      <c r="L3736" s="123"/>
      <c r="M3736" s="123"/>
      <c r="N3736" s="126"/>
    </row>
    <row r="3737" spans="1:14" s="3" customFormat="1" ht="25.2">
      <c r="A3737" s="129" t="s">
        <v>1909</v>
      </c>
      <c r="B3737" s="123"/>
      <c r="C3737" s="123"/>
      <c r="D3737" s="123"/>
      <c r="E3737" s="123"/>
      <c r="F3737" s="167" t="s">
        <v>1896</v>
      </c>
      <c r="G3737" s="204" t="e">
        <f>VLOOKUP(G3728, 'Detail PL'!$B$14:$Q$799, 9)</f>
        <v>#N/A</v>
      </c>
      <c r="H3737" s="205" t="s">
        <v>1910</v>
      </c>
      <c r="I3737" s="203"/>
      <c r="J3737" s="203"/>
      <c r="K3737" s="172"/>
      <c r="L3737" s="123"/>
      <c r="M3737" s="123"/>
      <c r="N3737" s="126"/>
    </row>
    <row r="3738" spans="1:14" s="4" customFormat="1" ht="25.2">
      <c r="A3738" s="125" t="s">
        <v>1911</v>
      </c>
      <c r="B3738" s="123"/>
      <c r="C3738" s="123"/>
      <c r="D3738" s="123"/>
      <c r="E3738" s="123"/>
      <c r="F3738" s="167"/>
      <c r="G3738" s="167"/>
      <c r="H3738" s="123"/>
      <c r="I3738" s="123"/>
      <c r="J3738" s="123"/>
      <c r="K3738" s="123"/>
      <c r="L3738" s="123"/>
      <c r="M3738" s="123"/>
      <c r="N3738" s="126"/>
    </row>
    <row r="3739" spans="1:14" s="3" customFormat="1" ht="9.9" customHeight="1">
      <c r="A3739" s="125"/>
      <c r="B3739" s="123"/>
      <c r="C3739" s="123"/>
      <c r="D3739" s="123"/>
      <c r="E3739" s="123"/>
      <c r="F3739" s="167"/>
      <c r="G3739" s="167"/>
      <c r="H3739" s="123"/>
      <c r="I3739" s="123"/>
      <c r="J3739" s="123"/>
      <c r="K3739" s="123"/>
      <c r="L3739" s="123"/>
      <c r="M3739" s="123"/>
      <c r="N3739" s="126"/>
    </row>
    <row r="3740" spans="1:14" s="3" customFormat="1" ht="42" customHeight="1">
      <c r="A3740" s="125" t="s">
        <v>1912</v>
      </c>
      <c r="B3740" s="123"/>
      <c r="C3740" s="123"/>
      <c r="D3740" s="123"/>
      <c r="E3740" s="123"/>
      <c r="F3740" s="166" t="s">
        <v>1913</v>
      </c>
      <c r="G3740" s="595" t="s">
        <v>1914</v>
      </c>
      <c r="H3740" s="595"/>
      <c r="I3740" s="595"/>
      <c r="J3740" s="595"/>
      <c r="K3740" s="595"/>
      <c r="L3740" s="595"/>
      <c r="M3740" s="595"/>
      <c r="N3740" s="596"/>
    </row>
    <row r="3741" spans="1:14" s="4" customFormat="1" ht="25.8" thickBot="1">
      <c r="A3741" s="125" t="s">
        <v>1915</v>
      </c>
      <c r="B3741" s="123"/>
      <c r="C3741" s="123"/>
      <c r="D3741" s="123"/>
      <c r="E3741" s="123"/>
      <c r="F3741" s="167"/>
      <c r="G3741" s="167"/>
      <c r="H3741" s="123"/>
      <c r="I3741" s="123"/>
      <c r="J3741" s="123"/>
      <c r="K3741" s="123"/>
      <c r="L3741" s="123"/>
      <c r="M3741" s="123"/>
      <c r="N3741" s="126"/>
    </row>
    <row r="3742" spans="1:14" ht="21" customHeight="1">
      <c r="A3742" s="598" t="s">
        <v>1916</v>
      </c>
      <c r="B3742" s="599"/>
      <c r="C3742" s="599"/>
      <c r="D3742" s="599"/>
      <c r="E3742" s="599"/>
      <c r="F3742" s="599"/>
      <c r="G3742" s="599"/>
      <c r="H3742" s="599"/>
      <c r="I3742" s="599"/>
      <c r="J3742" s="599"/>
      <c r="K3742" s="599"/>
      <c r="L3742" s="599"/>
      <c r="M3742" s="599"/>
      <c r="N3742" s="600"/>
    </row>
    <row r="3743" spans="1:14" ht="25.5" customHeight="1" thickBot="1">
      <c r="A3743" s="601"/>
      <c r="B3743" s="602"/>
      <c r="C3743" s="602"/>
      <c r="D3743" s="602"/>
      <c r="E3743" s="602"/>
      <c r="F3743" s="602"/>
      <c r="G3743" s="602"/>
      <c r="H3743" s="602"/>
      <c r="I3743" s="602"/>
      <c r="J3743" s="602"/>
      <c r="K3743" s="602"/>
      <c r="L3743" s="602"/>
      <c r="M3743" s="602"/>
      <c r="N3743" s="603"/>
    </row>
    <row r="3744" spans="1:14" ht="25.5" customHeight="1">
      <c r="E3744" s="206"/>
      <c r="F3744" s="206"/>
      <c r="G3744" s="206"/>
      <c r="H3744" s="206"/>
      <c r="I3744" s="206"/>
      <c r="J3744" s="206"/>
      <c r="K3744" s="206"/>
    </row>
    <row r="3745" spans="1:15" ht="21.6" thickBot="1"/>
    <row r="3746" spans="1:15" ht="95.25" customHeight="1" thickBot="1">
      <c r="A3746" s="592" t="s">
        <v>1883</v>
      </c>
      <c r="B3746" s="593"/>
      <c r="C3746" s="593"/>
      <c r="D3746" s="593"/>
      <c r="E3746" s="593"/>
      <c r="F3746" s="593"/>
      <c r="G3746" s="593"/>
      <c r="H3746" s="593"/>
      <c r="I3746" s="593"/>
      <c r="J3746" s="593"/>
      <c r="K3746" s="593"/>
      <c r="L3746" s="593"/>
      <c r="M3746" s="593"/>
      <c r="N3746" s="594"/>
    </row>
    <row r="3747" spans="1:15" s="3" customFormat="1" ht="37.5" customHeight="1">
      <c r="A3747" s="134" t="s">
        <v>1884</v>
      </c>
      <c r="B3747" s="166"/>
      <c r="C3747" s="166"/>
      <c r="D3747" s="123"/>
      <c r="E3747" s="123"/>
      <c r="F3747" s="167" t="s">
        <v>1885</v>
      </c>
      <c r="G3747" s="167" t="s">
        <v>1886</v>
      </c>
      <c r="H3747" s="167"/>
      <c r="I3747" s="167"/>
      <c r="J3747" s="167"/>
      <c r="K3747" s="167"/>
      <c r="L3747" s="167"/>
      <c r="M3747" s="167"/>
      <c r="N3747" s="152"/>
      <c r="O3747" s="201"/>
    </row>
    <row r="3748" spans="1:15" s="4" customFormat="1" ht="25.2">
      <c r="A3748" s="125" t="s">
        <v>1887</v>
      </c>
      <c r="B3748" s="123"/>
      <c r="C3748" s="123"/>
      <c r="D3748" s="123"/>
      <c r="E3748" s="123"/>
      <c r="F3748" s="167"/>
      <c r="G3748" s="167" t="s">
        <v>1888</v>
      </c>
      <c r="H3748" s="167"/>
      <c r="I3748" s="167"/>
      <c r="J3748" s="167"/>
      <c r="K3748" s="167"/>
      <c r="L3748" s="167"/>
      <c r="M3748" s="167"/>
      <c r="N3748" s="152"/>
    </row>
    <row r="3749" spans="1:15" s="3" customFormat="1" ht="9.9" customHeight="1">
      <c r="A3749" s="125"/>
      <c r="B3749" s="123"/>
      <c r="C3749" s="123"/>
      <c r="D3749" s="123"/>
      <c r="E3749" s="123"/>
      <c r="F3749" s="167"/>
      <c r="G3749" s="123"/>
      <c r="H3749" s="123"/>
      <c r="I3749" s="123"/>
      <c r="J3749" s="123"/>
      <c r="K3749" s="123"/>
      <c r="L3749" s="123"/>
      <c r="M3749" s="123"/>
      <c r="N3749" s="126"/>
    </row>
    <row r="3750" spans="1:15" s="3" customFormat="1" ht="42.75" customHeight="1">
      <c r="A3750" s="125" t="s">
        <v>1889</v>
      </c>
      <c r="B3750" s="123"/>
      <c r="C3750" s="123"/>
      <c r="D3750" s="123"/>
      <c r="E3750" s="123"/>
      <c r="F3750" s="167" t="s">
        <v>1885</v>
      </c>
      <c r="G3750" s="167" t="str">
        <f>PL!$B$13</f>
        <v>Branch of JSC "Doosan Enerbility" in the Turkestan region</v>
      </c>
      <c r="H3750" s="123"/>
      <c r="I3750" s="123"/>
      <c r="J3750" s="123"/>
      <c r="K3750" s="123"/>
      <c r="L3750" s="123"/>
      <c r="M3750" s="123"/>
      <c r="N3750" s="126"/>
    </row>
    <row r="3751" spans="1:15" s="3" customFormat="1" ht="24" customHeight="1">
      <c r="A3751" s="125" t="s">
        <v>1890</v>
      </c>
      <c r="B3751" s="123"/>
      <c r="C3751" s="123"/>
      <c r="D3751" s="123"/>
      <c r="E3751" s="123"/>
      <c r="F3751" s="168"/>
      <c r="G3751" s="167" t="str">
        <f>PL!$B$14</f>
        <v>321 Tauke Khan Avenue, Turkestan region, Turkestan, Kazakhstan, 161200</v>
      </c>
      <c r="H3751" s="123"/>
      <c r="I3751" s="123"/>
      <c r="J3751" s="123"/>
      <c r="K3751" s="123"/>
      <c r="L3751" s="123"/>
      <c r="M3751" s="123"/>
      <c r="N3751" s="126"/>
    </row>
    <row r="3752" spans="1:15" s="4" customFormat="1" ht="25.2">
      <c r="A3752" s="125"/>
      <c r="B3752" s="123"/>
      <c r="C3752" s="123"/>
      <c r="D3752" s="123"/>
      <c r="E3752" s="123"/>
      <c r="F3752" s="168"/>
      <c r="G3752" s="167" t="str">
        <f>PL!$B$15</f>
        <v>BIN: 230741006561</v>
      </c>
      <c r="H3752" s="123"/>
      <c r="I3752" s="123"/>
      <c r="J3752" s="123"/>
      <c r="K3752" s="123"/>
      <c r="L3752" s="123"/>
      <c r="M3752" s="123"/>
      <c r="N3752" s="126"/>
    </row>
    <row r="3753" spans="1:15" s="3" customFormat="1" ht="9.9" customHeight="1">
      <c r="A3753" s="125"/>
      <c r="B3753" s="123"/>
      <c r="C3753" s="123"/>
      <c r="D3753" s="123"/>
      <c r="E3753" s="123"/>
      <c r="F3753" s="169"/>
      <c r="G3753" s="169"/>
      <c r="H3753" s="123"/>
      <c r="I3753" s="123"/>
      <c r="J3753" s="123"/>
      <c r="K3753" s="123"/>
      <c r="L3753" s="123"/>
      <c r="M3753" s="123"/>
      <c r="N3753" s="126"/>
    </row>
    <row r="3754" spans="1:15" s="3" customFormat="1" ht="25.2">
      <c r="A3754" s="125" t="s">
        <v>1891</v>
      </c>
      <c r="B3754" s="123"/>
      <c r="C3754" s="123"/>
      <c r="D3754" s="123"/>
      <c r="E3754" s="123"/>
      <c r="F3754" s="167" t="s">
        <v>1892</v>
      </c>
      <c r="G3754" s="123"/>
      <c r="H3754" s="123"/>
      <c r="I3754" s="123"/>
      <c r="J3754" s="123"/>
      <c r="K3754" s="123"/>
      <c r="L3754" s="123"/>
      <c r="M3754" s="123"/>
      <c r="N3754" s="126"/>
    </row>
    <row r="3755" spans="1:15" s="4" customFormat="1" ht="25.2">
      <c r="A3755" s="125" t="s">
        <v>1893</v>
      </c>
      <c r="B3755" s="123"/>
      <c r="C3755" s="123"/>
      <c r="D3755" s="123"/>
      <c r="E3755" s="123"/>
      <c r="F3755" s="167" t="s">
        <v>1894</v>
      </c>
      <c r="G3755" s="123"/>
      <c r="H3755" s="123"/>
      <c r="I3755" s="123"/>
      <c r="J3755" s="123"/>
      <c r="K3755" s="123"/>
      <c r="L3755" s="123"/>
      <c r="M3755" s="123"/>
      <c r="N3755" s="126"/>
    </row>
    <row r="3756" spans="1:15" s="3" customFormat="1" ht="9.9" customHeight="1">
      <c r="A3756" s="125"/>
      <c r="B3756" s="123"/>
      <c r="C3756" s="123"/>
      <c r="D3756" s="123"/>
      <c r="E3756" s="123"/>
      <c r="F3756" s="167"/>
      <c r="G3756" s="123"/>
      <c r="H3756" s="123"/>
      <c r="I3756" s="123"/>
      <c r="J3756" s="123"/>
      <c r="K3756" s="123"/>
      <c r="L3756" s="123"/>
      <c r="M3756" s="123"/>
      <c r="N3756" s="126"/>
    </row>
    <row r="3757" spans="1:15" s="3" customFormat="1" ht="25.2">
      <c r="A3757" s="125" t="s">
        <v>1895</v>
      </c>
      <c r="B3757" s="123"/>
      <c r="C3757" s="123"/>
      <c r="D3757" s="123"/>
      <c r="E3757" s="123"/>
      <c r="F3757" s="167" t="s">
        <v>1896</v>
      </c>
      <c r="G3757" s="167" t="str">
        <f>PL!$V$8</f>
        <v>PGU-DE-0139-001</v>
      </c>
      <c r="H3757" s="123"/>
      <c r="I3757" s="123"/>
      <c r="J3757" s="123"/>
      <c r="K3757" s="123"/>
      <c r="L3757" s="123"/>
      <c r="M3757" s="123"/>
      <c r="N3757" s="126"/>
    </row>
    <row r="3758" spans="1:15" s="3" customFormat="1" ht="25.2">
      <c r="A3758" s="125" t="s">
        <v>1897</v>
      </c>
      <c r="B3758" s="123"/>
      <c r="C3758" s="123"/>
      <c r="D3758" s="123"/>
      <c r="E3758" s="123"/>
      <c r="F3758" s="167"/>
      <c r="G3758" s="123"/>
      <c r="H3758" s="123"/>
      <c r="I3758" s="123"/>
      <c r="J3758" s="123"/>
      <c r="K3758" s="123"/>
      <c r="L3758" s="123"/>
      <c r="M3758" s="123"/>
      <c r="N3758" s="126"/>
    </row>
    <row r="3759" spans="1:15" s="3" customFormat="1" ht="9.9" customHeight="1">
      <c r="A3759" s="125"/>
      <c r="B3759" s="123"/>
      <c r="C3759" s="123"/>
      <c r="D3759" s="123"/>
      <c r="E3759" s="123"/>
      <c r="F3759" s="167"/>
      <c r="G3759" s="123"/>
      <c r="H3759" s="123"/>
      <c r="I3759" s="123"/>
      <c r="J3759" s="123"/>
      <c r="K3759" s="123"/>
      <c r="L3759" s="123"/>
      <c r="M3759" s="123"/>
      <c r="N3759" s="126"/>
    </row>
    <row r="3760" spans="1:15" s="3" customFormat="1" ht="31.2" customHeight="1">
      <c r="A3760" s="127" t="s">
        <v>1898</v>
      </c>
      <c r="B3760" s="170"/>
      <c r="C3760" s="170"/>
      <c r="D3760" s="170"/>
      <c r="E3760" s="170"/>
      <c r="F3760" s="171" t="s">
        <v>1885</v>
      </c>
      <c r="G3760" s="597" t="e">
        <f>VLOOKUP(G3763, 'Detail PL'!$B$14:$Q$799,2)</f>
        <v>#N/A</v>
      </c>
      <c r="H3760" s="597"/>
      <c r="I3760" s="597"/>
      <c r="J3760" s="597"/>
      <c r="K3760" s="597"/>
      <c r="L3760" s="597"/>
      <c r="M3760" s="597"/>
      <c r="N3760" s="128"/>
    </row>
    <row r="3761" spans="1:14" s="3" customFormat="1" ht="25.2">
      <c r="A3761" s="127" t="s">
        <v>1899</v>
      </c>
      <c r="B3761" s="170"/>
      <c r="C3761" s="170"/>
      <c r="D3761" s="170"/>
      <c r="E3761" s="170"/>
      <c r="F3761" s="171"/>
      <c r="G3761" s="170"/>
      <c r="H3761" s="170"/>
      <c r="I3761" s="170"/>
      <c r="J3761" s="170"/>
      <c r="K3761" s="170"/>
      <c r="L3761" s="170"/>
      <c r="M3761" s="170"/>
      <c r="N3761" s="128"/>
    </row>
    <row r="3762" spans="1:14" s="3" customFormat="1" ht="9.9" customHeight="1">
      <c r="A3762" s="125"/>
      <c r="B3762" s="123"/>
      <c r="C3762" s="123"/>
      <c r="D3762" s="123"/>
      <c r="E3762" s="123"/>
      <c r="F3762" s="167"/>
      <c r="G3762" s="123"/>
      <c r="H3762" s="123"/>
      <c r="I3762" s="123"/>
      <c r="J3762" s="123"/>
      <c r="K3762" s="123"/>
      <c r="L3762" s="123"/>
      <c r="M3762" s="123"/>
      <c r="N3762" s="126"/>
    </row>
    <row r="3763" spans="1:14" s="3" customFormat="1" ht="25.2">
      <c r="A3763" s="125" t="s">
        <v>1900</v>
      </c>
      <c r="B3763" s="123"/>
      <c r="C3763" s="123"/>
      <c r="D3763" s="123"/>
      <c r="E3763" s="123"/>
      <c r="F3763" s="171" t="s">
        <v>1901</v>
      </c>
      <c r="G3763" s="604">
        <f t="shared" ref="G3763" si="105">G3728+1</f>
        <v>108</v>
      </c>
      <c r="H3763" s="604"/>
      <c r="I3763" s="604"/>
      <c r="J3763" s="604"/>
      <c r="K3763" s="604"/>
      <c r="L3763" s="123"/>
      <c r="M3763" s="123"/>
      <c r="N3763" s="126"/>
    </row>
    <row r="3764" spans="1:14" s="4" customFormat="1" ht="25.2">
      <c r="A3764" s="125" t="s">
        <v>1903</v>
      </c>
      <c r="B3764" s="123"/>
      <c r="C3764" s="123"/>
      <c r="D3764" s="123"/>
      <c r="E3764" s="123"/>
      <c r="F3764" s="167"/>
      <c r="G3764" s="167"/>
      <c r="H3764" s="123"/>
      <c r="I3764" s="123"/>
      <c r="J3764" s="123"/>
      <c r="K3764" s="123"/>
      <c r="L3764" s="123"/>
      <c r="M3764" s="123"/>
      <c r="N3764" s="126"/>
    </row>
    <row r="3765" spans="1:14" s="3" customFormat="1" ht="9.9" customHeight="1">
      <c r="A3765" s="125"/>
      <c r="B3765" s="123"/>
      <c r="C3765" s="123"/>
      <c r="D3765" s="123"/>
      <c r="E3765" s="123"/>
      <c r="F3765" s="167"/>
      <c r="G3765" s="167"/>
      <c r="H3765" s="123"/>
      <c r="I3765" s="123"/>
      <c r="J3765" s="123"/>
      <c r="K3765" s="123"/>
      <c r="L3765" s="123"/>
      <c r="M3765" s="123"/>
      <c r="N3765" s="126"/>
    </row>
    <row r="3766" spans="1:14" s="3" customFormat="1" ht="25.2">
      <c r="A3766" s="125" t="s">
        <v>1904</v>
      </c>
      <c r="B3766" s="123"/>
      <c r="C3766" s="123"/>
      <c r="D3766" s="123"/>
      <c r="E3766" s="123"/>
      <c r="F3766" s="167" t="s">
        <v>1896</v>
      </c>
      <c r="G3766" s="204" t="e">
        <f>VLOOKUP(G3763, 'Detail PL'!$B$14:$Q$799, 10)</f>
        <v>#N/A</v>
      </c>
      <c r="H3766" s="204" t="s">
        <v>1905</v>
      </c>
      <c r="I3766" s="204"/>
      <c r="J3766" s="204"/>
      <c r="K3766" s="123"/>
      <c r="L3766" s="123"/>
      <c r="M3766" s="123"/>
      <c r="N3766" s="126"/>
    </row>
    <row r="3767" spans="1:14" s="4" customFormat="1" ht="25.2">
      <c r="A3767" s="125" t="s">
        <v>1906</v>
      </c>
      <c r="B3767" s="123"/>
      <c r="C3767" s="123"/>
      <c r="D3767" s="123"/>
      <c r="E3767" s="123"/>
      <c r="F3767" s="167"/>
      <c r="G3767" s="167"/>
      <c r="H3767" s="167"/>
      <c r="I3767" s="123"/>
      <c r="J3767" s="123"/>
      <c r="K3767" s="123"/>
      <c r="L3767" s="123"/>
      <c r="M3767" s="123"/>
      <c r="N3767" s="126"/>
    </row>
    <row r="3768" spans="1:14" s="3" customFormat="1" ht="9.9" customHeight="1">
      <c r="A3768" s="125"/>
      <c r="B3768" s="123"/>
      <c r="C3768" s="123"/>
      <c r="D3768" s="123"/>
      <c r="E3768" s="123"/>
      <c r="F3768" s="167"/>
      <c r="G3768" s="167"/>
      <c r="H3768" s="167"/>
      <c r="I3768" s="123"/>
      <c r="J3768" s="123"/>
      <c r="K3768" s="123"/>
      <c r="L3768" s="123"/>
      <c r="M3768" s="123"/>
      <c r="N3768" s="126"/>
    </row>
    <row r="3769" spans="1:14" s="3" customFormat="1" ht="25.2">
      <c r="A3769" s="125" t="s">
        <v>1907</v>
      </c>
      <c r="B3769" s="123"/>
      <c r="C3769" s="123"/>
      <c r="D3769" s="123"/>
      <c r="E3769" s="123"/>
      <c r="F3769" s="167" t="s">
        <v>1896</v>
      </c>
      <c r="G3769" s="204" t="e">
        <f>VLOOKUP(G3763, 'Detail PL'!$B$14:$Q$799, 11)</f>
        <v>#N/A</v>
      </c>
      <c r="H3769" s="204" t="s">
        <v>1905</v>
      </c>
      <c r="I3769" s="204"/>
      <c r="J3769" s="204"/>
      <c r="K3769" s="123"/>
      <c r="L3769" s="123"/>
      <c r="M3769" s="123"/>
      <c r="N3769" s="126"/>
    </row>
    <row r="3770" spans="1:14" s="4" customFormat="1" ht="25.2">
      <c r="A3770" s="125" t="s">
        <v>1908</v>
      </c>
      <c r="B3770" s="123"/>
      <c r="C3770" s="123"/>
      <c r="D3770" s="123"/>
      <c r="E3770" s="123"/>
      <c r="F3770" s="167"/>
      <c r="G3770" s="167"/>
      <c r="H3770" s="123"/>
      <c r="I3770" s="123"/>
      <c r="J3770" s="123"/>
      <c r="K3770" s="123"/>
      <c r="L3770" s="123"/>
      <c r="M3770" s="123"/>
      <c r="N3770" s="126"/>
    </row>
    <row r="3771" spans="1:14" s="3" customFormat="1" ht="9.9" customHeight="1">
      <c r="A3771" s="125"/>
      <c r="B3771" s="123"/>
      <c r="C3771" s="123"/>
      <c r="D3771" s="123"/>
      <c r="E3771" s="123"/>
      <c r="F3771" s="167"/>
      <c r="G3771" s="167"/>
      <c r="H3771" s="123"/>
      <c r="I3771" s="123"/>
      <c r="J3771" s="123"/>
      <c r="K3771" s="123"/>
      <c r="L3771" s="123"/>
      <c r="M3771" s="123"/>
      <c r="N3771" s="126"/>
    </row>
    <row r="3772" spans="1:14" s="3" customFormat="1" ht="25.2">
      <c r="A3772" s="129" t="s">
        <v>1909</v>
      </c>
      <c r="B3772" s="123"/>
      <c r="C3772" s="123"/>
      <c r="D3772" s="123"/>
      <c r="E3772" s="123"/>
      <c r="F3772" s="167" t="s">
        <v>1896</v>
      </c>
      <c r="G3772" s="204" t="e">
        <f>VLOOKUP(G3763, 'Detail PL'!$B$14:$Q$799, 9)</f>
        <v>#N/A</v>
      </c>
      <c r="H3772" s="205" t="s">
        <v>1910</v>
      </c>
      <c r="I3772" s="203"/>
      <c r="J3772" s="203"/>
      <c r="K3772" s="172"/>
      <c r="L3772" s="123"/>
      <c r="M3772" s="123"/>
      <c r="N3772" s="126"/>
    </row>
    <row r="3773" spans="1:14" s="4" customFormat="1" ht="25.2">
      <c r="A3773" s="125" t="s">
        <v>1911</v>
      </c>
      <c r="B3773" s="123"/>
      <c r="C3773" s="123"/>
      <c r="D3773" s="123"/>
      <c r="E3773" s="123"/>
      <c r="F3773" s="167"/>
      <c r="G3773" s="167"/>
      <c r="H3773" s="123"/>
      <c r="I3773" s="123"/>
      <c r="J3773" s="123"/>
      <c r="K3773" s="123"/>
      <c r="L3773" s="123"/>
      <c r="M3773" s="123"/>
      <c r="N3773" s="126"/>
    </row>
    <row r="3774" spans="1:14" s="3" customFormat="1" ht="9.9" customHeight="1">
      <c r="A3774" s="125"/>
      <c r="B3774" s="123"/>
      <c r="C3774" s="123"/>
      <c r="D3774" s="123"/>
      <c r="E3774" s="123"/>
      <c r="F3774" s="167"/>
      <c r="G3774" s="167"/>
      <c r="H3774" s="123"/>
      <c r="I3774" s="123"/>
      <c r="J3774" s="123"/>
      <c r="K3774" s="123"/>
      <c r="L3774" s="123"/>
      <c r="M3774" s="123"/>
      <c r="N3774" s="126"/>
    </row>
    <row r="3775" spans="1:14" s="3" customFormat="1" ht="42" customHeight="1">
      <c r="A3775" s="125" t="s">
        <v>1912</v>
      </c>
      <c r="B3775" s="123"/>
      <c r="C3775" s="123"/>
      <c r="D3775" s="123"/>
      <c r="E3775" s="123"/>
      <c r="F3775" s="166" t="s">
        <v>1913</v>
      </c>
      <c r="G3775" s="595" t="s">
        <v>1914</v>
      </c>
      <c r="H3775" s="595"/>
      <c r="I3775" s="595"/>
      <c r="J3775" s="595"/>
      <c r="K3775" s="595"/>
      <c r="L3775" s="595"/>
      <c r="M3775" s="595"/>
      <c r="N3775" s="596"/>
    </row>
    <row r="3776" spans="1:14" s="4" customFormat="1" ht="25.8" thickBot="1">
      <c r="A3776" s="125" t="s">
        <v>1915</v>
      </c>
      <c r="B3776" s="123"/>
      <c r="C3776" s="123"/>
      <c r="D3776" s="123"/>
      <c r="E3776" s="123"/>
      <c r="F3776" s="167"/>
      <c r="G3776" s="167"/>
      <c r="H3776" s="123"/>
      <c r="I3776" s="123"/>
      <c r="J3776" s="123"/>
      <c r="K3776" s="123"/>
      <c r="L3776" s="123"/>
      <c r="M3776" s="123"/>
      <c r="N3776" s="126"/>
    </row>
    <row r="3777" spans="1:15" ht="21" customHeight="1">
      <c r="A3777" s="598" t="s">
        <v>1916</v>
      </c>
      <c r="B3777" s="599"/>
      <c r="C3777" s="599"/>
      <c r="D3777" s="599"/>
      <c r="E3777" s="599"/>
      <c r="F3777" s="599"/>
      <c r="G3777" s="599"/>
      <c r="H3777" s="599"/>
      <c r="I3777" s="599"/>
      <c r="J3777" s="599"/>
      <c r="K3777" s="599"/>
      <c r="L3777" s="599"/>
      <c r="M3777" s="599"/>
      <c r="N3777" s="600"/>
    </row>
    <row r="3778" spans="1:15" ht="25.5" customHeight="1" thickBot="1">
      <c r="A3778" s="601"/>
      <c r="B3778" s="602"/>
      <c r="C3778" s="602"/>
      <c r="D3778" s="602"/>
      <c r="E3778" s="602"/>
      <c r="F3778" s="602"/>
      <c r="G3778" s="602"/>
      <c r="H3778" s="602"/>
      <c r="I3778" s="602"/>
      <c r="J3778" s="602"/>
      <c r="K3778" s="602"/>
      <c r="L3778" s="602"/>
      <c r="M3778" s="602"/>
      <c r="N3778" s="603"/>
    </row>
    <row r="3779" spans="1:15" ht="25.5" customHeight="1">
      <c r="E3779" s="206"/>
      <c r="F3779" s="206"/>
      <c r="G3779" s="206"/>
      <c r="H3779" s="206"/>
      <c r="I3779" s="206"/>
      <c r="J3779" s="206"/>
      <c r="K3779" s="206"/>
    </row>
    <row r="3780" spans="1:15" ht="21.6" thickBot="1"/>
    <row r="3781" spans="1:15" ht="95.25" customHeight="1" thickBot="1">
      <c r="A3781" s="592" t="s">
        <v>1883</v>
      </c>
      <c r="B3781" s="593"/>
      <c r="C3781" s="593"/>
      <c r="D3781" s="593"/>
      <c r="E3781" s="593"/>
      <c r="F3781" s="593"/>
      <c r="G3781" s="593"/>
      <c r="H3781" s="593"/>
      <c r="I3781" s="593"/>
      <c r="J3781" s="593"/>
      <c r="K3781" s="593"/>
      <c r="L3781" s="593"/>
      <c r="M3781" s="593"/>
      <c r="N3781" s="594"/>
    </row>
    <row r="3782" spans="1:15" s="3" customFormat="1" ht="37.5" customHeight="1">
      <c r="A3782" s="134" t="s">
        <v>1884</v>
      </c>
      <c r="B3782" s="166"/>
      <c r="C3782" s="166"/>
      <c r="D3782" s="123"/>
      <c r="E3782" s="123"/>
      <c r="F3782" s="167" t="s">
        <v>1885</v>
      </c>
      <c r="G3782" s="167" t="s">
        <v>1886</v>
      </c>
      <c r="H3782" s="167"/>
      <c r="I3782" s="167"/>
      <c r="J3782" s="167"/>
      <c r="K3782" s="167"/>
      <c r="L3782" s="167"/>
      <c r="M3782" s="167"/>
      <c r="N3782" s="152"/>
      <c r="O3782" s="201"/>
    </row>
    <row r="3783" spans="1:15" s="4" customFormat="1" ht="25.2">
      <c r="A3783" s="125" t="s">
        <v>1887</v>
      </c>
      <c r="B3783" s="123"/>
      <c r="C3783" s="123"/>
      <c r="D3783" s="123"/>
      <c r="E3783" s="123"/>
      <c r="F3783" s="167"/>
      <c r="G3783" s="167" t="s">
        <v>1888</v>
      </c>
      <c r="H3783" s="167"/>
      <c r="I3783" s="167"/>
      <c r="J3783" s="167"/>
      <c r="K3783" s="167"/>
      <c r="L3783" s="167"/>
      <c r="M3783" s="167"/>
      <c r="N3783" s="152"/>
    </row>
    <row r="3784" spans="1:15" s="3" customFormat="1" ht="9.9" customHeight="1">
      <c r="A3784" s="125"/>
      <c r="B3784" s="123"/>
      <c r="C3784" s="123"/>
      <c r="D3784" s="123"/>
      <c r="E3784" s="123"/>
      <c r="F3784" s="167"/>
      <c r="G3784" s="123"/>
      <c r="H3784" s="123"/>
      <c r="I3784" s="123"/>
      <c r="J3784" s="123"/>
      <c r="K3784" s="123"/>
      <c r="L3784" s="123"/>
      <c r="M3784" s="123"/>
      <c r="N3784" s="126"/>
    </row>
    <row r="3785" spans="1:15" s="3" customFormat="1" ht="42.75" customHeight="1">
      <c r="A3785" s="125" t="s">
        <v>1889</v>
      </c>
      <c r="B3785" s="123"/>
      <c r="C3785" s="123"/>
      <c r="D3785" s="123"/>
      <c r="E3785" s="123"/>
      <c r="F3785" s="167" t="s">
        <v>1885</v>
      </c>
      <c r="G3785" s="167" t="str">
        <f>PL!$B$13</f>
        <v>Branch of JSC "Doosan Enerbility" in the Turkestan region</v>
      </c>
      <c r="H3785" s="123"/>
      <c r="I3785" s="123"/>
      <c r="J3785" s="123"/>
      <c r="K3785" s="123"/>
      <c r="L3785" s="123"/>
      <c r="M3785" s="123"/>
      <c r="N3785" s="126"/>
    </row>
    <row r="3786" spans="1:15" s="3" customFormat="1" ht="24" customHeight="1">
      <c r="A3786" s="125" t="s">
        <v>1890</v>
      </c>
      <c r="B3786" s="123"/>
      <c r="C3786" s="123"/>
      <c r="D3786" s="123"/>
      <c r="E3786" s="123"/>
      <c r="F3786" s="168"/>
      <c r="G3786" s="167" t="str">
        <f>PL!$B$14</f>
        <v>321 Tauke Khan Avenue, Turkestan region, Turkestan, Kazakhstan, 161200</v>
      </c>
      <c r="H3786" s="123"/>
      <c r="I3786" s="123"/>
      <c r="J3786" s="123"/>
      <c r="K3786" s="123"/>
      <c r="L3786" s="123"/>
      <c r="M3786" s="123"/>
      <c r="N3786" s="126"/>
    </row>
    <row r="3787" spans="1:15" s="4" customFormat="1" ht="25.2">
      <c r="A3787" s="125"/>
      <c r="B3787" s="123"/>
      <c r="C3787" s="123"/>
      <c r="D3787" s="123"/>
      <c r="E3787" s="123"/>
      <c r="F3787" s="168"/>
      <c r="G3787" s="167" t="str">
        <f>PL!$B$15</f>
        <v>BIN: 230741006561</v>
      </c>
      <c r="H3787" s="123"/>
      <c r="I3787" s="123"/>
      <c r="J3787" s="123"/>
      <c r="K3787" s="123"/>
      <c r="L3787" s="123"/>
      <c r="M3787" s="123"/>
      <c r="N3787" s="126"/>
    </row>
    <row r="3788" spans="1:15" s="3" customFormat="1" ht="9.9" customHeight="1">
      <c r="A3788" s="125"/>
      <c r="B3788" s="123"/>
      <c r="C3788" s="123"/>
      <c r="D3788" s="123"/>
      <c r="E3788" s="123"/>
      <c r="F3788" s="169"/>
      <c r="G3788" s="169"/>
      <c r="H3788" s="123"/>
      <c r="I3788" s="123"/>
      <c r="J3788" s="123"/>
      <c r="K3788" s="123"/>
      <c r="L3788" s="123"/>
      <c r="M3788" s="123"/>
      <c r="N3788" s="126"/>
    </row>
    <row r="3789" spans="1:15" s="3" customFormat="1" ht="25.2">
      <c r="A3789" s="125" t="s">
        <v>1891</v>
      </c>
      <c r="B3789" s="123"/>
      <c r="C3789" s="123"/>
      <c r="D3789" s="123"/>
      <c r="E3789" s="123"/>
      <c r="F3789" s="167" t="s">
        <v>1892</v>
      </c>
      <c r="G3789" s="123"/>
      <c r="H3789" s="123"/>
      <c r="I3789" s="123"/>
      <c r="J3789" s="123"/>
      <c r="K3789" s="123"/>
      <c r="L3789" s="123"/>
      <c r="M3789" s="123"/>
      <c r="N3789" s="126"/>
    </row>
    <row r="3790" spans="1:15" s="4" customFormat="1" ht="25.2">
      <c r="A3790" s="125" t="s">
        <v>1893</v>
      </c>
      <c r="B3790" s="123"/>
      <c r="C3790" s="123"/>
      <c r="D3790" s="123"/>
      <c r="E3790" s="123"/>
      <c r="F3790" s="167" t="s">
        <v>1894</v>
      </c>
      <c r="G3790" s="123"/>
      <c r="H3790" s="123"/>
      <c r="I3790" s="123"/>
      <c r="J3790" s="123"/>
      <c r="K3790" s="123"/>
      <c r="L3790" s="123"/>
      <c r="M3790" s="123"/>
      <c r="N3790" s="126"/>
    </row>
    <row r="3791" spans="1:15" s="3" customFormat="1" ht="9.9" customHeight="1">
      <c r="A3791" s="125"/>
      <c r="B3791" s="123"/>
      <c r="C3791" s="123"/>
      <c r="D3791" s="123"/>
      <c r="E3791" s="123"/>
      <c r="F3791" s="167"/>
      <c r="G3791" s="123"/>
      <c r="H3791" s="123"/>
      <c r="I3791" s="123"/>
      <c r="J3791" s="123"/>
      <c r="K3791" s="123"/>
      <c r="L3791" s="123"/>
      <c r="M3791" s="123"/>
      <c r="N3791" s="126"/>
    </row>
    <row r="3792" spans="1:15" s="3" customFormat="1" ht="25.2">
      <c r="A3792" s="125" t="s">
        <v>1895</v>
      </c>
      <c r="B3792" s="123"/>
      <c r="C3792" s="123"/>
      <c r="D3792" s="123"/>
      <c r="E3792" s="123"/>
      <c r="F3792" s="167" t="s">
        <v>1896</v>
      </c>
      <c r="G3792" s="167" t="str">
        <f>PL!$V$8</f>
        <v>PGU-DE-0139-001</v>
      </c>
      <c r="H3792" s="123"/>
      <c r="I3792" s="123"/>
      <c r="J3792" s="123"/>
      <c r="K3792" s="123"/>
      <c r="L3792" s="123"/>
      <c r="M3792" s="123"/>
      <c r="N3792" s="126"/>
    </row>
    <row r="3793" spans="1:14" s="3" customFormat="1" ht="25.2">
      <c r="A3793" s="125" t="s">
        <v>1897</v>
      </c>
      <c r="B3793" s="123"/>
      <c r="C3793" s="123"/>
      <c r="D3793" s="123"/>
      <c r="E3793" s="123"/>
      <c r="F3793" s="167"/>
      <c r="G3793" s="123"/>
      <c r="H3793" s="123"/>
      <c r="I3793" s="123"/>
      <c r="J3793" s="123"/>
      <c r="K3793" s="123"/>
      <c r="L3793" s="123"/>
      <c r="M3793" s="123"/>
      <c r="N3793" s="126"/>
    </row>
    <row r="3794" spans="1:14" s="3" customFormat="1" ht="9.9" customHeight="1">
      <c r="A3794" s="125"/>
      <c r="B3794" s="123"/>
      <c r="C3794" s="123"/>
      <c r="D3794" s="123"/>
      <c r="E3794" s="123"/>
      <c r="F3794" s="167"/>
      <c r="G3794" s="123"/>
      <c r="H3794" s="123"/>
      <c r="I3794" s="123"/>
      <c r="J3794" s="123"/>
      <c r="K3794" s="123"/>
      <c r="L3794" s="123"/>
      <c r="M3794" s="123"/>
      <c r="N3794" s="126"/>
    </row>
    <row r="3795" spans="1:14" s="3" customFormat="1" ht="31.2" customHeight="1">
      <c r="A3795" s="127" t="s">
        <v>1898</v>
      </c>
      <c r="B3795" s="170"/>
      <c r="C3795" s="170"/>
      <c r="D3795" s="170"/>
      <c r="E3795" s="170"/>
      <c r="F3795" s="171" t="s">
        <v>1885</v>
      </c>
      <c r="G3795" s="597" t="e">
        <f>VLOOKUP(G3798, 'Detail PL'!$B$14:$Q$799,2)</f>
        <v>#N/A</v>
      </c>
      <c r="H3795" s="597"/>
      <c r="I3795" s="597"/>
      <c r="J3795" s="597"/>
      <c r="K3795" s="597"/>
      <c r="L3795" s="597"/>
      <c r="M3795" s="597"/>
      <c r="N3795" s="128"/>
    </row>
    <row r="3796" spans="1:14" s="3" customFormat="1" ht="25.2">
      <c r="A3796" s="127" t="s">
        <v>1899</v>
      </c>
      <c r="B3796" s="170"/>
      <c r="C3796" s="170"/>
      <c r="D3796" s="170"/>
      <c r="E3796" s="170"/>
      <c r="F3796" s="171"/>
      <c r="G3796" s="170"/>
      <c r="H3796" s="170"/>
      <c r="I3796" s="170"/>
      <c r="J3796" s="170"/>
      <c r="K3796" s="170"/>
      <c r="L3796" s="170"/>
      <c r="M3796" s="170"/>
      <c r="N3796" s="128"/>
    </row>
    <row r="3797" spans="1:14" s="3" customFormat="1" ht="9.9" customHeight="1">
      <c r="A3797" s="125"/>
      <c r="B3797" s="123"/>
      <c r="C3797" s="123"/>
      <c r="D3797" s="123"/>
      <c r="E3797" s="123"/>
      <c r="F3797" s="167"/>
      <c r="G3797" s="123"/>
      <c r="H3797" s="123"/>
      <c r="I3797" s="123"/>
      <c r="J3797" s="123"/>
      <c r="K3797" s="123"/>
      <c r="L3797" s="123"/>
      <c r="M3797" s="123"/>
      <c r="N3797" s="126"/>
    </row>
    <row r="3798" spans="1:14" s="3" customFormat="1" ht="25.2">
      <c r="A3798" s="125" t="s">
        <v>1900</v>
      </c>
      <c r="B3798" s="123"/>
      <c r="C3798" s="123"/>
      <c r="D3798" s="123"/>
      <c r="E3798" s="123"/>
      <c r="F3798" s="171" t="s">
        <v>1901</v>
      </c>
      <c r="G3798" s="604">
        <f t="shared" ref="G3798" si="106">G3763+1</f>
        <v>109</v>
      </c>
      <c r="H3798" s="604"/>
      <c r="I3798" s="604"/>
      <c r="J3798" s="604"/>
      <c r="K3798" s="604"/>
      <c r="L3798" s="123"/>
      <c r="M3798" s="123"/>
      <c r="N3798" s="126"/>
    </row>
    <row r="3799" spans="1:14" s="4" customFormat="1" ht="25.2">
      <c r="A3799" s="125" t="s">
        <v>1903</v>
      </c>
      <c r="B3799" s="123"/>
      <c r="C3799" s="123"/>
      <c r="D3799" s="123"/>
      <c r="E3799" s="123"/>
      <c r="F3799" s="167"/>
      <c r="G3799" s="167"/>
      <c r="H3799" s="123"/>
      <c r="I3799" s="123"/>
      <c r="J3799" s="123"/>
      <c r="K3799" s="123"/>
      <c r="L3799" s="123"/>
      <c r="M3799" s="123"/>
      <c r="N3799" s="126"/>
    </row>
    <row r="3800" spans="1:14" s="3" customFormat="1" ht="9.9" customHeight="1">
      <c r="A3800" s="125"/>
      <c r="B3800" s="123"/>
      <c r="C3800" s="123"/>
      <c r="D3800" s="123"/>
      <c r="E3800" s="123"/>
      <c r="F3800" s="167"/>
      <c r="G3800" s="167"/>
      <c r="H3800" s="123"/>
      <c r="I3800" s="123"/>
      <c r="J3800" s="123"/>
      <c r="K3800" s="123"/>
      <c r="L3800" s="123"/>
      <c r="M3800" s="123"/>
      <c r="N3800" s="126"/>
    </row>
    <row r="3801" spans="1:14" s="3" customFormat="1" ht="25.2">
      <c r="A3801" s="125" t="s">
        <v>1904</v>
      </c>
      <c r="B3801" s="123"/>
      <c r="C3801" s="123"/>
      <c r="D3801" s="123"/>
      <c r="E3801" s="123"/>
      <c r="F3801" s="167" t="s">
        <v>1896</v>
      </c>
      <c r="G3801" s="204" t="e">
        <f>VLOOKUP(G3798, 'Detail PL'!$B$14:$Q$799, 10)</f>
        <v>#N/A</v>
      </c>
      <c r="H3801" s="204" t="s">
        <v>1905</v>
      </c>
      <c r="I3801" s="204"/>
      <c r="J3801" s="204"/>
      <c r="K3801" s="123"/>
      <c r="L3801" s="123"/>
      <c r="M3801" s="123"/>
      <c r="N3801" s="126"/>
    </row>
    <row r="3802" spans="1:14" s="4" customFormat="1" ht="25.2">
      <c r="A3802" s="125" t="s">
        <v>1906</v>
      </c>
      <c r="B3802" s="123"/>
      <c r="C3802" s="123"/>
      <c r="D3802" s="123"/>
      <c r="E3802" s="123"/>
      <c r="F3802" s="167"/>
      <c r="G3802" s="167"/>
      <c r="H3802" s="167"/>
      <c r="I3802" s="123"/>
      <c r="J3802" s="123"/>
      <c r="K3802" s="123"/>
      <c r="L3802" s="123"/>
      <c r="M3802" s="123"/>
      <c r="N3802" s="126"/>
    </row>
    <row r="3803" spans="1:14" s="3" customFormat="1" ht="9.9" customHeight="1">
      <c r="A3803" s="125"/>
      <c r="B3803" s="123"/>
      <c r="C3803" s="123"/>
      <c r="D3803" s="123"/>
      <c r="E3803" s="123"/>
      <c r="F3803" s="167"/>
      <c r="G3803" s="167"/>
      <c r="H3803" s="167"/>
      <c r="I3803" s="123"/>
      <c r="J3803" s="123"/>
      <c r="K3803" s="123"/>
      <c r="L3803" s="123"/>
      <c r="M3803" s="123"/>
      <c r="N3803" s="126"/>
    </row>
    <row r="3804" spans="1:14" s="3" customFormat="1" ht="25.2">
      <c r="A3804" s="125" t="s">
        <v>1907</v>
      </c>
      <c r="B3804" s="123"/>
      <c r="C3804" s="123"/>
      <c r="D3804" s="123"/>
      <c r="E3804" s="123"/>
      <c r="F3804" s="167" t="s">
        <v>1896</v>
      </c>
      <c r="G3804" s="204" t="e">
        <f>VLOOKUP(G3798, 'Detail PL'!$B$14:$Q$799, 11)</f>
        <v>#N/A</v>
      </c>
      <c r="H3804" s="204" t="s">
        <v>1905</v>
      </c>
      <c r="I3804" s="204"/>
      <c r="J3804" s="204"/>
      <c r="K3804" s="123"/>
      <c r="L3804" s="123"/>
      <c r="M3804" s="123"/>
      <c r="N3804" s="126"/>
    </row>
    <row r="3805" spans="1:14" s="4" customFormat="1" ht="25.2">
      <c r="A3805" s="125" t="s">
        <v>1908</v>
      </c>
      <c r="B3805" s="123"/>
      <c r="C3805" s="123"/>
      <c r="D3805" s="123"/>
      <c r="E3805" s="123"/>
      <c r="F3805" s="167"/>
      <c r="G3805" s="167"/>
      <c r="H3805" s="123"/>
      <c r="I3805" s="123"/>
      <c r="J3805" s="123"/>
      <c r="K3805" s="123"/>
      <c r="L3805" s="123"/>
      <c r="M3805" s="123"/>
      <c r="N3805" s="126"/>
    </row>
    <row r="3806" spans="1:14" s="3" customFormat="1" ht="9.9" customHeight="1">
      <c r="A3806" s="125"/>
      <c r="B3806" s="123"/>
      <c r="C3806" s="123"/>
      <c r="D3806" s="123"/>
      <c r="E3806" s="123"/>
      <c r="F3806" s="167"/>
      <c r="G3806" s="167"/>
      <c r="H3806" s="123"/>
      <c r="I3806" s="123"/>
      <c r="J3806" s="123"/>
      <c r="K3806" s="123"/>
      <c r="L3806" s="123"/>
      <c r="M3806" s="123"/>
      <c r="N3806" s="126"/>
    </row>
    <row r="3807" spans="1:14" s="3" customFormat="1" ht="25.2">
      <c r="A3807" s="129" t="s">
        <v>1909</v>
      </c>
      <c r="B3807" s="123"/>
      <c r="C3807" s="123"/>
      <c r="D3807" s="123"/>
      <c r="E3807" s="123"/>
      <c r="F3807" s="167" t="s">
        <v>1896</v>
      </c>
      <c r="G3807" s="204" t="e">
        <f>VLOOKUP(G3798, 'Detail PL'!$B$14:$Q$799, 9)</f>
        <v>#N/A</v>
      </c>
      <c r="H3807" s="205" t="s">
        <v>1910</v>
      </c>
      <c r="I3807" s="203"/>
      <c r="J3807" s="203"/>
      <c r="K3807" s="172"/>
      <c r="L3807" s="123"/>
      <c r="M3807" s="123"/>
      <c r="N3807" s="126"/>
    </row>
    <row r="3808" spans="1:14" s="4" customFormat="1" ht="25.2">
      <c r="A3808" s="125" t="s">
        <v>1911</v>
      </c>
      <c r="B3808" s="123"/>
      <c r="C3808" s="123"/>
      <c r="D3808" s="123"/>
      <c r="E3808" s="123"/>
      <c r="F3808" s="167"/>
      <c r="G3808" s="167"/>
      <c r="H3808" s="123"/>
      <c r="I3808" s="123"/>
      <c r="J3808" s="123"/>
      <c r="K3808" s="123"/>
      <c r="L3808" s="123"/>
      <c r="M3808" s="123"/>
      <c r="N3808" s="126"/>
    </row>
    <row r="3809" spans="1:15" s="3" customFormat="1" ht="9.9" customHeight="1">
      <c r="A3809" s="125"/>
      <c r="B3809" s="123"/>
      <c r="C3809" s="123"/>
      <c r="D3809" s="123"/>
      <c r="E3809" s="123"/>
      <c r="F3809" s="167"/>
      <c r="G3809" s="167"/>
      <c r="H3809" s="123"/>
      <c r="I3809" s="123"/>
      <c r="J3809" s="123"/>
      <c r="K3809" s="123"/>
      <c r="L3809" s="123"/>
      <c r="M3809" s="123"/>
      <c r="N3809" s="126"/>
    </row>
    <row r="3810" spans="1:15" s="3" customFormat="1" ht="42" customHeight="1">
      <c r="A3810" s="125" t="s">
        <v>1912</v>
      </c>
      <c r="B3810" s="123"/>
      <c r="C3810" s="123"/>
      <c r="D3810" s="123"/>
      <c r="E3810" s="123"/>
      <c r="F3810" s="166" t="s">
        <v>1913</v>
      </c>
      <c r="G3810" s="595" t="s">
        <v>1914</v>
      </c>
      <c r="H3810" s="595"/>
      <c r="I3810" s="595"/>
      <c r="J3810" s="595"/>
      <c r="K3810" s="595"/>
      <c r="L3810" s="595"/>
      <c r="M3810" s="595"/>
      <c r="N3810" s="596"/>
    </row>
    <row r="3811" spans="1:15" s="4" customFormat="1" ht="25.8" thickBot="1">
      <c r="A3811" s="125" t="s">
        <v>1915</v>
      </c>
      <c r="B3811" s="123"/>
      <c r="C3811" s="123"/>
      <c r="D3811" s="123"/>
      <c r="E3811" s="123"/>
      <c r="F3811" s="167"/>
      <c r="G3811" s="167"/>
      <c r="H3811" s="123"/>
      <c r="I3811" s="123"/>
      <c r="J3811" s="123"/>
      <c r="K3811" s="123"/>
      <c r="L3811" s="123"/>
      <c r="M3811" s="123"/>
      <c r="N3811" s="126"/>
    </row>
    <row r="3812" spans="1:15" ht="21" customHeight="1">
      <c r="A3812" s="598" t="s">
        <v>1916</v>
      </c>
      <c r="B3812" s="599"/>
      <c r="C3812" s="599"/>
      <c r="D3812" s="599"/>
      <c r="E3812" s="599"/>
      <c r="F3812" s="599"/>
      <c r="G3812" s="599"/>
      <c r="H3812" s="599"/>
      <c r="I3812" s="599"/>
      <c r="J3812" s="599"/>
      <c r="K3812" s="599"/>
      <c r="L3812" s="599"/>
      <c r="M3812" s="599"/>
      <c r="N3812" s="600"/>
    </row>
    <row r="3813" spans="1:15" ht="25.5" customHeight="1" thickBot="1">
      <c r="A3813" s="601"/>
      <c r="B3813" s="602"/>
      <c r="C3813" s="602"/>
      <c r="D3813" s="602"/>
      <c r="E3813" s="602"/>
      <c r="F3813" s="602"/>
      <c r="G3813" s="602"/>
      <c r="H3813" s="602"/>
      <c r="I3813" s="602"/>
      <c r="J3813" s="602"/>
      <c r="K3813" s="602"/>
      <c r="L3813" s="602"/>
      <c r="M3813" s="602"/>
      <c r="N3813" s="603"/>
    </row>
    <row r="3814" spans="1:15" ht="25.5" customHeight="1">
      <c r="E3814" s="206"/>
      <c r="F3814" s="206"/>
      <c r="G3814" s="206"/>
      <c r="H3814" s="206"/>
      <c r="I3814" s="206"/>
      <c r="J3814" s="206"/>
      <c r="K3814" s="206"/>
    </row>
    <row r="3815" spans="1:15" ht="21.6" thickBot="1"/>
    <row r="3816" spans="1:15" ht="95.25" customHeight="1" thickBot="1">
      <c r="A3816" s="592" t="s">
        <v>1883</v>
      </c>
      <c r="B3816" s="593"/>
      <c r="C3816" s="593"/>
      <c r="D3816" s="593"/>
      <c r="E3816" s="593"/>
      <c r="F3816" s="593"/>
      <c r="G3816" s="593"/>
      <c r="H3816" s="593"/>
      <c r="I3816" s="593"/>
      <c r="J3816" s="593"/>
      <c r="K3816" s="593"/>
      <c r="L3816" s="593"/>
      <c r="M3816" s="593"/>
      <c r="N3816" s="594"/>
    </row>
    <row r="3817" spans="1:15" s="3" customFormat="1" ht="37.5" customHeight="1">
      <c r="A3817" s="134" t="s">
        <v>1884</v>
      </c>
      <c r="B3817" s="166"/>
      <c r="C3817" s="166"/>
      <c r="D3817" s="123"/>
      <c r="E3817" s="123"/>
      <c r="F3817" s="167" t="s">
        <v>1885</v>
      </c>
      <c r="G3817" s="167" t="s">
        <v>1886</v>
      </c>
      <c r="H3817" s="167"/>
      <c r="I3817" s="167"/>
      <c r="J3817" s="167"/>
      <c r="K3817" s="167"/>
      <c r="L3817" s="167"/>
      <c r="M3817" s="167"/>
      <c r="N3817" s="152"/>
      <c r="O3817" s="201"/>
    </row>
    <row r="3818" spans="1:15" s="4" customFormat="1" ht="25.2">
      <c r="A3818" s="125" t="s">
        <v>1887</v>
      </c>
      <c r="B3818" s="123"/>
      <c r="C3818" s="123"/>
      <c r="D3818" s="123"/>
      <c r="E3818" s="123"/>
      <c r="F3818" s="167"/>
      <c r="G3818" s="167" t="s">
        <v>1888</v>
      </c>
      <c r="H3818" s="167"/>
      <c r="I3818" s="167"/>
      <c r="J3818" s="167"/>
      <c r="K3818" s="167"/>
      <c r="L3818" s="167"/>
      <c r="M3818" s="167"/>
      <c r="N3818" s="152"/>
    </row>
    <row r="3819" spans="1:15" s="3" customFormat="1" ht="9.9" customHeight="1">
      <c r="A3819" s="125"/>
      <c r="B3819" s="123"/>
      <c r="C3819" s="123"/>
      <c r="D3819" s="123"/>
      <c r="E3819" s="123"/>
      <c r="F3819" s="167"/>
      <c r="G3819" s="123"/>
      <c r="H3819" s="123"/>
      <c r="I3819" s="123"/>
      <c r="J3819" s="123"/>
      <c r="K3819" s="123"/>
      <c r="L3819" s="123"/>
      <c r="M3819" s="123"/>
      <c r="N3819" s="126"/>
    </row>
    <row r="3820" spans="1:15" s="3" customFormat="1" ht="42.75" customHeight="1">
      <c r="A3820" s="125" t="s">
        <v>1889</v>
      </c>
      <c r="B3820" s="123"/>
      <c r="C3820" s="123"/>
      <c r="D3820" s="123"/>
      <c r="E3820" s="123"/>
      <c r="F3820" s="167" t="s">
        <v>1885</v>
      </c>
      <c r="G3820" s="167" t="str">
        <f>PL!$B$13</f>
        <v>Branch of JSC "Doosan Enerbility" in the Turkestan region</v>
      </c>
      <c r="H3820" s="123"/>
      <c r="I3820" s="123"/>
      <c r="J3820" s="123"/>
      <c r="K3820" s="123"/>
      <c r="L3820" s="123"/>
      <c r="M3820" s="123"/>
      <c r="N3820" s="126"/>
    </row>
    <row r="3821" spans="1:15" s="3" customFormat="1" ht="24" customHeight="1">
      <c r="A3821" s="125" t="s">
        <v>1890</v>
      </c>
      <c r="B3821" s="123"/>
      <c r="C3821" s="123"/>
      <c r="D3821" s="123"/>
      <c r="E3821" s="123"/>
      <c r="F3821" s="168"/>
      <c r="G3821" s="167" t="str">
        <f>PL!$B$14</f>
        <v>321 Tauke Khan Avenue, Turkestan region, Turkestan, Kazakhstan, 161200</v>
      </c>
      <c r="H3821" s="123"/>
      <c r="I3821" s="123"/>
      <c r="J3821" s="123"/>
      <c r="K3821" s="123"/>
      <c r="L3821" s="123"/>
      <c r="M3821" s="123"/>
      <c r="N3821" s="126"/>
    </row>
    <row r="3822" spans="1:15" s="4" customFormat="1" ht="25.2">
      <c r="A3822" s="125"/>
      <c r="B3822" s="123"/>
      <c r="C3822" s="123"/>
      <c r="D3822" s="123"/>
      <c r="E3822" s="123"/>
      <c r="F3822" s="168"/>
      <c r="G3822" s="167" t="str">
        <f>PL!$B$15</f>
        <v>BIN: 230741006561</v>
      </c>
      <c r="H3822" s="123"/>
      <c r="I3822" s="123"/>
      <c r="J3822" s="123"/>
      <c r="K3822" s="123"/>
      <c r="L3822" s="123"/>
      <c r="M3822" s="123"/>
      <c r="N3822" s="126"/>
    </row>
    <row r="3823" spans="1:15" s="3" customFormat="1" ht="9.9" customHeight="1">
      <c r="A3823" s="125"/>
      <c r="B3823" s="123"/>
      <c r="C3823" s="123"/>
      <c r="D3823" s="123"/>
      <c r="E3823" s="123"/>
      <c r="F3823" s="169"/>
      <c r="G3823" s="169"/>
      <c r="H3823" s="123"/>
      <c r="I3823" s="123"/>
      <c r="J3823" s="123"/>
      <c r="K3823" s="123"/>
      <c r="L3823" s="123"/>
      <c r="M3823" s="123"/>
      <c r="N3823" s="126"/>
    </row>
    <row r="3824" spans="1:15" s="3" customFormat="1" ht="25.2">
      <c r="A3824" s="125" t="s">
        <v>1891</v>
      </c>
      <c r="B3824" s="123"/>
      <c r="C3824" s="123"/>
      <c r="D3824" s="123"/>
      <c r="E3824" s="123"/>
      <c r="F3824" s="167" t="s">
        <v>1892</v>
      </c>
      <c r="G3824" s="123"/>
      <c r="H3824" s="123"/>
      <c r="I3824" s="123"/>
      <c r="J3824" s="123"/>
      <c r="K3824" s="123"/>
      <c r="L3824" s="123"/>
      <c r="M3824" s="123"/>
      <c r="N3824" s="126"/>
    </row>
    <row r="3825" spans="1:14" s="4" customFormat="1" ht="25.2">
      <c r="A3825" s="125" t="s">
        <v>1893</v>
      </c>
      <c r="B3825" s="123"/>
      <c r="C3825" s="123"/>
      <c r="D3825" s="123"/>
      <c r="E3825" s="123"/>
      <c r="F3825" s="167" t="s">
        <v>1894</v>
      </c>
      <c r="G3825" s="123"/>
      <c r="H3825" s="123"/>
      <c r="I3825" s="123"/>
      <c r="J3825" s="123"/>
      <c r="K3825" s="123"/>
      <c r="L3825" s="123"/>
      <c r="M3825" s="123"/>
      <c r="N3825" s="126"/>
    </row>
    <row r="3826" spans="1:14" s="3" customFormat="1" ht="9.9" customHeight="1">
      <c r="A3826" s="125"/>
      <c r="B3826" s="123"/>
      <c r="C3826" s="123"/>
      <c r="D3826" s="123"/>
      <c r="E3826" s="123"/>
      <c r="F3826" s="167"/>
      <c r="G3826" s="123"/>
      <c r="H3826" s="123"/>
      <c r="I3826" s="123"/>
      <c r="J3826" s="123"/>
      <c r="K3826" s="123"/>
      <c r="L3826" s="123"/>
      <c r="M3826" s="123"/>
      <c r="N3826" s="126"/>
    </row>
    <row r="3827" spans="1:14" s="3" customFormat="1" ht="25.2">
      <c r="A3827" s="125" t="s">
        <v>1895</v>
      </c>
      <c r="B3827" s="123"/>
      <c r="C3827" s="123"/>
      <c r="D3827" s="123"/>
      <c r="E3827" s="123"/>
      <c r="F3827" s="167" t="s">
        <v>1896</v>
      </c>
      <c r="G3827" s="167" t="str">
        <f>PL!$V$8</f>
        <v>PGU-DE-0139-001</v>
      </c>
      <c r="H3827" s="123"/>
      <c r="I3827" s="123"/>
      <c r="J3827" s="123"/>
      <c r="K3827" s="123"/>
      <c r="L3827" s="123"/>
      <c r="M3827" s="123"/>
      <c r="N3827" s="126"/>
    </row>
    <row r="3828" spans="1:14" s="3" customFormat="1" ht="25.2">
      <c r="A3828" s="125" t="s">
        <v>1897</v>
      </c>
      <c r="B3828" s="123"/>
      <c r="C3828" s="123"/>
      <c r="D3828" s="123"/>
      <c r="E3828" s="123"/>
      <c r="F3828" s="167"/>
      <c r="G3828" s="123"/>
      <c r="H3828" s="123"/>
      <c r="I3828" s="123"/>
      <c r="J3828" s="123"/>
      <c r="K3828" s="123"/>
      <c r="L3828" s="123"/>
      <c r="M3828" s="123"/>
      <c r="N3828" s="126"/>
    </row>
    <row r="3829" spans="1:14" s="3" customFormat="1" ht="9.9" customHeight="1">
      <c r="A3829" s="125"/>
      <c r="B3829" s="123"/>
      <c r="C3829" s="123"/>
      <c r="D3829" s="123"/>
      <c r="E3829" s="123"/>
      <c r="F3829" s="167"/>
      <c r="G3829" s="123"/>
      <c r="H3829" s="123"/>
      <c r="I3829" s="123"/>
      <c r="J3829" s="123"/>
      <c r="K3829" s="123"/>
      <c r="L3829" s="123"/>
      <c r="M3829" s="123"/>
      <c r="N3829" s="126"/>
    </row>
    <row r="3830" spans="1:14" s="3" customFormat="1" ht="31.2" customHeight="1">
      <c r="A3830" s="127" t="s">
        <v>1898</v>
      </c>
      <c r="B3830" s="170"/>
      <c r="C3830" s="170"/>
      <c r="D3830" s="170"/>
      <c r="E3830" s="170"/>
      <c r="F3830" s="171" t="s">
        <v>1885</v>
      </c>
      <c r="G3830" s="597" t="e">
        <f>VLOOKUP(G3833, 'Detail PL'!$B$14:$Q$799,2)</f>
        <v>#N/A</v>
      </c>
      <c r="H3830" s="597"/>
      <c r="I3830" s="597"/>
      <c r="J3830" s="597"/>
      <c r="K3830" s="597"/>
      <c r="L3830" s="597"/>
      <c r="M3830" s="597"/>
      <c r="N3830" s="128"/>
    </row>
    <row r="3831" spans="1:14" s="3" customFormat="1" ht="25.2">
      <c r="A3831" s="127" t="s">
        <v>1899</v>
      </c>
      <c r="B3831" s="170"/>
      <c r="C3831" s="170"/>
      <c r="D3831" s="170"/>
      <c r="E3831" s="170"/>
      <c r="F3831" s="171"/>
      <c r="G3831" s="170"/>
      <c r="H3831" s="170"/>
      <c r="I3831" s="170"/>
      <c r="J3831" s="170"/>
      <c r="K3831" s="170"/>
      <c r="L3831" s="170"/>
      <c r="M3831" s="170"/>
      <c r="N3831" s="128"/>
    </row>
    <row r="3832" spans="1:14" s="3" customFormat="1" ht="9.9" customHeight="1">
      <c r="A3832" s="125"/>
      <c r="B3832" s="123"/>
      <c r="C3832" s="123"/>
      <c r="D3832" s="123"/>
      <c r="E3832" s="123"/>
      <c r="F3832" s="167"/>
      <c r="G3832" s="123"/>
      <c r="H3832" s="123"/>
      <c r="I3832" s="123"/>
      <c r="J3832" s="123"/>
      <c r="K3832" s="123"/>
      <c r="L3832" s="123"/>
      <c r="M3832" s="123"/>
      <c r="N3832" s="126"/>
    </row>
    <row r="3833" spans="1:14" s="3" customFormat="1" ht="25.2">
      <c r="A3833" s="125" t="s">
        <v>1900</v>
      </c>
      <c r="B3833" s="123"/>
      <c r="C3833" s="123"/>
      <c r="D3833" s="123"/>
      <c r="E3833" s="123"/>
      <c r="F3833" s="171" t="s">
        <v>1901</v>
      </c>
      <c r="G3833" s="604">
        <f t="shared" ref="G3833" si="107">G3798+1</f>
        <v>110</v>
      </c>
      <c r="H3833" s="604"/>
      <c r="I3833" s="604"/>
      <c r="J3833" s="604"/>
      <c r="K3833" s="604"/>
      <c r="L3833" s="123"/>
      <c r="M3833" s="123"/>
      <c r="N3833" s="126"/>
    </row>
    <row r="3834" spans="1:14" s="4" customFormat="1" ht="25.2">
      <c r="A3834" s="125" t="s">
        <v>1903</v>
      </c>
      <c r="B3834" s="123"/>
      <c r="C3834" s="123"/>
      <c r="D3834" s="123"/>
      <c r="E3834" s="123"/>
      <c r="F3834" s="167"/>
      <c r="G3834" s="167"/>
      <c r="H3834" s="123"/>
      <c r="I3834" s="123"/>
      <c r="J3834" s="123"/>
      <c r="K3834" s="123"/>
      <c r="L3834" s="123"/>
      <c r="M3834" s="123"/>
      <c r="N3834" s="126"/>
    </row>
    <row r="3835" spans="1:14" s="3" customFormat="1" ht="9.9" customHeight="1">
      <c r="A3835" s="125"/>
      <c r="B3835" s="123"/>
      <c r="C3835" s="123"/>
      <c r="D3835" s="123"/>
      <c r="E3835" s="123"/>
      <c r="F3835" s="167"/>
      <c r="G3835" s="167"/>
      <c r="H3835" s="123"/>
      <c r="I3835" s="123"/>
      <c r="J3835" s="123"/>
      <c r="K3835" s="123"/>
      <c r="L3835" s="123"/>
      <c r="M3835" s="123"/>
      <c r="N3835" s="126"/>
    </row>
    <row r="3836" spans="1:14" s="3" customFormat="1" ht="25.2">
      <c r="A3836" s="125" t="s">
        <v>1904</v>
      </c>
      <c r="B3836" s="123"/>
      <c r="C3836" s="123"/>
      <c r="D3836" s="123"/>
      <c r="E3836" s="123"/>
      <c r="F3836" s="167" t="s">
        <v>1896</v>
      </c>
      <c r="G3836" s="204" t="e">
        <f>VLOOKUP(G3833, 'Detail PL'!$B$14:$Q$799, 10)</f>
        <v>#N/A</v>
      </c>
      <c r="H3836" s="204" t="s">
        <v>1905</v>
      </c>
      <c r="I3836" s="204"/>
      <c r="J3836" s="204"/>
      <c r="K3836" s="123"/>
      <c r="L3836" s="123"/>
      <c r="M3836" s="123"/>
      <c r="N3836" s="126"/>
    </row>
    <row r="3837" spans="1:14" s="4" customFormat="1" ht="25.2">
      <c r="A3837" s="125" t="s">
        <v>1906</v>
      </c>
      <c r="B3837" s="123"/>
      <c r="C3837" s="123"/>
      <c r="D3837" s="123"/>
      <c r="E3837" s="123"/>
      <c r="F3837" s="167"/>
      <c r="G3837" s="167"/>
      <c r="H3837" s="167"/>
      <c r="I3837" s="123"/>
      <c r="J3837" s="123"/>
      <c r="K3837" s="123"/>
      <c r="L3837" s="123"/>
      <c r="M3837" s="123"/>
      <c r="N3837" s="126"/>
    </row>
    <row r="3838" spans="1:14" s="3" customFormat="1" ht="9.9" customHeight="1">
      <c r="A3838" s="125"/>
      <c r="B3838" s="123"/>
      <c r="C3838" s="123"/>
      <c r="D3838" s="123"/>
      <c r="E3838" s="123"/>
      <c r="F3838" s="167"/>
      <c r="G3838" s="167"/>
      <c r="H3838" s="167"/>
      <c r="I3838" s="123"/>
      <c r="J3838" s="123"/>
      <c r="K3838" s="123"/>
      <c r="L3838" s="123"/>
      <c r="M3838" s="123"/>
      <c r="N3838" s="126"/>
    </row>
    <row r="3839" spans="1:14" s="3" customFormat="1" ht="25.2">
      <c r="A3839" s="125" t="s">
        <v>1907</v>
      </c>
      <c r="B3839" s="123"/>
      <c r="C3839" s="123"/>
      <c r="D3839" s="123"/>
      <c r="E3839" s="123"/>
      <c r="F3839" s="167" t="s">
        <v>1896</v>
      </c>
      <c r="G3839" s="204" t="e">
        <f>VLOOKUP(G3833, 'Detail PL'!$B$14:$Q$799, 11)</f>
        <v>#N/A</v>
      </c>
      <c r="H3839" s="204" t="s">
        <v>1905</v>
      </c>
      <c r="I3839" s="204"/>
      <c r="J3839" s="204"/>
      <c r="K3839" s="123"/>
      <c r="L3839" s="123"/>
      <c r="M3839" s="123"/>
      <c r="N3839" s="126"/>
    </row>
    <row r="3840" spans="1:14" s="4" customFormat="1" ht="25.2">
      <c r="A3840" s="125" t="s">
        <v>1908</v>
      </c>
      <c r="B3840" s="123"/>
      <c r="C3840" s="123"/>
      <c r="D3840" s="123"/>
      <c r="E3840" s="123"/>
      <c r="F3840" s="167"/>
      <c r="G3840" s="167"/>
      <c r="H3840" s="123"/>
      <c r="I3840" s="123"/>
      <c r="J3840" s="123"/>
      <c r="K3840" s="123"/>
      <c r="L3840" s="123"/>
      <c r="M3840" s="123"/>
      <c r="N3840" s="126"/>
    </row>
    <row r="3841" spans="1:15" s="3" customFormat="1" ht="9.9" customHeight="1">
      <c r="A3841" s="125"/>
      <c r="B3841" s="123"/>
      <c r="C3841" s="123"/>
      <c r="D3841" s="123"/>
      <c r="E3841" s="123"/>
      <c r="F3841" s="167"/>
      <c r="G3841" s="167"/>
      <c r="H3841" s="123"/>
      <c r="I3841" s="123"/>
      <c r="J3841" s="123"/>
      <c r="K3841" s="123"/>
      <c r="L3841" s="123"/>
      <c r="M3841" s="123"/>
      <c r="N3841" s="126"/>
    </row>
    <row r="3842" spans="1:15" s="3" customFormat="1" ht="25.2">
      <c r="A3842" s="129" t="s">
        <v>1909</v>
      </c>
      <c r="B3842" s="123"/>
      <c r="C3842" s="123"/>
      <c r="D3842" s="123"/>
      <c r="E3842" s="123"/>
      <c r="F3842" s="167" t="s">
        <v>1896</v>
      </c>
      <c r="G3842" s="204" t="e">
        <f>VLOOKUP(G3833, 'Detail PL'!$B$14:$Q$799, 9)</f>
        <v>#N/A</v>
      </c>
      <c r="H3842" s="205" t="s">
        <v>1910</v>
      </c>
      <c r="I3842" s="203"/>
      <c r="J3842" s="203"/>
      <c r="K3842" s="172"/>
      <c r="L3842" s="123"/>
      <c r="M3842" s="123"/>
      <c r="N3842" s="126"/>
    </row>
    <row r="3843" spans="1:15" s="4" customFormat="1" ht="25.2">
      <c r="A3843" s="125" t="s">
        <v>1911</v>
      </c>
      <c r="B3843" s="123"/>
      <c r="C3843" s="123"/>
      <c r="D3843" s="123"/>
      <c r="E3843" s="123"/>
      <c r="F3843" s="167"/>
      <c r="G3843" s="167"/>
      <c r="H3843" s="123"/>
      <c r="I3843" s="123"/>
      <c r="J3843" s="123"/>
      <c r="K3843" s="123"/>
      <c r="L3843" s="123"/>
      <c r="M3843" s="123"/>
      <c r="N3843" s="126"/>
    </row>
    <row r="3844" spans="1:15" s="3" customFormat="1" ht="9.9" customHeight="1">
      <c r="A3844" s="125"/>
      <c r="B3844" s="123"/>
      <c r="C3844" s="123"/>
      <c r="D3844" s="123"/>
      <c r="E3844" s="123"/>
      <c r="F3844" s="167"/>
      <c r="G3844" s="167"/>
      <c r="H3844" s="123"/>
      <c r="I3844" s="123"/>
      <c r="J3844" s="123"/>
      <c r="K3844" s="123"/>
      <c r="L3844" s="123"/>
      <c r="M3844" s="123"/>
      <c r="N3844" s="126"/>
    </row>
    <row r="3845" spans="1:15" s="3" customFormat="1" ht="42" customHeight="1">
      <c r="A3845" s="125" t="s">
        <v>1912</v>
      </c>
      <c r="B3845" s="123"/>
      <c r="C3845" s="123"/>
      <c r="D3845" s="123"/>
      <c r="E3845" s="123"/>
      <c r="F3845" s="166" t="s">
        <v>1913</v>
      </c>
      <c r="G3845" s="595" t="s">
        <v>1914</v>
      </c>
      <c r="H3845" s="595"/>
      <c r="I3845" s="595"/>
      <c r="J3845" s="595"/>
      <c r="K3845" s="595"/>
      <c r="L3845" s="595"/>
      <c r="M3845" s="595"/>
      <c r="N3845" s="596"/>
    </row>
    <row r="3846" spans="1:15" s="4" customFormat="1" ht="25.8" thickBot="1">
      <c r="A3846" s="125" t="s">
        <v>1915</v>
      </c>
      <c r="B3846" s="123"/>
      <c r="C3846" s="123"/>
      <c r="D3846" s="123"/>
      <c r="E3846" s="123"/>
      <c r="F3846" s="167"/>
      <c r="G3846" s="167"/>
      <c r="H3846" s="123"/>
      <c r="I3846" s="123"/>
      <c r="J3846" s="123"/>
      <c r="K3846" s="123"/>
      <c r="L3846" s="123"/>
      <c r="M3846" s="123"/>
      <c r="N3846" s="126"/>
    </row>
    <row r="3847" spans="1:15" ht="21" customHeight="1">
      <c r="A3847" s="598" t="s">
        <v>1916</v>
      </c>
      <c r="B3847" s="599"/>
      <c r="C3847" s="599"/>
      <c r="D3847" s="599"/>
      <c r="E3847" s="599"/>
      <c r="F3847" s="599"/>
      <c r="G3847" s="599"/>
      <c r="H3847" s="599"/>
      <c r="I3847" s="599"/>
      <c r="J3847" s="599"/>
      <c r="K3847" s="599"/>
      <c r="L3847" s="599"/>
      <c r="M3847" s="599"/>
      <c r="N3847" s="600"/>
    </row>
    <row r="3848" spans="1:15" ht="25.5" customHeight="1" thickBot="1">
      <c r="A3848" s="601"/>
      <c r="B3848" s="602"/>
      <c r="C3848" s="602"/>
      <c r="D3848" s="602"/>
      <c r="E3848" s="602"/>
      <c r="F3848" s="602"/>
      <c r="G3848" s="602"/>
      <c r="H3848" s="602"/>
      <c r="I3848" s="602"/>
      <c r="J3848" s="602"/>
      <c r="K3848" s="602"/>
      <c r="L3848" s="602"/>
      <c r="M3848" s="602"/>
      <c r="N3848" s="603"/>
    </row>
    <row r="3849" spans="1:15" ht="25.5" customHeight="1">
      <c r="E3849" s="206"/>
      <c r="F3849" s="206"/>
      <c r="G3849" s="206"/>
      <c r="H3849" s="206"/>
      <c r="I3849" s="206"/>
      <c r="J3849" s="206"/>
      <c r="K3849" s="206"/>
    </row>
    <row r="3850" spans="1:15" ht="21.6" thickBot="1"/>
    <row r="3851" spans="1:15" ht="95.25" customHeight="1" thickBot="1">
      <c r="A3851" s="592" t="s">
        <v>1883</v>
      </c>
      <c r="B3851" s="593"/>
      <c r="C3851" s="593"/>
      <c r="D3851" s="593"/>
      <c r="E3851" s="593"/>
      <c r="F3851" s="593"/>
      <c r="G3851" s="593"/>
      <c r="H3851" s="593"/>
      <c r="I3851" s="593"/>
      <c r="J3851" s="593"/>
      <c r="K3851" s="593"/>
      <c r="L3851" s="593"/>
      <c r="M3851" s="593"/>
      <c r="N3851" s="594"/>
    </row>
    <row r="3852" spans="1:15" s="3" customFormat="1" ht="37.5" customHeight="1">
      <c r="A3852" s="134" t="s">
        <v>1884</v>
      </c>
      <c r="B3852" s="166"/>
      <c r="C3852" s="166"/>
      <c r="D3852" s="123"/>
      <c r="E3852" s="123"/>
      <c r="F3852" s="167" t="s">
        <v>1885</v>
      </c>
      <c r="G3852" s="167" t="s">
        <v>1886</v>
      </c>
      <c r="H3852" s="167"/>
      <c r="I3852" s="167"/>
      <c r="J3852" s="167"/>
      <c r="K3852" s="167"/>
      <c r="L3852" s="167"/>
      <c r="M3852" s="167"/>
      <c r="N3852" s="152"/>
      <c r="O3852" s="201"/>
    </row>
    <row r="3853" spans="1:15" s="4" customFormat="1" ht="25.2">
      <c r="A3853" s="125" t="s">
        <v>1887</v>
      </c>
      <c r="B3853" s="123"/>
      <c r="C3853" s="123"/>
      <c r="D3853" s="123"/>
      <c r="E3853" s="123"/>
      <c r="F3853" s="167"/>
      <c r="G3853" s="167" t="s">
        <v>1888</v>
      </c>
      <c r="H3853" s="167"/>
      <c r="I3853" s="167"/>
      <c r="J3853" s="167"/>
      <c r="K3853" s="167"/>
      <c r="L3853" s="167"/>
      <c r="M3853" s="167"/>
      <c r="N3853" s="152"/>
    </row>
    <row r="3854" spans="1:15" s="3" customFormat="1" ht="9.9" customHeight="1">
      <c r="A3854" s="125"/>
      <c r="B3854" s="123"/>
      <c r="C3854" s="123"/>
      <c r="D3854" s="123"/>
      <c r="E3854" s="123"/>
      <c r="F3854" s="167"/>
      <c r="G3854" s="123"/>
      <c r="H3854" s="123"/>
      <c r="I3854" s="123"/>
      <c r="J3854" s="123"/>
      <c r="K3854" s="123"/>
      <c r="L3854" s="123"/>
      <c r="M3854" s="123"/>
      <c r="N3854" s="126"/>
    </row>
    <row r="3855" spans="1:15" s="3" customFormat="1" ht="42.75" customHeight="1">
      <c r="A3855" s="125" t="s">
        <v>1889</v>
      </c>
      <c r="B3855" s="123"/>
      <c r="C3855" s="123"/>
      <c r="D3855" s="123"/>
      <c r="E3855" s="123"/>
      <c r="F3855" s="167" t="s">
        <v>1885</v>
      </c>
      <c r="G3855" s="167" t="str">
        <f>PL!$B$13</f>
        <v>Branch of JSC "Doosan Enerbility" in the Turkestan region</v>
      </c>
      <c r="H3855" s="123"/>
      <c r="I3855" s="123"/>
      <c r="J3855" s="123"/>
      <c r="K3855" s="123"/>
      <c r="L3855" s="123"/>
      <c r="M3855" s="123"/>
      <c r="N3855" s="126"/>
    </row>
    <row r="3856" spans="1:15" s="3" customFormat="1" ht="24" customHeight="1">
      <c r="A3856" s="125" t="s">
        <v>1890</v>
      </c>
      <c r="B3856" s="123"/>
      <c r="C3856" s="123"/>
      <c r="D3856" s="123"/>
      <c r="E3856" s="123"/>
      <c r="F3856" s="168"/>
      <c r="G3856" s="167" t="str">
        <f>PL!$B$14</f>
        <v>321 Tauke Khan Avenue, Turkestan region, Turkestan, Kazakhstan, 161200</v>
      </c>
      <c r="H3856" s="123"/>
      <c r="I3856" s="123"/>
      <c r="J3856" s="123"/>
      <c r="K3856" s="123"/>
      <c r="L3856" s="123"/>
      <c r="M3856" s="123"/>
      <c r="N3856" s="126"/>
    </row>
    <row r="3857" spans="1:14" s="4" customFormat="1" ht="25.2">
      <c r="A3857" s="125"/>
      <c r="B3857" s="123"/>
      <c r="C3857" s="123"/>
      <c r="D3857" s="123"/>
      <c r="E3857" s="123"/>
      <c r="F3857" s="168"/>
      <c r="G3857" s="167" t="str">
        <f>PL!$B$15</f>
        <v>BIN: 230741006561</v>
      </c>
      <c r="H3857" s="123"/>
      <c r="I3857" s="123"/>
      <c r="J3857" s="123"/>
      <c r="K3857" s="123"/>
      <c r="L3857" s="123"/>
      <c r="M3857" s="123"/>
      <c r="N3857" s="126"/>
    </row>
    <row r="3858" spans="1:14" s="3" customFormat="1" ht="9.9" customHeight="1">
      <c r="A3858" s="125"/>
      <c r="B3858" s="123"/>
      <c r="C3858" s="123"/>
      <c r="D3858" s="123"/>
      <c r="E3858" s="123"/>
      <c r="F3858" s="169"/>
      <c r="G3858" s="169"/>
      <c r="H3858" s="123"/>
      <c r="I3858" s="123"/>
      <c r="J3858" s="123"/>
      <c r="K3858" s="123"/>
      <c r="L3858" s="123"/>
      <c r="M3858" s="123"/>
      <c r="N3858" s="126"/>
    </row>
    <row r="3859" spans="1:14" s="3" customFormat="1" ht="25.2">
      <c r="A3859" s="125" t="s">
        <v>1891</v>
      </c>
      <c r="B3859" s="123"/>
      <c r="C3859" s="123"/>
      <c r="D3859" s="123"/>
      <c r="E3859" s="123"/>
      <c r="F3859" s="167" t="s">
        <v>1892</v>
      </c>
      <c r="G3859" s="123"/>
      <c r="H3859" s="123"/>
      <c r="I3859" s="123"/>
      <c r="J3859" s="123"/>
      <c r="K3859" s="123"/>
      <c r="L3859" s="123"/>
      <c r="M3859" s="123"/>
      <c r="N3859" s="126"/>
    </row>
    <row r="3860" spans="1:14" s="4" customFormat="1" ht="25.2">
      <c r="A3860" s="125" t="s">
        <v>1893</v>
      </c>
      <c r="B3860" s="123"/>
      <c r="C3860" s="123"/>
      <c r="D3860" s="123"/>
      <c r="E3860" s="123"/>
      <c r="F3860" s="167" t="s">
        <v>1894</v>
      </c>
      <c r="G3860" s="123"/>
      <c r="H3860" s="123"/>
      <c r="I3860" s="123"/>
      <c r="J3860" s="123"/>
      <c r="K3860" s="123"/>
      <c r="L3860" s="123"/>
      <c r="M3860" s="123"/>
      <c r="N3860" s="126"/>
    </row>
    <row r="3861" spans="1:14" s="3" customFormat="1" ht="9.9" customHeight="1">
      <c r="A3861" s="125"/>
      <c r="B3861" s="123"/>
      <c r="C3861" s="123"/>
      <c r="D3861" s="123"/>
      <c r="E3861" s="123"/>
      <c r="F3861" s="167"/>
      <c r="G3861" s="123"/>
      <c r="H3861" s="123"/>
      <c r="I3861" s="123"/>
      <c r="J3861" s="123"/>
      <c r="K3861" s="123"/>
      <c r="L3861" s="123"/>
      <c r="M3861" s="123"/>
      <c r="N3861" s="126"/>
    </row>
    <row r="3862" spans="1:14" s="3" customFormat="1" ht="25.2">
      <c r="A3862" s="125" t="s">
        <v>1895</v>
      </c>
      <c r="B3862" s="123"/>
      <c r="C3862" s="123"/>
      <c r="D3862" s="123"/>
      <c r="E3862" s="123"/>
      <c r="F3862" s="167" t="s">
        <v>1896</v>
      </c>
      <c r="G3862" s="167" t="str">
        <f>PL!$V$8</f>
        <v>PGU-DE-0139-001</v>
      </c>
      <c r="H3862" s="123"/>
      <c r="I3862" s="123"/>
      <c r="J3862" s="123"/>
      <c r="K3862" s="123"/>
      <c r="L3862" s="123"/>
      <c r="M3862" s="123"/>
      <c r="N3862" s="126"/>
    </row>
    <row r="3863" spans="1:14" s="3" customFormat="1" ht="25.2">
      <c r="A3863" s="125" t="s">
        <v>1897</v>
      </c>
      <c r="B3863" s="123"/>
      <c r="C3863" s="123"/>
      <c r="D3863" s="123"/>
      <c r="E3863" s="123"/>
      <c r="F3863" s="167"/>
      <c r="G3863" s="123"/>
      <c r="H3863" s="123"/>
      <c r="I3863" s="123"/>
      <c r="J3863" s="123"/>
      <c r="K3863" s="123"/>
      <c r="L3863" s="123"/>
      <c r="M3863" s="123"/>
      <c r="N3863" s="126"/>
    </row>
    <row r="3864" spans="1:14" s="3" customFormat="1" ht="9.9" customHeight="1">
      <c r="A3864" s="125"/>
      <c r="B3864" s="123"/>
      <c r="C3864" s="123"/>
      <c r="D3864" s="123"/>
      <c r="E3864" s="123"/>
      <c r="F3864" s="167"/>
      <c r="G3864" s="123"/>
      <c r="H3864" s="123"/>
      <c r="I3864" s="123"/>
      <c r="J3864" s="123"/>
      <c r="K3864" s="123"/>
      <c r="L3864" s="123"/>
      <c r="M3864" s="123"/>
      <c r="N3864" s="126"/>
    </row>
    <row r="3865" spans="1:14" s="3" customFormat="1" ht="31.2" customHeight="1">
      <c r="A3865" s="127" t="s">
        <v>1898</v>
      </c>
      <c r="B3865" s="170"/>
      <c r="C3865" s="170"/>
      <c r="D3865" s="170"/>
      <c r="E3865" s="170"/>
      <c r="F3865" s="171" t="s">
        <v>1885</v>
      </c>
      <c r="G3865" s="597" t="e">
        <f>VLOOKUP(G3868, 'Detail PL'!$B$14:$Q$799,2)</f>
        <v>#N/A</v>
      </c>
      <c r="H3865" s="597"/>
      <c r="I3865" s="597"/>
      <c r="J3865" s="597"/>
      <c r="K3865" s="597"/>
      <c r="L3865" s="597"/>
      <c r="M3865" s="597"/>
      <c r="N3865" s="128"/>
    </row>
    <row r="3866" spans="1:14" s="3" customFormat="1" ht="25.2">
      <c r="A3866" s="127" t="s">
        <v>1899</v>
      </c>
      <c r="B3866" s="170"/>
      <c r="C3866" s="170"/>
      <c r="D3866" s="170"/>
      <c r="E3866" s="170"/>
      <c r="F3866" s="171"/>
      <c r="G3866" s="170"/>
      <c r="H3866" s="170"/>
      <c r="I3866" s="170"/>
      <c r="J3866" s="170"/>
      <c r="K3866" s="170"/>
      <c r="L3866" s="170"/>
      <c r="M3866" s="170"/>
      <c r="N3866" s="128"/>
    </row>
    <row r="3867" spans="1:14" s="3" customFormat="1" ht="9.9" customHeight="1">
      <c r="A3867" s="125"/>
      <c r="B3867" s="123"/>
      <c r="C3867" s="123"/>
      <c r="D3867" s="123"/>
      <c r="E3867" s="123"/>
      <c r="F3867" s="167"/>
      <c r="G3867" s="123"/>
      <c r="H3867" s="123"/>
      <c r="I3867" s="123"/>
      <c r="J3867" s="123"/>
      <c r="K3867" s="123"/>
      <c r="L3867" s="123"/>
      <c r="M3867" s="123"/>
      <c r="N3867" s="126"/>
    </row>
    <row r="3868" spans="1:14" s="3" customFormat="1" ht="25.2">
      <c r="A3868" s="125" t="s">
        <v>1900</v>
      </c>
      <c r="B3868" s="123"/>
      <c r="C3868" s="123"/>
      <c r="D3868" s="123"/>
      <c r="E3868" s="123"/>
      <c r="F3868" s="171" t="s">
        <v>1901</v>
      </c>
      <c r="G3868" s="604">
        <f t="shared" ref="G3868" si="108">G3833+1</f>
        <v>111</v>
      </c>
      <c r="H3868" s="604"/>
      <c r="I3868" s="604"/>
      <c r="J3868" s="604"/>
      <c r="K3868" s="604"/>
      <c r="L3868" s="123"/>
      <c r="M3868" s="123"/>
      <c r="N3868" s="126"/>
    </row>
    <row r="3869" spans="1:14" s="4" customFormat="1" ht="25.2">
      <c r="A3869" s="125" t="s">
        <v>1903</v>
      </c>
      <c r="B3869" s="123"/>
      <c r="C3869" s="123"/>
      <c r="D3869" s="123"/>
      <c r="E3869" s="123"/>
      <c r="F3869" s="167"/>
      <c r="G3869" s="167"/>
      <c r="H3869" s="123"/>
      <c r="I3869" s="123"/>
      <c r="J3869" s="123"/>
      <c r="K3869" s="123"/>
      <c r="L3869" s="123"/>
      <c r="M3869" s="123"/>
      <c r="N3869" s="126"/>
    </row>
    <row r="3870" spans="1:14" s="3" customFormat="1" ht="9.9" customHeight="1">
      <c r="A3870" s="125"/>
      <c r="B3870" s="123"/>
      <c r="C3870" s="123"/>
      <c r="D3870" s="123"/>
      <c r="E3870" s="123"/>
      <c r="F3870" s="167"/>
      <c r="G3870" s="167"/>
      <c r="H3870" s="123"/>
      <c r="I3870" s="123"/>
      <c r="J3870" s="123"/>
      <c r="K3870" s="123"/>
      <c r="L3870" s="123"/>
      <c r="M3870" s="123"/>
      <c r="N3870" s="126"/>
    </row>
    <row r="3871" spans="1:14" s="3" customFormat="1" ht="25.2">
      <c r="A3871" s="125" t="s">
        <v>1904</v>
      </c>
      <c r="B3871" s="123"/>
      <c r="C3871" s="123"/>
      <c r="D3871" s="123"/>
      <c r="E3871" s="123"/>
      <c r="F3871" s="167" t="s">
        <v>1896</v>
      </c>
      <c r="G3871" s="204" t="e">
        <f>VLOOKUP(G3868, 'Detail PL'!$B$14:$Q$799, 10)</f>
        <v>#N/A</v>
      </c>
      <c r="H3871" s="204" t="s">
        <v>1905</v>
      </c>
      <c r="I3871" s="204"/>
      <c r="J3871" s="204"/>
      <c r="K3871" s="123"/>
      <c r="L3871" s="123"/>
      <c r="M3871" s="123"/>
      <c r="N3871" s="126"/>
    </row>
    <row r="3872" spans="1:14" s="4" customFormat="1" ht="25.2">
      <c r="A3872" s="125" t="s">
        <v>1906</v>
      </c>
      <c r="B3872" s="123"/>
      <c r="C3872" s="123"/>
      <c r="D3872" s="123"/>
      <c r="E3872" s="123"/>
      <c r="F3872" s="167"/>
      <c r="G3872" s="167"/>
      <c r="H3872" s="167"/>
      <c r="I3872" s="123"/>
      <c r="J3872" s="123"/>
      <c r="K3872" s="123"/>
      <c r="L3872" s="123"/>
      <c r="M3872" s="123"/>
      <c r="N3872" s="126"/>
    </row>
    <row r="3873" spans="1:15" s="3" customFormat="1" ht="9.9" customHeight="1">
      <c r="A3873" s="125"/>
      <c r="B3873" s="123"/>
      <c r="C3873" s="123"/>
      <c r="D3873" s="123"/>
      <c r="E3873" s="123"/>
      <c r="F3873" s="167"/>
      <c r="G3873" s="167"/>
      <c r="H3873" s="167"/>
      <c r="I3873" s="123"/>
      <c r="J3873" s="123"/>
      <c r="K3873" s="123"/>
      <c r="L3873" s="123"/>
      <c r="M3873" s="123"/>
      <c r="N3873" s="126"/>
    </row>
    <row r="3874" spans="1:15" s="3" customFormat="1" ht="25.2">
      <c r="A3874" s="125" t="s">
        <v>1907</v>
      </c>
      <c r="B3874" s="123"/>
      <c r="C3874" s="123"/>
      <c r="D3874" s="123"/>
      <c r="E3874" s="123"/>
      <c r="F3874" s="167" t="s">
        <v>1896</v>
      </c>
      <c r="G3874" s="204" t="e">
        <f>VLOOKUP(G3868, 'Detail PL'!$B$14:$Q$799, 11)</f>
        <v>#N/A</v>
      </c>
      <c r="H3874" s="204" t="s">
        <v>1905</v>
      </c>
      <c r="I3874" s="204"/>
      <c r="J3874" s="204"/>
      <c r="K3874" s="123"/>
      <c r="L3874" s="123"/>
      <c r="M3874" s="123"/>
      <c r="N3874" s="126"/>
    </row>
    <row r="3875" spans="1:15" s="4" customFormat="1" ht="25.2">
      <c r="A3875" s="125" t="s">
        <v>1908</v>
      </c>
      <c r="B3875" s="123"/>
      <c r="C3875" s="123"/>
      <c r="D3875" s="123"/>
      <c r="E3875" s="123"/>
      <c r="F3875" s="167"/>
      <c r="G3875" s="167"/>
      <c r="H3875" s="123"/>
      <c r="I3875" s="123"/>
      <c r="J3875" s="123"/>
      <c r="K3875" s="123"/>
      <c r="L3875" s="123"/>
      <c r="M3875" s="123"/>
      <c r="N3875" s="126"/>
    </row>
    <row r="3876" spans="1:15" s="3" customFormat="1" ht="9.9" customHeight="1">
      <c r="A3876" s="125"/>
      <c r="B3876" s="123"/>
      <c r="C3876" s="123"/>
      <c r="D3876" s="123"/>
      <c r="E3876" s="123"/>
      <c r="F3876" s="167"/>
      <c r="G3876" s="167"/>
      <c r="H3876" s="123"/>
      <c r="I3876" s="123"/>
      <c r="J3876" s="123"/>
      <c r="K3876" s="123"/>
      <c r="L3876" s="123"/>
      <c r="M3876" s="123"/>
      <c r="N3876" s="126"/>
    </row>
    <row r="3877" spans="1:15" s="3" customFormat="1" ht="25.2">
      <c r="A3877" s="129" t="s">
        <v>1909</v>
      </c>
      <c r="B3877" s="123"/>
      <c r="C3877" s="123"/>
      <c r="D3877" s="123"/>
      <c r="E3877" s="123"/>
      <c r="F3877" s="167" t="s">
        <v>1896</v>
      </c>
      <c r="G3877" s="204" t="e">
        <f>VLOOKUP(G3868, 'Detail PL'!$B$14:$Q$799, 9)</f>
        <v>#N/A</v>
      </c>
      <c r="H3877" s="205" t="s">
        <v>1910</v>
      </c>
      <c r="I3877" s="203"/>
      <c r="J3877" s="203"/>
      <c r="K3877" s="172"/>
      <c r="L3877" s="123"/>
      <c r="M3877" s="123"/>
      <c r="N3877" s="126"/>
    </row>
    <row r="3878" spans="1:15" s="4" customFormat="1" ht="25.2">
      <c r="A3878" s="125" t="s">
        <v>1911</v>
      </c>
      <c r="B3878" s="123"/>
      <c r="C3878" s="123"/>
      <c r="D3878" s="123"/>
      <c r="E3878" s="123"/>
      <c r="F3878" s="167"/>
      <c r="G3878" s="167"/>
      <c r="H3878" s="123"/>
      <c r="I3878" s="123"/>
      <c r="J3878" s="123"/>
      <c r="K3878" s="123"/>
      <c r="L3878" s="123"/>
      <c r="M3878" s="123"/>
      <c r="N3878" s="126"/>
    </row>
    <row r="3879" spans="1:15" s="3" customFormat="1" ht="9.9" customHeight="1">
      <c r="A3879" s="125"/>
      <c r="B3879" s="123"/>
      <c r="C3879" s="123"/>
      <c r="D3879" s="123"/>
      <c r="E3879" s="123"/>
      <c r="F3879" s="167"/>
      <c r="G3879" s="167"/>
      <c r="H3879" s="123"/>
      <c r="I3879" s="123"/>
      <c r="J3879" s="123"/>
      <c r="K3879" s="123"/>
      <c r="L3879" s="123"/>
      <c r="M3879" s="123"/>
      <c r="N3879" s="126"/>
    </row>
    <row r="3880" spans="1:15" s="3" customFormat="1" ht="42" customHeight="1">
      <c r="A3880" s="125" t="s">
        <v>1912</v>
      </c>
      <c r="B3880" s="123"/>
      <c r="C3880" s="123"/>
      <c r="D3880" s="123"/>
      <c r="E3880" s="123"/>
      <c r="F3880" s="166" t="s">
        <v>1913</v>
      </c>
      <c r="G3880" s="595" t="s">
        <v>1914</v>
      </c>
      <c r="H3880" s="595"/>
      <c r="I3880" s="595"/>
      <c r="J3880" s="595"/>
      <c r="K3880" s="595"/>
      <c r="L3880" s="595"/>
      <c r="M3880" s="595"/>
      <c r="N3880" s="596"/>
    </row>
    <row r="3881" spans="1:15" s="4" customFormat="1" ht="25.8" thickBot="1">
      <c r="A3881" s="125" t="s">
        <v>1915</v>
      </c>
      <c r="B3881" s="123"/>
      <c r="C3881" s="123"/>
      <c r="D3881" s="123"/>
      <c r="E3881" s="123"/>
      <c r="F3881" s="167"/>
      <c r="G3881" s="167"/>
      <c r="H3881" s="123"/>
      <c r="I3881" s="123"/>
      <c r="J3881" s="123"/>
      <c r="K3881" s="123"/>
      <c r="L3881" s="123"/>
      <c r="M3881" s="123"/>
      <c r="N3881" s="126"/>
    </row>
    <row r="3882" spans="1:15" ht="21" customHeight="1">
      <c r="A3882" s="598" t="s">
        <v>1916</v>
      </c>
      <c r="B3882" s="599"/>
      <c r="C3882" s="599"/>
      <c r="D3882" s="599"/>
      <c r="E3882" s="599"/>
      <c r="F3882" s="599"/>
      <c r="G3882" s="599"/>
      <c r="H3882" s="599"/>
      <c r="I3882" s="599"/>
      <c r="J3882" s="599"/>
      <c r="K3882" s="599"/>
      <c r="L3882" s="599"/>
      <c r="M3882" s="599"/>
      <c r="N3882" s="600"/>
    </row>
    <row r="3883" spans="1:15" ht="25.5" customHeight="1" thickBot="1">
      <c r="A3883" s="601"/>
      <c r="B3883" s="602"/>
      <c r="C3883" s="602"/>
      <c r="D3883" s="602"/>
      <c r="E3883" s="602"/>
      <c r="F3883" s="602"/>
      <c r="G3883" s="602"/>
      <c r="H3883" s="602"/>
      <c r="I3883" s="602"/>
      <c r="J3883" s="602"/>
      <c r="K3883" s="602"/>
      <c r="L3883" s="602"/>
      <c r="M3883" s="602"/>
      <c r="N3883" s="603"/>
    </row>
    <row r="3884" spans="1:15" ht="25.5" customHeight="1">
      <c r="E3884" s="206"/>
      <c r="F3884" s="206"/>
      <c r="G3884" s="206"/>
      <c r="H3884" s="206"/>
      <c r="I3884" s="206"/>
      <c r="J3884" s="206"/>
      <c r="K3884" s="206"/>
    </row>
    <row r="3885" spans="1:15" ht="21.6" thickBot="1"/>
    <row r="3886" spans="1:15" ht="95.25" customHeight="1" thickBot="1">
      <c r="A3886" s="592" t="s">
        <v>1883</v>
      </c>
      <c r="B3886" s="593"/>
      <c r="C3886" s="593"/>
      <c r="D3886" s="593"/>
      <c r="E3886" s="593"/>
      <c r="F3886" s="593"/>
      <c r="G3886" s="593"/>
      <c r="H3886" s="593"/>
      <c r="I3886" s="593"/>
      <c r="J3886" s="593"/>
      <c r="K3886" s="593"/>
      <c r="L3886" s="593"/>
      <c r="M3886" s="593"/>
      <c r="N3886" s="594"/>
    </row>
    <row r="3887" spans="1:15" s="3" customFormat="1" ht="37.5" customHeight="1">
      <c r="A3887" s="134" t="s">
        <v>1884</v>
      </c>
      <c r="B3887" s="166"/>
      <c r="C3887" s="166"/>
      <c r="D3887" s="123"/>
      <c r="E3887" s="123"/>
      <c r="F3887" s="167" t="s">
        <v>1885</v>
      </c>
      <c r="G3887" s="167" t="s">
        <v>1886</v>
      </c>
      <c r="H3887" s="167"/>
      <c r="I3887" s="167"/>
      <c r="J3887" s="167"/>
      <c r="K3887" s="167"/>
      <c r="L3887" s="167"/>
      <c r="M3887" s="167"/>
      <c r="N3887" s="152"/>
      <c r="O3887" s="201"/>
    </row>
    <row r="3888" spans="1:15" s="4" customFormat="1" ht="25.2">
      <c r="A3888" s="125" t="s">
        <v>1887</v>
      </c>
      <c r="B3888" s="123"/>
      <c r="C3888" s="123"/>
      <c r="D3888" s="123"/>
      <c r="E3888" s="123"/>
      <c r="F3888" s="167"/>
      <c r="G3888" s="167" t="s">
        <v>1888</v>
      </c>
      <c r="H3888" s="167"/>
      <c r="I3888" s="167"/>
      <c r="J3888" s="167"/>
      <c r="K3888" s="167"/>
      <c r="L3888" s="167"/>
      <c r="M3888" s="167"/>
      <c r="N3888" s="152"/>
    </row>
    <row r="3889" spans="1:14" s="3" customFormat="1" ht="9.9" customHeight="1">
      <c r="A3889" s="125"/>
      <c r="B3889" s="123"/>
      <c r="C3889" s="123"/>
      <c r="D3889" s="123"/>
      <c r="E3889" s="123"/>
      <c r="F3889" s="167"/>
      <c r="G3889" s="123"/>
      <c r="H3889" s="123"/>
      <c r="I3889" s="123"/>
      <c r="J3889" s="123"/>
      <c r="K3889" s="123"/>
      <c r="L3889" s="123"/>
      <c r="M3889" s="123"/>
      <c r="N3889" s="126"/>
    </row>
    <row r="3890" spans="1:14" s="3" customFormat="1" ht="42.75" customHeight="1">
      <c r="A3890" s="125" t="s">
        <v>1889</v>
      </c>
      <c r="B3890" s="123"/>
      <c r="C3890" s="123"/>
      <c r="D3890" s="123"/>
      <c r="E3890" s="123"/>
      <c r="F3890" s="167" t="s">
        <v>1885</v>
      </c>
      <c r="G3890" s="167" t="str">
        <f>PL!$B$13</f>
        <v>Branch of JSC "Doosan Enerbility" in the Turkestan region</v>
      </c>
      <c r="H3890" s="123"/>
      <c r="I3890" s="123"/>
      <c r="J3890" s="123"/>
      <c r="K3890" s="123"/>
      <c r="L3890" s="123"/>
      <c r="M3890" s="123"/>
      <c r="N3890" s="126"/>
    </row>
    <row r="3891" spans="1:14" s="3" customFormat="1" ht="24" customHeight="1">
      <c r="A3891" s="125" t="s">
        <v>1890</v>
      </c>
      <c r="B3891" s="123"/>
      <c r="C3891" s="123"/>
      <c r="D3891" s="123"/>
      <c r="E3891" s="123"/>
      <c r="F3891" s="168"/>
      <c r="G3891" s="167" t="str">
        <f>PL!$B$14</f>
        <v>321 Tauke Khan Avenue, Turkestan region, Turkestan, Kazakhstan, 161200</v>
      </c>
      <c r="H3891" s="123"/>
      <c r="I3891" s="123"/>
      <c r="J3891" s="123"/>
      <c r="K3891" s="123"/>
      <c r="L3891" s="123"/>
      <c r="M3891" s="123"/>
      <c r="N3891" s="126"/>
    </row>
    <row r="3892" spans="1:14" s="4" customFormat="1" ht="25.2">
      <c r="A3892" s="125"/>
      <c r="B3892" s="123"/>
      <c r="C3892" s="123"/>
      <c r="D3892" s="123"/>
      <c r="E3892" s="123"/>
      <c r="F3892" s="168"/>
      <c r="G3892" s="167" t="str">
        <f>PL!$B$15</f>
        <v>BIN: 230741006561</v>
      </c>
      <c r="H3892" s="123"/>
      <c r="I3892" s="123"/>
      <c r="J3892" s="123"/>
      <c r="K3892" s="123"/>
      <c r="L3892" s="123"/>
      <c r="M3892" s="123"/>
      <c r="N3892" s="126"/>
    </row>
    <row r="3893" spans="1:14" s="3" customFormat="1" ht="9.9" customHeight="1">
      <c r="A3893" s="125"/>
      <c r="B3893" s="123"/>
      <c r="C3893" s="123"/>
      <c r="D3893" s="123"/>
      <c r="E3893" s="123"/>
      <c r="F3893" s="169"/>
      <c r="G3893" s="169"/>
      <c r="H3893" s="123"/>
      <c r="I3893" s="123"/>
      <c r="J3893" s="123"/>
      <c r="K3893" s="123"/>
      <c r="L3893" s="123"/>
      <c r="M3893" s="123"/>
      <c r="N3893" s="126"/>
    </row>
    <row r="3894" spans="1:14" s="3" customFormat="1" ht="25.2">
      <c r="A3894" s="125" t="s">
        <v>1891</v>
      </c>
      <c r="B3894" s="123"/>
      <c r="C3894" s="123"/>
      <c r="D3894" s="123"/>
      <c r="E3894" s="123"/>
      <c r="F3894" s="167" t="s">
        <v>1892</v>
      </c>
      <c r="G3894" s="123"/>
      <c r="H3894" s="123"/>
      <c r="I3894" s="123"/>
      <c r="J3894" s="123"/>
      <c r="K3894" s="123"/>
      <c r="L3894" s="123"/>
      <c r="M3894" s="123"/>
      <c r="N3894" s="126"/>
    </row>
    <row r="3895" spans="1:14" s="4" customFormat="1" ht="25.2">
      <c r="A3895" s="125" t="s">
        <v>1893</v>
      </c>
      <c r="B3895" s="123"/>
      <c r="C3895" s="123"/>
      <c r="D3895" s="123"/>
      <c r="E3895" s="123"/>
      <c r="F3895" s="167" t="s">
        <v>1894</v>
      </c>
      <c r="G3895" s="123"/>
      <c r="H3895" s="123"/>
      <c r="I3895" s="123"/>
      <c r="J3895" s="123"/>
      <c r="K3895" s="123"/>
      <c r="L3895" s="123"/>
      <c r="M3895" s="123"/>
      <c r="N3895" s="126"/>
    </row>
    <row r="3896" spans="1:14" s="3" customFormat="1" ht="9.9" customHeight="1">
      <c r="A3896" s="125"/>
      <c r="B3896" s="123"/>
      <c r="C3896" s="123"/>
      <c r="D3896" s="123"/>
      <c r="E3896" s="123"/>
      <c r="F3896" s="167"/>
      <c r="G3896" s="123"/>
      <c r="H3896" s="123"/>
      <c r="I3896" s="123"/>
      <c r="J3896" s="123"/>
      <c r="K3896" s="123"/>
      <c r="L3896" s="123"/>
      <c r="M3896" s="123"/>
      <c r="N3896" s="126"/>
    </row>
    <row r="3897" spans="1:14" s="3" customFormat="1" ht="25.2">
      <c r="A3897" s="125" t="s">
        <v>1895</v>
      </c>
      <c r="B3897" s="123"/>
      <c r="C3897" s="123"/>
      <c r="D3897" s="123"/>
      <c r="E3897" s="123"/>
      <c r="F3897" s="167" t="s">
        <v>1896</v>
      </c>
      <c r="G3897" s="167" t="str">
        <f>PL!$V$8</f>
        <v>PGU-DE-0139-001</v>
      </c>
      <c r="H3897" s="123"/>
      <c r="I3897" s="123"/>
      <c r="J3897" s="123"/>
      <c r="K3897" s="123"/>
      <c r="L3897" s="123"/>
      <c r="M3897" s="123"/>
      <c r="N3897" s="126"/>
    </row>
    <row r="3898" spans="1:14" s="3" customFormat="1" ht="25.2">
      <c r="A3898" s="125" t="s">
        <v>1897</v>
      </c>
      <c r="B3898" s="123"/>
      <c r="C3898" s="123"/>
      <c r="D3898" s="123"/>
      <c r="E3898" s="123"/>
      <c r="F3898" s="167"/>
      <c r="G3898" s="123"/>
      <c r="H3898" s="123"/>
      <c r="I3898" s="123"/>
      <c r="J3898" s="123"/>
      <c r="K3898" s="123"/>
      <c r="L3898" s="123"/>
      <c r="M3898" s="123"/>
      <c r="N3898" s="126"/>
    </row>
    <row r="3899" spans="1:14" s="3" customFormat="1" ht="9.9" customHeight="1">
      <c r="A3899" s="125"/>
      <c r="B3899" s="123"/>
      <c r="C3899" s="123"/>
      <c r="D3899" s="123"/>
      <c r="E3899" s="123"/>
      <c r="F3899" s="167"/>
      <c r="G3899" s="123"/>
      <c r="H3899" s="123"/>
      <c r="I3899" s="123"/>
      <c r="J3899" s="123"/>
      <c r="K3899" s="123"/>
      <c r="L3899" s="123"/>
      <c r="M3899" s="123"/>
      <c r="N3899" s="126"/>
    </row>
    <row r="3900" spans="1:14" s="3" customFormat="1" ht="31.2" customHeight="1">
      <c r="A3900" s="127" t="s">
        <v>1898</v>
      </c>
      <c r="B3900" s="170"/>
      <c r="C3900" s="170"/>
      <c r="D3900" s="170"/>
      <c r="E3900" s="170"/>
      <c r="F3900" s="171" t="s">
        <v>1885</v>
      </c>
      <c r="G3900" s="597" t="e">
        <f>VLOOKUP(G3903, 'Detail PL'!$B$14:$Q$799,2)</f>
        <v>#N/A</v>
      </c>
      <c r="H3900" s="597"/>
      <c r="I3900" s="597"/>
      <c r="J3900" s="597"/>
      <c r="K3900" s="597"/>
      <c r="L3900" s="597"/>
      <c r="M3900" s="597"/>
      <c r="N3900" s="128"/>
    </row>
    <row r="3901" spans="1:14" s="3" customFormat="1" ht="25.2">
      <c r="A3901" s="127" t="s">
        <v>1899</v>
      </c>
      <c r="B3901" s="170"/>
      <c r="C3901" s="170"/>
      <c r="D3901" s="170"/>
      <c r="E3901" s="170"/>
      <c r="F3901" s="171"/>
      <c r="G3901" s="170"/>
      <c r="H3901" s="170"/>
      <c r="I3901" s="170"/>
      <c r="J3901" s="170"/>
      <c r="K3901" s="170"/>
      <c r="L3901" s="170"/>
      <c r="M3901" s="170"/>
      <c r="N3901" s="128"/>
    </row>
    <row r="3902" spans="1:14" s="3" customFormat="1" ht="9.9" customHeight="1">
      <c r="A3902" s="125"/>
      <c r="B3902" s="123"/>
      <c r="C3902" s="123"/>
      <c r="D3902" s="123"/>
      <c r="E3902" s="123"/>
      <c r="F3902" s="167"/>
      <c r="G3902" s="123"/>
      <c r="H3902" s="123"/>
      <c r="I3902" s="123"/>
      <c r="J3902" s="123"/>
      <c r="K3902" s="123"/>
      <c r="L3902" s="123"/>
      <c r="M3902" s="123"/>
      <c r="N3902" s="126"/>
    </row>
    <row r="3903" spans="1:14" s="3" customFormat="1" ht="25.2">
      <c r="A3903" s="125" t="s">
        <v>1900</v>
      </c>
      <c r="B3903" s="123"/>
      <c r="C3903" s="123"/>
      <c r="D3903" s="123"/>
      <c r="E3903" s="123"/>
      <c r="F3903" s="171" t="s">
        <v>1901</v>
      </c>
      <c r="G3903" s="604">
        <f t="shared" ref="G3903" si="109">G3868+1</f>
        <v>112</v>
      </c>
      <c r="H3903" s="604"/>
      <c r="I3903" s="604"/>
      <c r="J3903" s="604"/>
      <c r="K3903" s="604"/>
      <c r="L3903" s="123"/>
      <c r="M3903" s="123"/>
      <c r="N3903" s="126"/>
    </row>
    <row r="3904" spans="1:14" s="4" customFormat="1" ht="25.2">
      <c r="A3904" s="125" t="s">
        <v>1903</v>
      </c>
      <c r="B3904" s="123"/>
      <c r="C3904" s="123"/>
      <c r="D3904" s="123"/>
      <c r="E3904" s="123"/>
      <c r="F3904" s="167"/>
      <c r="G3904" s="167"/>
      <c r="H3904" s="123"/>
      <c r="I3904" s="123"/>
      <c r="J3904" s="123"/>
      <c r="K3904" s="123"/>
      <c r="L3904" s="123"/>
      <c r="M3904" s="123"/>
      <c r="N3904" s="126"/>
    </row>
    <row r="3905" spans="1:14" s="3" customFormat="1" ht="9.9" customHeight="1">
      <c r="A3905" s="125"/>
      <c r="B3905" s="123"/>
      <c r="C3905" s="123"/>
      <c r="D3905" s="123"/>
      <c r="E3905" s="123"/>
      <c r="F3905" s="167"/>
      <c r="G3905" s="167"/>
      <c r="H3905" s="123"/>
      <c r="I3905" s="123"/>
      <c r="J3905" s="123"/>
      <c r="K3905" s="123"/>
      <c r="L3905" s="123"/>
      <c r="M3905" s="123"/>
      <c r="N3905" s="126"/>
    </row>
    <row r="3906" spans="1:14" s="3" customFormat="1" ht="25.2">
      <c r="A3906" s="125" t="s">
        <v>1904</v>
      </c>
      <c r="B3906" s="123"/>
      <c r="C3906" s="123"/>
      <c r="D3906" s="123"/>
      <c r="E3906" s="123"/>
      <c r="F3906" s="167" t="s">
        <v>1896</v>
      </c>
      <c r="G3906" s="204" t="e">
        <f>VLOOKUP(G3903, 'Detail PL'!$B$14:$Q$799, 10)</f>
        <v>#N/A</v>
      </c>
      <c r="H3906" s="204" t="s">
        <v>1905</v>
      </c>
      <c r="I3906" s="204"/>
      <c r="J3906" s="204"/>
      <c r="K3906" s="123"/>
      <c r="L3906" s="123"/>
      <c r="M3906" s="123"/>
      <c r="N3906" s="126"/>
    </row>
    <row r="3907" spans="1:14" s="4" customFormat="1" ht="25.2">
      <c r="A3907" s="125" t="s">
        <v>1906</v>
      </c>
      <c r="B3907" s="123"/>
      <c r="C3907" s="123"/>
      <c r="D3907" s="123"/>
      <c r="E3907" s="123"/>
      <c r="F3907" s="167"/>
      <c r="G3907" s="167"/>
      <c r="H3907" s="167"/>
      <c r="I3907" s="123"/>
      <c r="J3907" s="123"/>
      <c r="K3907" s="123"/>
      <c r="L3907" s="123"/>
      <c r="M3907" s="123"/>
      <c r="N3907" s="126"/>
    </row>
    <row r="3908" spans="1:14" s="3" customFormat="1" ht="9.9" customHeight="1">
      <c r="A3908" s="125"/>
      <c r="B3908" s="123"/>
      <c r="C3908" s="123"/>
      <c r="D3908" s="123"/>
      <c r="E3908" s="123"/>
      <c r="F3908" s="167"/>
      <c r="G3908" s="167"/>
      <c r="H3908" s="167"/>
      <c r="I3908" s="123"/>
      <c r="J3908" s="123"/>
      <c r="K3908" s="123"/>
      <c r="L3908" s="123"/>
      <c r="M3908" s="123"/>
      <c r="N3908" s="126"/>
    </row>
    <row r="3909" spans="1:14" s="3" customFormat="1" ht="25.2">
      <c r="A3909" s="125" t="s">
        <v>1907</v>
      </c>
      <c r="B3909" s="123"/>
      <c r="C3909" s="123"/>
      <c r="D3909" s="123"/>
      <c r="E3909" s="123"/>
      <c r="F3909" s="167" t="s">
        <v>1896</v>
      </c>
      <c r="G3909" s="204" t="e">
        <f>VLOOKUP(G3903, 'Detail PL'!$B$14:$Q$799, 11)</f>
        <v>#N/A</v>
      </c>
      <c r="H3909" s="204" t="s">
        <v>1905</v>
      </c>
      <c r="I3909" s="204"/>
      <c r="J3909" s="204"/>
      <c r="K3909" s="123"/>
      <c r="L3909" s="123"/>
      <c r="M3909" s="123"/>
      <c r="N3909" s="126"/>
    </row>
    <row r="3910" spans="1:14" s="4" customFormat="1" ht="25.2">
      <c r="A3910" s="125" t="s">
        <v>1908</v>
      </c>
      <c r="B3910" s="123"/>
      <c r="C3910" s="123"/>
      <c r="D3910" s="123"/>
      <c r="E3910" s="123"/>
      <c r="F3910" s="167"/>
      <c r="G3910" s="167"/>
      <c r="H3910" s="123"/>
      <c r="I3910" s="123"/>
      <c r="J3910" s="123"/>
      <c r="K3910" s="123"/>
      <c r="L3910" s="123"/>
      <c r="M3910" s="123"/>
      <c r="N3910" s="126"/>
    </row>
    <row r="3911" spans="1:14" s="3" customFormat="1" ht="9.9" customHeight="1">
      <c r="A3911" s="125"/>
      <c r="B3911" s="123"/>
      <c r="C3911" s="123"/>
      <c r="D3911" s="123"/>
      <c r="E3911" s="123"/>
      <c r="F3911" s="167"/>
      <c r="G3911" s="167"/>
      <c r="H3911" s="123"/>
      <c r="I3911" s="123"/>
      <c r="J3911" s="123"/>
      <c r="K3911" s="123"/>
      <c r="L3911" s="123"/>
      <c r="M3911" s="123"/>
      <c r="N3911" s="126"/>
    </row>
    <row r="3912" spans="1:14" s="3" customFormat="1" ht="25.2">
      <c r="A3912" s="129" t="s">
        <v>1909</v>
      </c>
      <c r="B3912" s="123"/>
      <c r="C3912" s="123"/>
      <c r="D3912" s="123"/>
      <c r="E3912" s="123"/>
      <c r="F3912" s="167" t="s">
        <v>1896</v>
      </c>
      <c r="G3912" s="204" t="e">
        <f>VLOOKUP(G3903, 'Detail PL'!$B$14:$Q$799, 9)</f>
        <v>#N/A</v>
      </c>
      <c r="H3912" s="205" t="s">
        <v>1910</v>
      </c>
      <c r="I3912" s="203"/>
      <c r="J3912" s="203"/>
      <c r="K3912" s="172"/>
      <c r="L3912" s="123"/>
      <c r="M3912" s="123"/>
      <c r="N3912" s="126"/>
    </row>
    <row r="3913" spans="1:14" s="4" customFormat="1" ht="25.2">
      <c r="A3913" s="125" t="s">
        <v>1911</v>
      </c>
      <c r="B3913" s="123"/>
      <c r="C3913" s="123"/>
      <c r="D3913" s="123"/>
      <c r="E3913" s="123"/>
      <c r="F3913" s="167"/>
      <c r="G3913" s="167"/>
      <c r="H3913" s="123"/>
      <c r="I3913" s="123"/>
      <c r="J3913" s="123"/>
      <c r="K3913" s="123"/>
      <c r="L3913" s="123"/>
      <c r="M3913" s="123"/>
      <c r="N3913" s="126"/>
    </row>
    <row r="3914" spans="1:14" s="3" customFormat="1" ht="9.9" customHeight="1">
      <c r="A3914" s="125"/>
      <c r="B3914" s="123"/>
      <c r="C3914" s="123"/>
      <c r="D3914" s="123"/>
      <c r="E3914" s="123"/>
      <c r="F3914" s="167"/>
      <c r="G3914" s="167"/>
      <c r="H3914" s="123"/>
      <c r="I3914" s="123"/>
      <c r="J3914" s="123"/>
      <c r="K3914" s="123"/>
      <c r="L3914" s="123"/>
      <c r="M3914" s="123"/>
      <c r="N3914" s="126"/>
    </row>
    <row r="3915" spans="1:14" s="3" customFormat="1" ht="42" customHeight="1">
      <c r="A3915" s="125" t="s">
        <v>1912</v>
      </c>
      <c r="B3915" s="123"/>
      <c r="C3915" s="123"/>
      <c r="D3915" s="123"/>
      <c r="E3915" s="123"/>
      <c r="F3915" s="166" t="s">
        <v>1913</v>
      </c>
      <c r="G3915" s="595" t="s">
        <v>1914</v>
      </c>
      <c r="H3915" s="595"/>
      <c r="I3915" s="595"/>
      <c r="J3915" s="595"/>
      <c r="K3915" s="595"/>
      <c r="L3915" s="595"/>
      <c r="M3915" s="595"/>
      <c r="N3915" s="596"/>
    </row>
    <row r="3916" spans="1:14" s="4" customFormat="1" ht="25.8" thickBot="1">
      <c r="A3916" s="125" t="s">
        <v>1915</v>
      </c>
      <c r="B3916" s="123"/>
      <c r="C3916" s="123"/>
      <c r="D3916" s="123"/>
      <c r="E3916" s="123"/>
      <c r="F3916" s="167"/>
      <c r="G3916" s="167"/>
      <c r="H3916" s="123"/>
      <c r="I3916" s="123"/>
      <c r="J3916" s="123"/>
      <c r="K3916" s="123"/>
      <c r="L3916" s="123"/>
      <c r="M3916" s="123"/>
      <c r="N3916" s="126"/>
    </row>
    <row r="3917" spans="1:14" ht="21" customHeight="1">
      <c r="A3917" s="598" t="s">
        <v>1916</v>
      </c>
      <c r="B3917" s="599"/>
      <c r="C3917" s="599"/>
      <c r="D3917" s="599"/>
      <c r="E3917" s="599"/>
      <c r="F3917" s="599"/>
      <c r="G3917" s="599"/>
      <c r="H3917" s="599"/>
      <c r="I3917" s="599"/>
      <c r="J3917" s="599"/>
      <c r="K3917" s="599"/>
      <c r="L3917" s="599"/>
      <c r="M3917" s="599"/>
      <c r="N3917" s="600"/>
    </row>
    <row r="3918" spans="1:14" ht="25.5" customHeight="1" thickBot="1">
      <c r="A3918" s="601"/>
      <c r="B3918" s="602"/>
      <c r="C3918" s="602"/>
      <c r="D3918" s="602"/>
      <c r="E3918" s="602"/>
      <c r="F3918" s="602"/>
      <c r="G3918" s="602"/>
      <c r="H3918" s="602"/>
      <c r="I3918" s="602"/>
      <c r="J3918" s="602"/>
      <c r="K3918" s="602"/>
      <c r="L3918" s="602"/>
      <c r="M3918" s="602"/>
      <c r="N3918" s="603"/>
    </row>
    <row r="3919" spans="1:14" ht="25.5" customHeight="1">
      <c r="E3919" s="206"/>
      <c r="F3919" s="206"/>
      <c r="G3919" s="206"/>
      <c r="H3919" s="206"/>
      <c r="I3919" s="206"/>
      <c r="J3919" s="206"/>
      <c r="K3919" s="206"/>
    </row>
    <row r="3920" spans="1:14" ht="21.6" thickBot="1"/>
    <row r="3921" spans="1:15" ht="95.25" customHeight="1" thickBot="1">
      <c r="A3921" s="592" t="s">
        <v>1883</v>
      </c>
      <c r="B3921" s="593"/>
      <c r="C3921" s="593"/>
      <c r="D3921" s="593"/>
      <c r="E3921" s="593"/>
      <c r="F3921" s="593"/>
      <c r="G3921" s="593"/>
      <c r="H3921" s="593"/>
      <c r="I3921" s="593"/>
      <c r="J3921" s="593"/>
      <c r="K3921" s="593"/>
      <c r="L3921" s="593"/>
      <c r="M3921" s="593"/>
      <c r="N3921" s="594"/>
    </row>
    <row r="3922" spans="1:15" s="3" customFormat="1" ht="37.5" customHeight="1">
      <c r="A3922" s="134" t="s">
        <v>1884</v>
      </c>
      <c r="B3922" s="166"/>
      <c r="C3922" s="166"/>
      <c r="D3922" s="123"/>
      <c r="E3922" s="123"/>
      <c r="F3922" s="167" t="s">
        <v>1885</v>
      </c>
      <c r="G3922" s="167" t="s">
        <v>1886</v>
      </c>
      <c r="H3922" s="167"/>
      <c r="I3922" s="167"/>
      <c r="J3922" s="167"/>
      <c r="K3922" s="167"/>
      <c r="L3922" s="167"/>
      <c r="M3922" s="167"/>
      <c r="N3922" s="152"/>
      <c r="O3922" s="201"/>
    </row>
    <row r="3923" spans="1:15" s="4" customFormat="1" ht="25.2">
      <c r="A3923" s="125" t="s">
        <v>1887</v>
      </c>
      <c r="B3923" s="123"/>
      <c r="C3923" s="123"/>
      <c r="D3923" s="123"/>
      <c r="E3923" s="123"/>
      <c r="F3923" s="167"/>
      <c r="G3923" s="167" t="s">
        <v>1888</v>
      </c>
      <c r="H3923" s="167"/>
      <c r="I3923" s="167"/>
      <c r="J3923" s="167"/>
      <c r="K3923" s="167"/>
      <c r="L3923" s="167"/>
      <c r="M3923" s="167"/>
      <c r="N3923" s="152"/>
    </row>
    <row r="3924" spans="1:15" s="3" customFormat="1" ht="9.9" customHeight="1">
      <c r="A3924" s="125"/>
      <c r="B3924" s="123"/>
      <c r="C3924" s="123"/>
      <c r="D3924" s="123"/>
      <c r="E3924" s="123"/>
      <c r="F3924" s="167"/>
      <c r="G3924" s="123"/>
      <c r="H3924" s="123"/>
      <c r="I3924" s="123"/>
      <c r="J3924" s="123"/>
      <c r="K3924" s="123"/>
      <c r="L3924" s="123"/>
      <c r="M3924" s="123"/>
      <c r="N3924" s="126"/>
    </row>
    <row r="3925" spans="1:15" s="3" customFormat="1" ht="42.75" customHeight="1">
      <c r="A3925" s="125" t="s">
        <v>1889</v>
      </c>
      <c r="B3925" s="123"/>
      <c r="C3925" s="123"/>
      <c r="D3925" s="123"/>
      <c r="E3925" s="123"/>
      <c r="F3925" s="167" t="s">
        <v>1885</v>
      </c>
      <c r="G3925" s="167" t="str">
        <f>PL!$B$13</f>
        <v>Branch of JSC "Doosan Enerbility" in the Turkestan region</v>
      </c>
      <c r="H3925" s="123"/>
      <c r="I3925" s="123"/>
      <c r="J3925" s="123"/>
      <c r="K3925" s="123"/>
      <c r="L3925" s="123"/>
      <c r="M3925" s="123"/>
      <c r="N3925" s="126"/>
    </row>
    <row r="3926" spans="1:15" s="3" customFormat="1" ht="24" customHeight="1">
      <c r="A3926" s="125" t="s">
        <v>1890</v>
      </c>
      <c r="B3926" s="123"/>
      <c r="C3926" s="123"/>
      <c r="D3926" s="123"/>
      <c r="E3926" s="123"/>
      <c r="F3926" s="168"/>
      <c r="G3926" s="167" t="str">
        <f>PL!$B$14</f>
        <v>321 Tauke Khan Avenue, Turkestan region, Turkestan, Kazakhstan, 161200</v>
      </c>
      <c r="H3926" s="123"/>
      <c r="I3926" s="123"/>
      <c r="J3926" s="123"/>
      <c r="K3926" s="123"/>
      <c r="L3926" s="123"/>
      <c r="M3926" s="123"/>
      <c r="N3926" s="126"/>
    </row>
    <row r="3927" spans="1:15" s="4" customFormat="1" ht="25.2">
      <c r="A3927" s="125"/>
      <c r="B3927" s="123"/>
      <c r="C3927" s="123"/>
      <c r="D3927" s="123"/>
      <c r="E3927" s="123"/>
      <c r="F3927" s="168"/>
      <c r="G3927" s="167" t="str">
        <f>PL!$B$15</f>
        <v>BIN: 230741006561</v>
      </c>
      <c r="H3927" s="123"/>
      <c r="I3927" s="123"/>
      <c r="J3927" s="123"/>
      <c r="K3927" s="123"/>
      <c r="L3927" s="123"/>
      <c r="M3927" s="123"/>
      <c r="N3927" s="126"/>
    </row>
    <row r="3928" spans="1:15" s="3" customFormat="1" ht="9.9" customHeight="1">
      <c r="A3928" s="125"/>
      <c r="B3928" s="123"/>
      <c r="C3928" s="123"/>
      <c r="D3928" s="123"/>
      <c r="E3928" s="123"/>
      <c r="F3928" s="169"/>
      <c r="G3928" s="169"/>
      <c r="H3928" s="123"/>
      <c r="I3928" s="123"/>
      <c r="J3928" s="123"/>
      <c r="K3928" s="123"/>
      <c r="L3928" s="123"/>
      <c r="M3928" s="123"/>
      <c r="N3928" s="126"/>
    </row>
    <row r="3929" spans="1:15" s="3" customFormat="1" ht="25.2">
      <c r="A3929" s="125" t="s">
        <v>1891</v>
      </c>
      <c r="B3929" s="123"/>
      <c r="C3929" s="123"/>
      <c r="D3929" s="123"/>
      <c r="E3929" s="123"/>
      <c r="F3929" s="167" t="s">
        <v>1892</v>
      </c>
      <c r="G3929" s="123"/>
      <c r="H3929" s="123"/>
      <c r="I3929" s="123"/>
      <c r="J3929" s="123"/>
      <c r="K3929" s="123"/>
      <c r="L3929" s="123"/>
      <c r="M3929" s="123"/>
      <c r="N3929" s="126"/>
    </row>
    <row r="3930" spans="1:15" s="4" customFormat="1" ht="25.2">
      <c r="A3930" s="125" t="s">
        <v>1893</v>
      </c>
      <c r="B3930" s="123"/>
      <c r="C3930" s="123"/>
      <c r="D3930" s="123"/>
      <c r="E3930" s="123"/>
      <c r="F3930" s="167" t="s">
        <v>1894</v>
      </c>
      <c r="G3930" s="123"/>
      <c r="H3930" s="123"/>
      <c r="I3930" s="123"/>
      <c r="J3930" s="123"/>
      <c r="K3930" s="123"/>
      <c r="L3930" s="123"/>
      <c r="M3930" s="123"/>
      <c r="N3930" s="126"/>
    </row>
    <row r="3931" spans="1:15" s="3" customFormat="1" ht="9.9" customHeight="1">
      <c r="A3931" s="125"/>
      <c r="B3931" s="123"/>
      <c r="C3931" s="123"/>
      <c r="D3931" s="123"/>
      <c r="E3931" s="123"/>
      <c r="F3931" s="167"/>
      <c r="G3931" s="123"/>
      <c r="H3931" s="123"/>
      <c r="I3931" s="123"/>
      <c r="J3931" s="123"/>
      <c r="K3931" s="123"/>
      <c r="L3931" s="123"/>
      <c r="M3931" s="123"/>
      <c r="N3931" s="126"/>
    </row>
    <row r="3932" spans="1:15" s="3" customFormat="1" ht="25.2">
      <c r="A3932" s="125" t="s">
        <v>1895</v>
      </c>
      <c r="B3932" s="123"/>
      <c r="C3932" s="123"/>
      <c r="D3932" s="123"/>
      <c r="E3932" s="123"/>
      <c r="F3932" s="167" t="s">
        <v>1896</v>
      </c>
      <c r="G3932" s="167" t="str">
        <f>PL!$V$8</f>
        <v>PGU-DE-0139-001</v>
      </c>
      <c r="H3932" s="123"/>
      <c r="I3932" s="123"/>
      <c r="J3932" s="123"/>
      <c r="K3932" s="123"/>
      <c r="L3932" s="123"/>
      <c r="M3932" s="123"/>
      <c r="N3932" s="126"/>
    </row>
    <row r="3933" spans="1:15" s="3" customFormat="1" ht="25.2">
      <c r="A3933" s="125" t="s">
        <v>1897</v>
      </c>
      <c r="B3933" s="123"/>
      <c r="C3933" s="123"/>
      <c r="D3933" s="123"/>
      <c r="E3933" s="123"/>
      <c r="F3933" s="167"/>
      <c r="G3933" s="123"/>
      <c r="H3933" s="123"/>
      <c r="I3933" s="123"/>
      <c r="J3933" s="123"/>
      <c r="K3933" s="123"/>
      <c r="L3933" s="123"/>
      <c r="M3933" s="123"/>
      <c r="N3933" s="126"/>
    </row>
    <row r="3934" spans="1:15" s="3" customFormat="1" ht="9.9" customHeight="1">
      <c r="A3934" s="125"/>
      <c r="B3934" s="123"/>
      <c r="C3934" s="123"/>
      <c r="D3934" s="123"/>
      <c r="E3934" s="123"/>
      <c r="F3934" s="167"/>
      <c r="G3934" s="123"/>
      <c r="H3934" s="123"/>
      <c r="I3934" s="123"/>
      <c r="J3934" s="123"/>
      <c r="K3934" s="123"/>
      <c r="L3934" s="123"/>
      <c r="M3934" s="123"/>
      <c r="N3934" s="126"/>
    </row>
    <row r="3935" spans="1:15" s="3" customFormat="1" ht="31.2" customHeight="1">
      <c r="A3935" s="127" t="s">
        <v>1898</v>
      </c>
      <c r="B3935" s="170"/>
      <c r="C3935" s="170"/>
      <c r="D3935" s="170"/>
      <c r="E3935" s="170"/>
      <c r="F3935" s="171" t="s">
        <v>1885</v>
      </c>
      <c r="G3935" s="597" t="e">
        <f>VLOOKUP(G3938, 'Detail PL'!$B$14:$Q$799,2)</f>
        <v>#N/A</v>
      </c>
      <c r="H3935" s="597"/>
      <c r="I3935" s="597"/>
      <c r="J3935" s="597"/>
      <c r="K3935" s="597"/>
      <c r="L3935" s="597"/>
      <c r="M3935" s="597"/>
      <c r="N3935" s="128"/>
    </row>
    <row r="3936" spans="1:15" s="3" customFormat="1" ht="25.2">
      <c r="A3936" s="127" t="s">
        <v>1899</v>
      </c>
      <c r="B3936" s="170"/>
      <c r="C3936" s="170"/>
      <c r="D3936" s="170"/>
      <c r="E3936" s="170"/>
      <c r="F3936" s="171"/>
      <c r="G3936" s="170"/>
      <c r="H3936" s="170"/>
      <c r="I3936" s="170"/>
      <c r="J3936" s="170"/>
      <c r="K3936" s="170"/>
      <c r="L3936" s="170"/>
      <c r="M3936" s="170"/>
      <c r="N3936" s="128"/>
    </row>
    <row r="3937" spans="1:14" s="3" customFormat="1" ht="9.9" customHeight="1">
      <c r="A3937" s="125"/>
      <c r="B3937" s="123"/>
      <c r="C3937" s="123"/>
      <c r="D3937" s="123"/>
      <c r="E3937" s="123"/>
      <c r="F3937" s="167"/>
      <c r="G3937" s="123"/>
      <c r="H3937" s="123"/>
      <c r="I3937" s="123"/>
      <c r="J3937" s="123"/>
      <c r="K3937" s="123"/>
      <c r="L3937" s="123"/>
      <c r="M3937" s="123"/>
      <c r="N3937" s="126"/>
    </row>
    <row r="3938" spans="1:14" s="3" customFormat="1" ht="25.2">
      <c r="A3938" s="125" t="s">
        <v>1900</v>
      </c>
      <c r="B3938" s="123"/>
      <c r="C3938" s="123"/>
      <c r="D3938" s="123"/>
      <c r="E3938" s="123"/>
      <c r="F3938" s="171" t="s">
        <v>1901</v>
      </c>
      <c r="G3938" s="604">
        <f t="shared" ref="G3938" si="110">G3903+1</f>
        <v>113</v>
      </c>
      <c r="H3938" s="604"/>
      <c r="I3938" s="604"/>
      <c r="J3938" s="604"/>
      <c r="K3938" s="604"/>
      <c r="L3938" s="123"/>
      <c r="M3938" s="123"/>
      <c r="N3938" s="126"/>
    </row>
    <row r="3939" spans="1:14" s="4" customFormat="1" ht="25.2">
      <c r="A3939" s="125" t="s">
        <v>1903</v>
      </c>
      <c r="B3939" s="123"/>
      <c r="C3939" s="123"/>
      <c r="D3939" s="123"/>
      <c r="E3939" s="123"/>
      <c r="F3939" s="167"/>
      <c r="G3939" s="167"/>
      <c r="H3939" s="123"/>
      <c r="I3939" s="123"/>
      <c r="J3939" s="123"/>
      <c r="K3939" s="123"/>
      <c r="L3939" s="123"/>
      <c r="M3939" s="123"/>
      <c r="N3939" s="126"/>
    </row>
    <row r="3940" spans="1:14" s="3" customFormat="1" ht="9.9" customHeight="1">
      <c r="A3940" s="125"/>
      <c r="B3940" s="123"/>
      <c r="C3940" s="123"/>
      <c r="D3940" s="123"/>
      <c r="E3940" s="123"/>
      <c r="F3940" s="167"/>
      <c r="G3940" s="167"/>
      <c r="H3940" s="123"/>
      <c r="I3940" s="123"/>
      <c r="J3940" s="123"/>
      <c r="K3940" s="123"/>
      <c r="L3940" s="123"/>
      <c r="M3940" s="123"/>
      <c r="N3940" s="126"/>
    </row>
    <row r="3941" spans="1:14" s="3" customFormat="1" ht="25.2">
      <c r="A3941" s="125" t="s">
        <v>1904</v>
      </c>
      <c r="B3941" s="123"/>
      <c r="C3941" s="123"/>
      <c r="D3941" s="123"/>
      <c r="E3941" s="123"/>
      <c r="F3941" s="167" t="s">
        <v>1896</v>
      </c>
      <c r="G3941" s="204" t="e">
        <f>VLOOKUP(G3938, 'Detail PL'!$B$14:$Q$799, 10)</f>
        <v>#N/A</v>
      </c>
      <c r="H3941" s="204" t="s">
        <v>1905</v>
      </c>
      <c r="I3941" s="204"/>
      <c r="J3941" s="204"/>
      <c r="K3941" s="123"/>
      <c r="L3941" s="123"/>
      <c r="M3941" s="123"/>
      <c r="N3941" s="126"/>
    </row>
    <row r="3942" spans="1:14" s="4" customFormat="1" ht="25.2">
      <c r="A3942" s="125" t="s">
        <v>1906</v>
      </c>
      <c r="B3942" s="123"/>
      <c r="C3942" s="123"/>
      <c r="D3942" s="123"/>
      <c r="E3942" s="123"/>
      <c r="F3942" s="167"/>
      <c r="G3942" s="167"/>
      <c r="H3942" s="167"/>
      <c r="I3942" s="123"/>
      <c r="J3942" s="123"/>
      <c r="K3942" s="123"/>
      <c r="L3942" s="123"/>
      <c r="M3942" s="123"/>
      <c r="N3942" s="126"/>
    </row>
    <row r="3943" spans="1:14" s="3" customFormat="1" ht="9.9" customHeight="1">
      <c r="A3943" s="125"/>
      <c r="B3943" s="123"/>
      <c r="C3943" s="123"/>
      <c r="D3943" s="123"/>
      <c r="E3943" s="123"/>
      <c r="F3943" s="167"/>
      <c r="G3943" s="167"/>
      <c r="H3943" s="167"/>
      <c r="I3943" s="123"/>
      <c r="J3943" s="123"/>
      <c r="K3943" s="123"/>
      <c r="L3943" s="123"/>
      <c r="M3943" s="123"/>
      <c r="N3943" s="126"/>
    </row>
    <row r="3944" spans="1:14" s="3" customFormat="1" ht="25.2">
      <c r="A3944" s="125" t="s">
        <v>1907</v>
      </c>
      <c r="B3944" s="123"/>
      <c r="C3944" s="123"/>
      <c r="D3944" s="123"/>
      <c r="E3944" s="123"/>
      <c r="F3944" s="167" t="s">
        <v>1896</v>
      </c>
      <c r="G3944" s="204" t="e">
        <f>VLOOKUP(G3938, 'Detail PL'!$B$14:$Q$799, 11)</f>
        <v>#N/A</v>
      </c>
      <c r="H3944" s="204" t="s">
        <v>1905</v>
      </c>
      <c r="I3944" s="204"/>
      <c r="J3944" s="204"/>
      <c r="K3944" s="123"/>
      <c r="L3944" s="123"/>
      <c r="M3944" s="123"/>
      <c r="N3944" s="126"/>
    </row>
    <row r="3945" spans="1:14" s="4" customFormat="1" ht="25.2">
      <c r="A3945" s="125" t="s">
        <v>1908</v>
      </c>
      <c r="B3945" s="123"/>
      <c r="C3945" s="123"/>
      <c r="D3945" s="123"/>
      <c r="E3945" s="123"/>
      <c r="F3945" s="167"/>
      <c r="G3945" s="167"/>
      <c r="H3945" s="123"/>
      <c r="I3945" s="123"/>
      <c r="J3945" s="123"/>
      <c r="K3945" s="123"/>
      <c r="L3945" s="123"/>
      <c r="M3945" s="123"/>
      <c r="N3945" s="126"/>
    </row>
    <row r="3946" spans="1:14" s="3" customFormat="1" ht="9.9" customHeight="1">
      <c r="A3946" s="125"/>
      <c r="B3946" s="123"/>
      <c r="C3946" s="123"/>
      <c r="D3946" s="123"/>
      <c r="E3946" s="123"/>
      <c r="F3946" s="167"/>
      <c r="G3946" s="167"/>
      <c r="H3946" s="123"/>
      <c r="I3946" s="123"/>
      <c r="J3946" s="123"/>
      <c r="K3946" s="123"/>
      <c r="L3946" s="123"/>
      <c r="M3946" s="123"/>
      <c r="N3946" s="126"/>
    </row>
    <row r="3947" spans="1:14" s="3" customFormat="1" ht="25.2">
      <c r="A3947" s="129" t="s">
        <v>1909</v>
      </c>
      <c r="B3947" s="123"/>
      <c r="C3947" s="123"/>
      <c r="D3947" s="123"/>
      <c r="E3947" s="123"/>
      <c r="F3947" s="167" t="s">
        <v>1896</v>
      </c>
      <c r="G3947" s="204" t="e">
        <f>VLOOKUP(G3938, 'Detail PL'!$B$14:$Q$799, 9)</f>
        <v>#N/A</v>
      </c>
      <c r="H3947" s="205" t="s">
        <v>1910</v>
      </c>
      <c r="I3947" s="203"/>
      <c r="J3947" s="203"/>
      <c r="K3947" s="172"/>
      <c r="L3947" s="123"/>
      <c r="M3947" s="123"/>
      <c r="N3947" s="126"/>
    </row>
    <row r="3948" spans="1:14" s="4" customFormat="1" ht="25.2">
      <c r="A3948" s="125" t="s">
        <v>1911</v>
      </c>
      <c r="B3948" s="123"/>
      <c r="C3948" s="123"/>
      <c r="D3948" s="123"/>
      <c r="E3948" s="123"/>
      <c r="F3948" s="167"/>
      <c r="G3948" s="167"/>
      <c r="H3948" s="123"/>
      <c r="I3948" s="123"/>
      <c r="J3948" s="123"/>
      <c r="K3948" s="123"/>
      <c r="L3948" s="123"/>
      <c r="M3948" s="123"/>
      <c r="N3948" s="126"/>
    </row>
    <row r="3949" spans="1:14" s="3" customFormat="1" ht="9.9" customHeight="1">
      <c r="A3949" s="125"/>
      <c r="B3949" s="123"/>
      <c r="C3949" s="123"/>
      <c r="D3949" s="123"/>
      <c r="E3949" s="123"/>
      <c r="F3949" s="167"/>
      <c r="G3949" s="167"/>
      <c r="H3949" s="123"/>
      <c r="I3949" s="123"/>
      <c r="J3949" s="123"/>
      <c r="K3949" s="123"/>
      <c r="L3949" s="123"/>
      <c r="M3949" s="123"/>
      <c r="N3949" s="126"/>
    </row>
    <row r="3950" spans="1:14" s="3" customFormat="1" ht="42" customHeight="1">
      <c r="A3950" s="125" t="s">
        <v>1912</v>
      </c>
      <c r="B3950" s="123"/>
      <c r="C3950" s="123"/>
      <c r="D3950" s="123"/>
      <c r="E3950" s="123"/>
      <c r="F3950" s="166" t="s">
        <v>1913</v>
      </c>
      <c r="G3950" s="595" t="s">
        <v>1914</v>
      </c>
      <c r="H3950" s="595"/>
      <c r="I3950" s="595"/>
      <c r="J3950" s="595"/>
      <c r="K3950" s="595"/>
      <c r="L3950" s="595"/>
      <c r="M3950" s="595"/>
      <c r="N3950" s="596"/>
    </row>
    <row r="3951" spans="1:14" s="4" customFormat="1" ht="25.8" thickBot="1">
      <c r="A3951" s="125" t="s">
        <v>1915</v>
      </c>
      <c r="B3951" s="123"/>
      <c r="C3951" s="123"/>
      <c r="D3951" s="123"/>
      <c r="E3951" s="123"/>
      <c r="F3951" s="167"/>
      <c r="G3951" s="167"/>
      <c r="H3951" s="123"/>
      <c r="I3951" s="123"/>
      <c r="J3951" s="123"/>
      <c r="K3951" s="123"/>
      <c r="L3951" s="123"/>
      <c r="M3951" s="123"/>
      <c r="N3951" s="126"/>
    </row>
    <row r="3952" spans="1:14" ht="21" customHeight="1">
      <c r="A3952" s="598" t="s">
        <v>1916</v>
      </c>
      <c r="B3952" s="599"/>
      <c r="C3952" s="599"/>
      <c r="D3952" s="599"/>
      <c r="E3952" s="599"/>
      <c r="F3952" s="599"/>
      <c r="G3952" s="599"/>
      <c r="H3952" s="599"/>
      <c r="I3952" s="599"/>
      <c r="J3952" s="599"/>
      <c r="K3952" s="599"/>
      <c r="L3952" s="599"/>
      <c r="M3952" s="599"/>
      <c r="N3952" s="600"/>
    </row>
    <row r="3953" spans="1:15" ht="25.5" customHeight="1" thickBot="1">
      <c r="A3953" s="601"/>
      <c r="B3953" s="602"/>
      <c r="C3953" s="602"/>
      <c r="D3953" s="602"/>
      <c r="E3953" s="602"/>
      <c r="F3953" s="602"/>
      <c r="G3953" s="602"/>
      <c r="H3953" s="602"/>
      <c r="I3953" s="602"/>
      <c r="J3953" s="602"/>
      <c r="K3953" s="602"/>
      <c r="L3953" s="602"/>
      <c r="M3953" s="602"/>
      <c r="N3953" s="603"/>
    </row>
    <row r="3954" spans="1:15" ht="25.5" customHeight="1">
      <c r="E3954" s="206"/>
      <c r="F3954" s="206"/>
      <c r="G3954" s="206"/>
      <c r="H3954" s="206"/>
      <c r="I3954" s="206"/>
      <c r="J3954" s="206"/>
      <c r="K3954" s="206"/>
    </row>
    <row r="3955" spans="1:15" ht="21.6" thickBot="1"/>
    <row r="3956" spans="1:15" ht="95.25" customHeight="1" thickBot="1">
      <c r="A3956" s="592" t="s">
        <v>1883</v>
      </c>
      <c r="B3956" s="593"/>
      <c r="C3956" s="593"/>
      <c r="D3956" s="593"/>
      <c r="E3956" s="593"/>
      <c r="F3956" s="593"/>
      <c r="G3956" s="593"/>
      <c r="H3956" s="593"/>
      <c r="I3956" s="593"/>
      <c r="J3956" s="593"/>
      <c r="K3956" s="593"/>
      <c r="L3956" s="593"/>
      <c r="M3956" s="593"/>
      <c r="N3956" s="594"/>
    </row>
    <row r="3957" spans="1:15" s="3" customFormat="1" ht="37.5" customHeight="1">
      <c r="A3957" s="134" t="s">
        <v>1884</v>
      </c>
      <c r="B3957" s="166"/>
      <c r="C3957" s="166"/>
      <c r="D3957" s="123"/>
      <c r="E3957" s="123"/>
      <c r="F3957" s="167" t="s">
        <v>1885</v>
      </c>
      <c r="G3957" s="167" t="s">
        <v>1886</v>
      </c>
      <c r="H3957" s="167"/>
      <c r="I3957" s="167"/>
      <c r="J3957" s="167"/>
      <c r="K3957" s="167"/>
      <c r="L3957" s="167"/>
      <c r="M3957" s="167"/>
      <c r="N3957" s="152"/>
      <c r="O3957" s="201"/>
    </row>
    <row r="3958" spans="1:15" s="4" customFormat="1" ht="25.2">
      <c r="A3958" s="125" t="s">
        <v>1887</v>
      </c>
      <c r="B3958" s="123"/>
      <c r="C3958" s="123"/>
      <c r="D3958" s="123"/>
      <c r="E3958" s="123"/>
      <c r="F3958" s="167"/>
      <c r="G3958" s="167" t="s">
        <v>1888</v>
      </c>
      <c r="H3958" s="167"/>
      <c r="I3958" s="167"/>
      <c r="J3958" s="167"/>
      <c r="K3958" s="167"/>
      <c r="L3958" s="167"/>
      <c r="M3958" s="167"/>
      <c r="N3958" s="152"/>
    </row>
    <row r="3959" spans="1:15" s="3" customFormat="1" ht="9.9" customHeight="1">
      <c r="A3959" s="125"/>
      <c r="B3959" s="123"/>
      <c r="C3959" s="123"/>
      <c r="D3959" s="123"/>
      <c r="E3959" s="123"/>
      <c r="F3959" s="167"/>
      <c r="G3959" s="123"/>
      <c r="H3959" s="123"/>
      <c r="I3959" s="123"/>
      <c r="J3959" s="123"/>
      <c r="K3959" s="123"/>
      <c r="L3959" s="123"/>
      <c r="M3959" s="123"/>
      <c r="N3959" s="126"/>
    </row>
    <row r="3960" spans="1:15" s="3" customFormat="1" ht="42.75" customHeight="1">
      <c r="A3960" s="125" t="s">
        <v>1889</v>
      </c>
      <c r="B3960" s="123"/>
      <c r="C3960" s="123"/>
      <c r="D3960" s="123"/>
      <c r="E3960" s="123"/>
      <c r="F3960" s="167" t="s">
        <v>1885</v>
      </c>
      <c r="G3960" s="167" t="str">
        <f>PL!$B$13</f>
        <v>Branch of JSC "Doosan Enerbility" in the Turkestan region</v>
      </c>
      <c r="H3960" s="123"/>
      <c r="I3960" s="123"/>
      <c r="J3960" s="123"/>
      <c r="K3960" s="123"/>
      <c r="L3960" s="123"/>
      <c r="M3960" s="123"/>
      <c r="N3960" s="126"/>
    </row>
    <row r="3961" spans="1:15" s="3" customFormat="1" ht="24" customHeight="1">
      <c r="A3961" s="125" t="s">
        <v>1890</v>
      </c>
      <c r="B3961" s="123"/>
      <c r="C3961" s="123"/>
      <c r="D3961" s="123"/>
      <c r="E3961" s="123"/>
      <c r="F3961" s="168"/>
      <c r="G3961" s="167" t="str">
        <f>PL!$B$14</f>
        <v>321 Tauke Khan Avenue, Turkestan region, Turkestan, Kazakhstan, 161200</v>
      </c>
      <c r="H3961" s="123"/>
      <c r="I3961" s="123"/>
      <c r="J3961" s="123"/>
      <c r="K3961" s="123"/>
      <c r="L3961" s="123"/>
      <c r="M3961" s="123"/>
      <c r="N3961" s="126"/>
    </row>
    <row r="3962" spans="1:15" s="4" customFormat="1" ht="25.2">
      <c r="A3962" s="125"/>
      <c r="B3962" s="123"/>
      <c r="C3962" s="123"/>
      <c r="D3962" s="123"/>
      <c r="E3962" s="123"/>
      <c r="F3962" s="168"/>
      <c r="G3962" s="167" t="str">
        <f>PL!$B$15</f>
        <v>BIN: 230741006561</v>
      </c>
      <c r="H3962" s="123"/>
      <c r="I3962" s="123"/>
      <c r="J3962" s="123"/>
      <c r="K3962" s="123"/>
      <c r="L3962" s="123"/>
      <c r="M3962" s="123"/>
      <c r="N3962" s="126"/>
    </row>
    <row r="3963" spans="1:15" s="3" customFormat="1" ht="9.9" customHeight="1">
      <c r="A3963" s="125"/>
      <c r="B3963" s="123"/>
      <c r="C3963" s="123"/>
      <c r="D3963" s="123"/>
      <c r="E3963" s="123"/>
      <c r="F3963" s="169"/>
      <c r="G3963" s="169"/>
      <c r="H3963" s="123"/>
      <c r="I3963" s="123"/>
      <c r="J3963" s="123"/>
      <c r="K3963" s="123"/>
      <c r="L3963" s="123"/>
      <c r="M3963" s="123"/>
      <c r="N3963" s="126"/>
    </row>
    <row r="3964" spans="1:15" s="3" customFormat="1" ht="25.2">
      <c r="A3964" s="125" t="s">
        <v>1891</v>
      </c>
      <c r="B3964" s="123"/>
      <c r="C3964" s="123"/>
      <c r="D3964" s="123"/>
      <c r="E3964" s="123"/>
      <c r="F3964" s="167" t="s">
        <v>1892</v>
      </c>
      <c r="G3964" s="123"/>
      <c r="H3964" s="123"/>
      <c r="I3964" s="123"/>
      <c r="J3964" s="123"/>
      <c r="K3964" s="123"/>
      <c r="L3964" s="123"/>
      <c r="M3964" s="123"/>
      <c r="N3964" s="126"/>
    </row>
    <row r="3965" spans="1:15" s="4" customFormat="1" ht="25.2">
      <c r="A3965" s="125" t="s">
        <v>1893</v>
      </c>
      <c r="B3965" s="123"/>
      <c r="C3965" s="123"/>
      <c r="D3965" s="123"/>
      <c r="E3965" s="123"/>
      <c r="F3965" s="167" t="s">
        <v>1894</v>
      </c>
      <c r="G3965" s="123"/>
      <c r="H3965" s="123"/>
      <c r="I3965" s="123"/>
      <c r="J3965" s="123"/>
      <c r="K3965" s="123"/>
      <c r="L3965" s="123"/>
      <c r="M3965" s="123"/>
      <c r="N3965" s="126"/>
    </row>
    <row r="3966" spans="1:15" s="3" customFormat="1" ht="9.9" customHeight="1">
      <c r="A3966" s="125"/>
      <c r="B3966" s="123"/>
      <c r="C3966" s="123"/>
      <c r="D3966" s="123"/>
      <c r="E3966" s="123"/>
      <c r="F3966" s="167"/>
      <c r="G3966" s="123"/>
      <c r="H3966" s="123"/>
      <c r="I3966" s="123"/>
      <c r="J3966" s="123"/>
      <c r="K3966" s="123"/>
      <c r="L3966" s="123"/>
      <c r="M3966" s="123"/>
      <c r="N3966" s="126"/>
    </row>
    <row r="3967" spans="1:15" s="3" customFormat="1" ht="25.2">
      <c r="A3967" s="125" t="s">
        <v>1895</v>
      </c>
      <c r="B3967" s="123"/>
      <c r="C3967" s="123"/>
      <c r="D3967" s="123"/>
      <c r="E3967" s="123"/>
      <c r="F3967" s="167" t="s">
        <v>1896</v>
      </c>
      <c r="G3967" s="167" t="str">
        <f>PL!$V$8</f>
        <v>PGU-DE-0139-001</v>
      </c>
      <c r="H3967" s="123"/>
      <c r="I3967" s="123"/>
      <c r="J3967" s="123"/>
      <c r="K3967" s="123"/>
      <c r="L3967" s="123"/>
      <c r="M3967" s="123"/>
      <c r="N3967" s="126"/>
    </row>
    <row r="3968" spans="1:15" s="3" customFormat="1" ht="25.2">
      <c r="A3968" s="125" t="s">
        <v>1897</v>
      </c>
      <c r="B3968" s="123"/>
      <c r="C3968" s="123"/>
      <c r="D3968" s="123"/>
      <c r="E3968" s="123"/>
      <c r="F3968" s="167"/>
      <c r="G3968" s="123"/>
      <c r="H3968" s="123"/>
      <c r="I3968" s="123"/>
      <c r="J3968" s="123"/>
      <c r="K3968" s="123"/>
      <c r="L3968" s="123"/>
      <c r="M3968" s="123"/>
      <c r="N3968" s="126"/>
    </row>
    <row r="3969" spans="1:14" s="3" customFormat="1" ht="9.9" customHeight="1">
      <c r="A3969" s="125"/>
      <c r="B3969" s="123"/>
      <c r="C3969" s="123"/>
      <c r="D3969" s="123"/>
      <c r="E3969" s="123"/>
      <c r="F3969" s="167"/>
      <c r="G3969" s="123"/>
      <c r="H3969" s="123"/>
      <c r="I3969" s="123"/>
      <c r="J3969" s="123"/>
      <c r="K3969" s="123"/>
      <c r="L3969" s="123"/>
      <c r="M3969" s="123"/>
      <c r="N3969" s="126"/>
    </row>
    <row r="3970" spans="1:14" s="3" customFormat="1" ht="31.2" customHeight="1">
      <c r="A3970" s="127" t="s">
        <v>1898</v>
      </c>
      <c r="B3970" s="170"/>
      <c r="C3970" s="170"/>
      <c r="D3970" s="170"/>
      <c r="E3970" s="170"/>
      <c r="F3970" s="171" t="s">
        <v>1885</v>
      </c>
      <c r="G3970" s="597" t="e">
        <f>VLOOKUP(G3973, 'Detail PL'!$B$14:$Q$799,2)</f>
        <v>#N/A</v>
      </c>
      <c r="H3970" s="597"/>
      <c r="I3970" s="597"/>
      <c r="J3970" s="597"/>
      <c r="K3970" s="597"/>
      <c r="L3970" s="597"/>
      <c r="M3970" s="597"/>
      <c r="N3970" s="128"/>
    </row>
    <row r="3971" spans="1:14" s="3" customFormat="1" ht="25.2">
      <c r="A3971" s="127" t="s">
        <v>1899</v>
      </c>
      <c r="B3971" s="170"/>
      <c r="C3971" s="170"/>
      <c r="D3971" s="170"/>
      <c r="E3971" s="170"/>
      <c r="F3971" s="171"/>
      <c r="G3971" s="170"/>
      <c r="H3971" s="170"/>
      <c r="I3971" s="170"/>
      <c r="J3971" s="170"/>
      <c r="K3971" s="170"/>
      <c r="L3971" s="170"/>
      <c r="M3971" s="170"/>
      <c r="N3971" s="128"/>
    </row>
    <row r="3972" spans="1:14" s="3" customFormat="1" ht="9.9" customHeight="1">
      <c r="A3972" s="125"/>
      <c r="B3972" s="123"/>
      <c r="C3972" s="123"/>
      <c r="D3972" s="123"/>
      <c r="E3972" s="123"/>
      <c r="F3972" s="167"/>
      <c r="G3972" s="123"/>
      <c r="H3972" s="123"/>
      <c r="I3972" s="123"/>
      <c r="J3972" s="123"/>
      <c r="K3972" s="123"/>
      <c r="L3972" s="123"/>
      <c r="M3972" s="123"/>
      <c r="N3972" s="126"/>
    </row>
    <row r="3973" spans="1:14" s="3" customFormat="1" ht="25.2">
      <c r="A3973" s="125" t="s">
        <v>1900</v>
      </c>
      <c r="B3973" s="123"/>
      <c r="C3973" s="123"/>
      <c r="D3973" s="123"/>
      <c r="E3973" s="123"/>
      <c r="F3973" s="171" t="s">
        <v>1901</v>
      </c>
      <c r="G3973" s="604">
        <f t="shared" ref="G3973" si="111">G3938+1</f>
        <v>114</v>
      </c>
      <c r="H3973" s="604"/>
      <c r="I3973" s="604"/>
      <c r="J3973" s="604"/>
      <c r="K3973" s="604"/>
      <c r="L3973" s="123"/>
      <c r="M3973" s="123"/>
      <c r="N3973" s="126"/>
    </row>
    <row r="3974" spans="1:14" s="4" customFormat="1" ht="25.2">
      <c r="A3974" s="125" t="s">
        <v>1903</v>
      </c>
      <c r="B3974" s="123"/>
      <c r="C3974" s="123"/>
      <c r="D3974" s="123"/>
      <c r="E3974" s="123"/>
      <c r="F3974" s="167"/>
      <c r="G3974" s="167"/>
      <c r="H3974" s="123"/>
      <c r="I3974" s="123"/>
      <c r="J3974" s="123"/>
      <c r="K3974" s="123"/>
      <c r="L3974" s="123"/>
      <c r="M3974" s="123"/>
      <c r="N3974" s="126"/>
    </row>
    <row r="3975" spans="1:14" s="3" customFormat="1" ht="9.9" customHeight="1">
      <c r="A3975" s="125"/>
      <c r="B3975" s="123"/>
      <c r="C3975" s="123"/>
      <c r="D3975" s="123"/>
      <c r="E3975" s="123"/>
      <c r="F3975" s="167"/>
      <c r="G3975" s="167"/>
      <c r="H3975" s="123"/>
      <c r="I3975" s="123"/>
      <c r="J3975" s="123"/>
      <c r="K3975" s="123"/>
      <c r="L3975" s="123"/>
      <c r="M3975" s="123"/>
      <c r="N3975" s="126"/>
    </row>
    <row r="3976" spans="1:14" s="3" customFormat="1" ht="25.2">
      <c r="A3976" s="125" t="s">
        <v>1904</v>
      </c>
      <c r="B3976" s="123"/>
      <c r="C3976" s="123"/>
      <c r="D3976" s="123"/>
      <c r="E3976" s="123"/>
      <c r="F3976" s="167" t="s">
        <v>1896</v>
      </c>
      <c r="G3976" s="204" t="e">
        <f>VLOOKUP(G3973, 'Detail PL'!$B$14:$Q$799, 10)</f>
        <v>#N/A</v>
      </c>
      <c r="H3976" s="204" t="s">
        <v>1905</v>
      </c>
      <c r="I3976" s="204"/>
      <c r="J3976" s="204"/>
      <c r="K3976" s="123"/>
      <c r="L3976" s="123"/>
      <c r="M3976" s="123"/>
      <c r="N3976" s="126"/>
    </row>
    <row r="3977" spans="1:14" s="4" customFormat="1" ht="25.2">
      <c r="A3977" s="125" t="s">
        <v>1906</v>
      </c>
      <c r="B3977" s="123"/>
      <c r="C3977" s="123"/>
      <c r="D3977" s="123"/>
      <c r="E3977" s="123"/>
      <c r="F3977" s="167"/>
      <c r="G3977" s="167"/>
      <c r="H3977" s="167"/>
      <c r="I3977" s="123"/>
      <c r="J3977" s="123"/>
      <c r="K3977" s="123"/>
      <c r="L3977" s="123"/>
      <c r="M3977" s="123"/>
      <c r="N3977" s="126"/>
    </row>
    <row r="3978" spans="1:14" s="3" customFormat="1" ht="9.9" customHeight="1">
      <c r="A3978" s="125"/>
      <c r="B3978" s="123"/>
      <c r="C3978" s="123"/>
      <c r="D3978" s="123"/>
      <c r="E3978" s="123"/>
      <c r="F3978" s="167"/>
      <c r="G3978" s="167"/>
      <c r="H3978" s="167"/>
      <c r="I3978" s="123"/>
      <c r="J3978" s="123"/>
      <c r="K3978" s="123"/>
      <c r="L3978" s="123"/>
      <c r="M3978" s="123"/>
      <c r="N3978" s="126"/>
    </row>
    <row r="3979" spans="1:14" s="3" customFormat="1" ht="25.2">
      <c r="A3979" s="125" t="s">
        <v>1907</v>
      </c>
      <c r="B3979" s="123"/>
      <c r="C3979" s="123"/>
      <c r="D3979" s="123"/>
      <c r="E3979" s="123"/>
      <c r="F3979" s="167" t="s">
        <v>1896</v>
      </c>
      <c r="G3979" s="204" t="e">
        <f>VLOOKUP(G3973, 'Detail PL'!$B$14:$Q$799, 11)</f>
        <v>#N/A</v>
      </c>
      <c r="H3979" s="204" t="s">
        <v>1905</v>
      </c>
      <c r="I3979" s="204"/>
      <c r="J3979" s="204"/>
      <c r="K3979" s="123"/>
      <c r="L3979" s="123"/>
      <c r="M3979" s="123"/>
      <c r="N3979" s="126"/>
    </row>
    <row r="3980" spans="1:14" s="4" customFormat="1" ht="25.2">
      <c r="A3980" s="125" t="s">
        <v>1908</v>
      </c>
      <c r="B3980" s="123"/>
      <c r="C3980" s="123"/>
      <c r="D3980" s="123"/>
      <c r="E3980" s="123"/>
      <c r="F3980" s="167"/>
      <c r="G3980" s="167"/>
      <c r="H3980" s="123"/>
      <c r="I3980" s="123"/>
      <c r="J3980" s="123"/>
      <c r="K3980" s="123"/>
      <c r="L3980" s="123"/>
      <c r="M3980" s="123"/>
      <c r="N3980" s="126"/>
    </row>
    <row r="3981" spans="1:14" s="3" customFormat="1" ht="9.9" customHeight="1">
      <c r="A3981" s="125"/>
      <c r="B3981" s="123"/>
      <c r="C3981" s="123"/>
      <c r="D3981" s="123"/>
      <c r="E3981" s="123"/>
      <c r="F3981" s="167"/>
      <c r="G3981" s="167"/>
      <c r="H3981" s="123"/>
      <c r="I3981" s="123"/>
      <c r="J3981" s="123"/>
      <c r="K3981" s="123"/>
      <c r="L3981" s="123"/>
      <c r="M3981" s="123"/>
      <c r="N3981" s="126"/>
    </row>
    <row r="3982" spans="1:14" s="3" customFormat="1" ht="25.2">
      <c r="A3982" s="129" t="s">
        <v>1909</v>
      </c>
      <c r="B3982" s="123"/>
      <c r="C3982" s="123"/>
      <c r="D3982" s="123"/>
      <c r="E3982" s="123"/>
      <c r="F3982" s="167" t="s">
        <v>1896</v>
      </c>
      <c r="G3982" s="204" t="e">
        <f>VLOOKUP(G3973, 'Detail PL'!$B$14:$Q$799, 9)</f>
        <v>#N/A</v>
      </c>
      <c r="H3982" s="205" t="s">
        <v>1910</v>
      </c>
      <c r="I3982" s="203"/>
      <c r="J3982" s="203"/>
      <c r="K3982" s="172"/>
      <c r="L3982" s="123"/>
      <c r="M3982" s="123"/>
      <c r="N3982" s="126"/>
    </row>
    <row r="3983" spans="1:14" s="4" customFormat="1" ht="25.2">
      <c r="A3983" s="125" t="s">
        <v>1911</v>
      </c>
      <c r="B3983" s="123"/>
      <c r="C3983" s="123"/>
      <c r="D3983" s="123"/>
      <c r="E3983" s="123"/>
      <c r="F3983" s="167"/>
      <c r="G3983" s="167"/>
      <c r="H3983" s="123"/>
      <c r="I3983" s="123"/>
      <c r="J3983" s="123"/>
      <c r="K3983" s="123"/>
      <c r="L3983" s="123"/>
      <c r="M3983" s="123"/>
      <c r="N3983" s="126"/>
    </row>
    <row r="3984" spans="1:14" s="3" customFormat="1" ht="9.9" customHeight="1">
      <c r="A3984" s="125"/>
      <c r="B3984" s="123"/>
      <c r="C3984" s="123"/>
      <c r="D3984" s="123"/>
      <c r="E3984" s="123"/>
      <c r="F3984" s="167"/>
      <c r="G3984" s="167"/>
      <c r="H3984" s="123"/>
      <c r="I3984" s="123"/>
      <c r="J3984" s="123"/>
      <c r="K3984" s="123"/>
      <c r="L3984" s="123"/>
      <c r="M3984" s="123"/>
      <c r="N3984" s="126"/>
    </row>
    <row r="3985" spans="1:15" s="3" customFormat="1" ht="42" customHeight="1">
      <c r="A3985" s="125" t="s">
        <v>1912</v>
      </c>
      <c r="B3985" s="123"/>
      <c r="C3985" s="123"/>
      <c r="D3985" s="123"/>
      <c r="E3985" s="123"/>
      <c r="F3985" s="166" t="s">
        <v>1913</v>
      </c>
      <c r="G3985" s="595" t="s">
        <v>1914</v>
      </c>
      <c r="H3985" s="595"/>
      <c r="I3985" s="595"/>
      <c r="J3985" s="595"/>
      <c r="K3985" s="595"/>
      <c r="L3985" s="595"/>
      <c r="M3985" s="595"/>
      <c r="N3985" s="596"/>
    </row>
    <row r="3986" spans="1:15" s="4" customFormat="1" ht="25.8" thickBot="1">
      <c r="A3986" s="125" t="s">
        <v>1915</v>
      </c>
      <c r="B3986" s="123"/>
      <c r="C3986" s="123"/>
      <c r="D3986" s="123"/>
      <c r="E3986" s="123"/>
      <c r="F3986" s="167"/>
      <c r="G3986" s="167"/>
      <c r="H3986" s="123"/>
      <c r="I3986" s="123"/>
      <c r="J3986" s="123"/>
      <c r="K3986" s="123"/>
      <c r="L3986" s="123"/>
      <c r="M3986" s="123"/>
      <c r="N3986" s="126"/>
    </row>
    <row r="3987" spans="1:15" ht="21" customHeight="1">
      <c r="A3987" s="598" t="s">
        <v>1916</v>
      </c>
      <c r="B3987" s="599"/>
      <c r="C3987" s="599"/>
      <c r="D3987" s="599"/>
      <c r="E3987" s="599"/>
      <c r="F3987" s="599"/>
      <c r="G3987" s="599"/>
      <c r="H3987" s="599"/>
      <c r="I3987" s="599"/>
      <c r="J3987" s="599"/>
      <c r="K3987" s="599"/>
      <c r="L3987" s="599"/>
      <c r="M3987" s="599"/>
      <c r="N3987" s="600"/>
    </row>
    <row r="3988" spans="1:15" ht="25.5" customHeight="1" thickBot="1">
      <c r="A3988" s="601"/>
      <c r="B3988" s="602"/>
      <c r="C3988" s="602"/>
      <c r="D3988" s="602"/>
      <c r="E3988" s="602"/>
      <c r="F3988" s="602"/>
      <c r="G3988" s="602"/>
      <c r="H3988" s="602"/>
      <c r="I3988" s="602"/>
      <c r="J3988" s="602"/>
      <c r="K3988" s="602"/>
      <c r="L3988" s="602"/>
      <c r="M3988" s="602"/>
      <c r="N3988" s="603"/>
    </row>
    <row r="3989" spans="1:15" ht="25.5" customHeight="1">
      <c r="E3989" s="206"/>
      <c r="F3989" s="206"/>
      <c r="G3989" s="206"/>
      <c r="H3989" s="206"/>
      <c r="I3989" s="206"/>
      <c r="J3989" s="206"/>
      <c r="K3989" s="206"/>
    </row>
    <row r="3990" spans="1:15" ht="21.6" thickBot="1"/>
    <row r="3991" spans="1:15" ht="95.25" customHeight="1" thickBot="1">
      <c r="A3991" s="592" t="s">
        <v>1883</v>
      </c>
      <c r="B3991" s="593"/>
      <c r="C3991" s="593"/>
      <c r="D3991" s="593"/>
      <c r="E3991" s="593"/>
      <c r="F3991" s="593"/>
      <c r="G3991" s="593"/>
      <c r="H3991" s="593"/>
      <c r="I3991" s="593"/>
      <c r="J3991" s="593"/>
      <c r="K3991" s="593"/>
      <c r="L3991" s="593"/>
      <c r="M3991" s="593"/>
      <c r="N3991" s="594"/>
    </row>
    <row r="3992" spans="1:15" s="3" customFormat="1" ht="37.5" customHeight="1">
      <c r="A3992" s="134" t="s">
        <v>1884</v>
      </c>
      <c r="B3992" s="166"/>
      <c r="C3992" s="166"/>
      <c r="D3992" s="123"/>
      <c r="E3992" s="123"/>
      <c r="F3992" s="167" t="s">
        <v>1885</v>
      </c>
      <c r="G3992" s="167" t="s">
        <v>1886</v>
      </c>
      <c r="H3992" s="167"/>
      <c r="I3992" s="167"/>
      <c r="J3992" s="167"/>
      <c r="K3992" s="167"/>
      <c r="L3992" s="167"/>
      <c r="M3992" s="167"/>
      <c r="N3992" s="152"/>
      <c r="O3992" s="201"/>
    </row>
    <row r="3993" spans="1:15" s="4" customFormat="1" ht="25.2">
      <c r="A3993" s="125" t="s">
        <v>1887</v>
      </c>
      <c r="B3993" s="123"/>
      <c r="C3993" s="123"/>
      <c r="D3993" s="123"/>
      <c r="E3993" s="123"/>
      <c r="F3993" s="167"/>
      <c r="G3993" s="167" t="s">
        <v>1888</v>
      </c>
      <c r="H3993" s="167"/>
      <c r="I3993" s="167"/>
      <c r="J3993" s="167"/>
      <c r="K3993" s="167"/>
      <c r="L3993" s="167"/>
      <c r="M3993" s="167"/>
      <c r="N3993" s="152"/>
    </row>
    <row r="3994" spans="1:15" s="3" customFormat="1" ht="9.9" customHeight="1">
      <c r="A3994" s="125"/>
      <c r="B3994" s="123"/>
      <c r="C3994" s="123"/>
      <c r="D3994" s="123"/>
      <c r="E3994" s="123"/>
      <c r="F3994" s="167"/>
      <c r="G3994" s="123"/>
      <c r="H3994" s="123"/>
      <c r="I3994" s="123"/>
      <c r="J3994" s="123"/>
      <c r="K3994" s="123"/>
      <c r="L3994" s="123"/>
      <c r="M3994" s="123"/>
      <c r="N3994" s="126"/>
    </row>
    <row r="3995" spans="1:15" s="3" customFormat="1" ht="42.75" customHeight="1">
      <c r="A3995" s="125" t="s">
        <v>1889</v>
      </c>
      <c r="B3995" s="123"/>
      <c r="C3995" s="123"/>
      <c r="D3995" s="123"/>
      <c r="E3995" s="123"/>
      <c r="F3995" s="167" t="s">
        <v>1885</v>
      </c>
      <c r="G3995" s="167" t="str">
        <f>PL!$B$13</f>
        <v>Branch of JSC "Doosan Enerbility" in the Turkestan region</v>
      </c>
      <c r="H3995" s="123"/>
      <c r="I3995" s="123"/>
      <c r="J3995" s="123"/>
      <c r="K3995" s="123"/>
      <c r="L3995" s="123"/>
      <c r="M3995" s="123"/>
      <c r="N3995" s="126"/>
    </row>
    <row r="3996" spans="1:15" s="3" customFormat="1" ht="24" customHeight="1">
      <c r="A3996" s="125" t="s">
        <v>1890</v>
      </c>
      <c r="B3996" s="123"/>
      <c r="C3996" s="123"/>
      <c r="D3996" s="123"/>
      <c r="E3996" s="123"/>
      <c r="F3996" s="168"/>
      <c r="G3996" s="167" t="str">
        <f>PL!$B$14</f>
        <v>321 Tauke Khan Avenue, Turkestan region, Turkestan, Kazakhstan, 161200</v>
      </c>
      <c r="H3996" s="123"/>
      <c r="I3996" s="123"/>
      <c r="J3996" s="123"/>
      <c r="K3996" s="123"/>
      <c r="L3996" s="123"/>
      <c r="M3996" s="123"/>
      <c r="N3996" s="126"/>
    </row>
    <row r="3997" spans="1:15" s="4" customFormat="1" ht="25.2">
      <c r="A3997" s="125"/>
      <c r="B3997" s="123"/>
      <c r="C3997" s="123"/>
      <c r="D3997" s="123"/>
      <c r="E3997" s="123"/>
      <c r="F3997" s="168"/>
      <c r="G3997" s="167" t="str">
        <f>PL!$B$15</f>
        <v>BIN: 230741006561</v>
      </c>
      <c r="H3997" s="123"/>
      <c r="I3997" s="123"/>
      <c r="J3997" s="123"/>
      <c r="K3997" s="123"/>
      <c r="L3997" s="123"/>
      <c r="M3997" s="123"/>
      <c r="N3997" s="126"/>
    </row>
    <row r="3998" spans="1:15" s="3" customFormat="1" ht="9.9" customHeight="1">
      <c r="A3998" s="125"/>
      <c r="B3998" s="123"/>
      <c r="C3998" s="123"/>
      <c r="D3998" s="123"/>
      <c r="E3998" s="123"/>
      <c r="F3998" s="169"/>
      <c r="G3998" s="169"/>
      <c r="H3998" s="123"/>
      <c r="I3998" s="123"/>
      <c r="J3998" s="123"/>
      <c r="K3998" s="123"/>
      <c r="L3998" s="123"/>
      <c r="M3998" s="123"/>
      <c r="N3998" s="126"/>
    </row>
    <row r="3999" spans="1:15" s="3" customFormat="1" ht="25.2">
      <c r="A3999" s="125" t="s">
        <v>1891</v>
      </c>
      <c r="B3999" s="123"/>
      <c r="C3999" s="123"/>
      <c r="D3999" s="123"/>
      <c r="E3999" s="123"/>
      <c r="F3999" s="167" t="s">
        <v>1892</v>
      </c>
      <c r="G3999" s="123"/>
      <c r="H3999" s="123"/>
      <c r="I3999" s="123"/>
      <c r="J3999" s="123"/>
      <c r="K3999" s="123"/>
      <c r="L3999" s="123"/>
      <c r="M3999" s="123"/>
      <c r="N3999" s="126"/>
    </row>
    <row r="4000" spans="1:15" s="4" customFormat="1" ht="25.2">
      <c r="A4000" s="125" t="s">
        <v>1893</v>
      </c>
      <c r="B4000" s="123"/>
      <c r="C4000" s="123"/>
      <c r="D4000" s="123"/>
      <c r="E4000" s="123"/>
      <c r="F4000" s="167" t="s">
        <v>1894</v>
      </c>
      <c r="G4000" s="123"/>
      <c r="H4000" s="123"/>
      <c r="I4000" s="123"/>
      <c r="J4000" s="123"/>
      <c r="K4000" s="123"/>
      <c r="L4000" s="123"/>
      <c r="M4000" s="123"/>
      <c r="N4000" s="126"/>
    </row>
    <row r="4001" spans="1:14" s="3" customFormat="1" ht="9.9" customHeight="1">
      <c r="A4001" s="125"/>
      <c r="B4001" s="123"/>
      <c r="C4001" s="123"/>
      <c r="D4001" s="123"/>
      <c r="E4001" s="123"/>
      <c r="F4001" s="167"/>
      <c r="G4001" s="123"/>
      <c r="H4001" s="123"/>
      <c r="I4001" s="123"/>
      <c r="J4001" s="123"/>
      <c r="K4001" s="123"/>
      <c r="L4001" s="123"/>
      <c r="M4001" s="123"/>
      <c r="N4001" s="126"/>
    </row>
    <row r="4002" spans="1:14" s="3" customFormat="1" ht="25.2">
      <c r="A4002" s="125" t="s">
        <v>1895</v>
      </c>
      <c r="B4002" s="123"/>
      <c r="C4002" s="123"/>
      <c r="D4002" s="123"/>
      <c r="E4002" s="123"/>
      <c r="F4002" s="167" t="s">
        <v>1896</v>
      </c>
      <c r="G4002" s="167" t="str">
        <f>PL!$V$8</f>
        <v>PGU-DE-0139-001</v>
      </c>
      <c r="H4002" s="123"/>
      <c r="I4002" s="123"/>
      <c r="J4002" s="123"/>
      <c r="K4002" s="123"/>
      <c r="L4002" s="123"/>
      <c r="M4002" s="123"/>
      <c r="N4002" s="126"/>
    </row>
    <row r="4003" spans="1:14" s="3" customFormat="1" ht="25.2">
      <c r="A4003" s="125" t="s">
        <v>1897</v>
      </c>
      <c r="B4003" s="123"/>
      <c r="C4003" s="123"/>
      <c r="D4003" s="123"/>
      <c r="E4003" s="123"/>
      <c r="F4003" s="167"/>
      <c r="G4003" s="123"/>
      <c r="H4003" s="123"/>
      <c r="I4003" s="123"/>
      <c r="J4003" s="123"/>
      <c r="K4003" s="123"/>
      <c r="L4003" s="123"/>
      <c r="M4003" s="123"/>
      <c r="N4003" s="126"/>
    </row>
    <row r="4004" spans="1:14" s="3" customFormat="1" ht="9.9" customHeight="1">
      <c r="A4004" s="125"/>
      <c r="B4004" s="123"/>
      <c r="C4004" s="123"/>
      <c r="D4004" s="123"/>
      <c r="E4004" s="123"/>
      <c r="F4004" s="167"/>
      <c r="G4004" s="123"/>
      <c r="H4004" s="123"/>
      <c r="I4004" s="123"/>
      <c r="J4004" s="123"/>
      <c r="K4004" s="123"/>
      <c r="L4004" s="123"/>
      <c r="M4004" s="123"/>
      <c r="N4004" s="126"/>
    </row>
    <row r="4005" spans="1:14" s="3" customFormat="1" ht="31.2" customHeight="1">
      <c r="A4005" s="127" t="s">
        <v>1898</v>
      </c>
      <c r="B4005" s="170"/>
      <c r="C4005" s="170"/>
      <c r="D4005" s="170"/>
      <c r="E4005" s="170"/>
      <c r="F4005" s="171" t="s">
        <v>1885</v>
      </c>
      <c r="G4005" s="597" t="e">
        <f>VLOOKUP(G4008, 'Detail PL'!$B$14:$Q$799,2)</f>
        <v>#N/A</v>
      </c>
      <c r="H4005" s="597"/>
      <c r="I4005" s="597"/>
      <c r="J4005" s="597"/>
      <c r="K4005" s="597"/>
      <c r="L4005" s="597"/>
      <c r="M4005" s="597"/>
      <c r="N4005" s="128"/>
    </row>
    <row r="4006" spans="1:14" s="3" customFormat="1" ht="25.2">
      <c r="A4006" s="127" t="s">
        <v>1899</v>
      </c>
      <c r="B4006" s="170"/>
      <c r="C4006" s="170"/>
      <c r="D4006" s="170"/>
      <c r="E4006" s="170"/>
      <c r="F4006" s="171"/>
      <c r="G4006" s="170"/>
      <c r="H4006" s="170"/>
      <c r="I4006" s="170"/>
      <c r="J4006" s="170"/>
      <c r="K4006" s="170"/>
      <c r="L4006" s="170"/>
      <c r="M4006" s="170"/>
      <c r="N4006" s="128"/>
    </row>
    <row r="4007" spans="1:14" s="3" customFormat="1" ht="9.9" customHeight="1">
      <c r="A4007" s="125"/>
      <c r="B4007" s="123"/>
      <c r="C4007" s="123"/>
      <c r="D4007" s="123"/>
      <c r="E4007" s="123"/>
      <c r="F4007" s="167"/>
      <c r="G4007" s="123"/>
      <c r="H4007" s="123"/>
      <c r="I4007" s="123"/>
      <c r="J4007" s="123"/>
      <c r="K4007" s="123"/>
      <c r="L4007" s="123"/>
      <c r="M4007" s="123"/>
      <c r="N4007" s="126"/>
    </row>
    <row r="4008" spans="1:14" s="3" customFormat="1" ht="25.2">
      <c r="A4008" s="125" t="s">
        <v>1900</v>
      </c>
      <c r="B4008" s="123"/>
      <c r="C4008" s="123"/>
      <c r="D4008" s="123"/>
      <c r="E4008" s="123"/>
      <c r="F4008" s="171" t="s">
        <v>1901</v>
      </c>
      <c r="G4008" s="604">
        <f t="shared" ref="G4008" si="112">G3973+1</f>
        <v>115</v>
      </c>
      <c r="H4008" s="604"/>
      <c r="I4008" s="604"/>
      <c r="J4008" s="604"/>
      <c r="K4008" s="604"/>
      <c r="L4008" s="123"/>
      <c r="M4008" s="123"/>
      <c r="N4008" s="126"/>
    </row>
    <row r="4009" spans="1:14" s="4" customFormat="1" ht="25.2">
      <c r="A4009" s="125" t="s">
        <v>1903</v>
      </c>
      <c r="B4009" s="123"/>
      <c r="C4009" s="123"/>
      <c r="D4009" s="123"/>
      <c r="E4009" s="123"/>
      <c r="F4009" s="167"/>
      <c r="G4009" s="167"/>
      <c r="H4009" s="123"/>
      <c r="I4009" s="123"/>
      <c r="J4009" s="123"/>
      <c r="K4009" s="123"/>
      <c r="L4009" s="123"/>
      <c r="M4009" s="123"/>
      <c r="N4009" s="126"/>
    </row>
    <row r="4010" spans="1:14" s="3" customFormat="1" ht="9.9" customHeight="1">
      <c r="A4010" s="125"/>
      <c r="B4010" s="123"/>
      <c r="C4010" s="123"/>
      <c r="D4010" s="123"/>
      <c r="E4010" s="123"/>
      <c r="F4010" s="167"/>
      <c r="G4010" s="167"/>
      <c r="H4010" s="123"/>
      <c r="I4010" s="123"/>
      <c r="J4010" s="123"/>
      <c r="K4010" s="123"/>
      <c r="L4010" s="123"/>
      <c r="M4010" s="123"/>
      <c r="N4010" s="126"/>
    </row>
    <row r="4011" spans="1:14" s="3" customFormat="1" ht="25.2">
      <c r="A4011" s="125" t="s">
        <v>1904</v>
      </c>
      <c r="B4011" s="123"/>
      <c r="C4011" s="123"/>
      <c r="D4011" s="123"/>
      <c r="E4011" s="123"/>
      <c r="F4011" s="167" t="s">
        <v>1896</v>
      </c>
      <c r="G4011" s="204" t="e">
        <f>VLOOKUP(G4008, 'Detail PL'!$B$14:$Q$799, 10)</f>
        <v>#N/A</v>
      </c>
      <c r="H4011" s="204" t="s">
        <v>1905</v>
      </c>
      <c r="I4011" s="204"/>
      <c r="J4011" s="204"/>
      <c r="K4011" s="123"/>
      <c r="L4011" s="123"/>
      <c r="M4011" s="123"/>
      <c r="N4011" s="126"/>
    </row>
    <row r="4012" spans="1:14" s="4" customFormat="1" ht="25.2">
      <c r="A4012" s="125" t="s">
        <v>1906</v>
      </c>
      <c r="B4012" s="123"/>
      <c r="C4012" s="123"/>
      <c r="D4012" s="123"/>
      <c r="E4012" s="123"/>
      <c r="F4012" s="167"/>
      <c r="G4012" s="167"/>
      <c r="H4012" s="167"/>
      <c r="I4012" s="123"/>
      <c r="J4012" s="123"/>
      <c r="K4012" s="123"/>
      <c r="L4012" s="123"/>
      <c r="M4012" s="123"/>
      <c r="N4012" s="126"/>
    </row>
    <row r="4013" spans="1:14" s="3" customFormat="1" ht="9.9" customHeight="1">
      <c r="A4013" s="125"/>
      <c r="B4013" s="123"/>
      <c r="C4013" s="123"/>
      <c r="D4013" s="123"/>
      <c r="E4013" s="123"/>
      <c r="F4013" s="167"/>
      <c r="G4013" s="167"/>
      <c r="H4013" s="167"/>
      <c r="I4013" s="123"/>
      <c r="J4013" s="123"/>
      <c r="K4013" s="123"/>
      <c r="L4013" s="123"/>
      <c r="M4013" s="123"/>
      <c r="N4013" s="126"/>
    </row>
    <row r="4014" spans="1:14" s="3" customFormat="1" ht="25.2">
      <c r="A4014" s="125" t="s">
        <v>1907</v>
      </c>
      <c r="B4014" s="123"/>
      <c r="C4014" s="123"/>
      <c r="D4014" s="123"/>
      <c r="E4014" s="123"/>
      <c r="F4014" s="167" t="s">
        <v>1896</v>
      </c>
      <c r="G4014" s="204" t="e">
        <f>VLOOKUP(G4008, 'Detail PL'!$B$14:$Q$799, 11)</f>
        <v>#N/A</v>
      </c>
      <c r="H4014" s="204" t="s">
        <v>1905</v>
      </c>
      <c r="I4014" s="204"/>
      <c r="J4014" s="204"/>
      <c r="K4014" s="123"/>
      <c r="L4014" s="123"/>
      <c r="M4014" s="123"/>
      <c r="N4014" s="126"/>
    </row>
    <row r="4015" spans="1:14" s="4" customFormat="1" ht="25.2">
      <c r="A4015" s="125" t="s">
        <v>1908</v>
      </c>
      <c r="B4015" s="123"/>
      <c r="C4015" s="123"/>
      <c r="D4015" s="123"/>
      <c r="E4015" s="123"/>
      <c r="F4015" s="167"/>
      <c r="G4015" s="167"/>
      <c r="H4015" s="123"/>
      <c r="I4015" s="123"/>
      <c r="J4015" s="123"/>
      <c r="K4015" s="123"/>
      <c r="L4015" s="123"/>
      <c r="M4015" s="123"/>
      <c r="N4015" s="126"/>
    </row>
    <row r="4016" spans="1:14" s="3" customFormat="1" ht="9.9" customHeight="1">
      <c r="A4016" s="125"/>
      <c r="B4016" s="123"/>
      <c r="C4016" s="123"/>
      <c r="D4016" s="123"/>
      <c r="E4016" s="123"/>
      <c r="F4016" s="167"/>
      <c r="G4016" s="167"/>
      <c r="H4016" s="123"/>
      <c r="I4016" s="123"/>
      <c r="J4016" s="123"/>
      <c r="K4016" s="123"/>
      <c r="L4016" s="123"/>
      <c r="M4016" s="123"/>
      <c r="N4016" s="126"/>
    </row>
    <row r="4017" spans="1:15" s="3" customFormat="1" ht="25.2">
      <c r="A4017" s="129" t="s">
        <v>1909</v>
      </c>
      <c r="B4017" s="123"/>
      <c r="C4017" s="123"/>
      <c r="D4017" s="123"/>
      <c r="E4017" s="123"/>
      <c r="F4017" s="167" t="s">
        <v>1896</v>
      </c>
      <c r="G4017" s="204" t="e">
        <f>VLOOKUP(G4008, 'Detail PL'!$B$14:$Q$799, 9)</f>
        <v>#N/A</v>
      </c>
      <c r="H4017" s="205" t="s">
        <v>1910</v>
      </c>
      <c r="I4017" s="203"/>
      <c r="J4017" s="203"/>
      <c r="K4017" s="172"/>
      <c r="L4017" s="123"/>
      <c r="M4017" s="123"/>
      <c r="N4017" s="126"/>
    </row>
    <row r="4018" spans="1:15" s="4" customFormat="1" ht="25.2">
      <c r="A4018" s="125" t="s">
        <v>1911</v>
      </c>
      <c r="B4018" s="123"/>
      <c r="C4018" s="123"/>
      <c r="D4018" s="123"/>
      <c r="E4018" s="123"/>
      <c r="F4018" s="167"/>
      <c r="G4018" s="167"/>
      <c r="H4018" s="123"/>
      <c r="I4018" s="123"/>
      <c r="J4018" s="123"/>
      <c r="K4018" s="123"/>
      <c r="L4018" s="123"/>
      <c r="M4018" s="123"/>
      <c r="N4018" s="126"/>
    </row>
    <row r="4019" spans="1:15" s="3" customFormat="1" ht="9.9" customHeight="1">
      <c r="A4019" s="125"/>
      <c r="B4019" s="123"/>
      <c r="C4019" s="123"/>
      <c r="D4019" s="123"/>
      <c r="E4019" s="123"/>
      <c r="F4019" s="167"/>
      <c r="G4019" s="167"/>
      <c r="H4019" s="123"/>
      <c r="I4019" s="123"/>
      <c r="J4019" s="123"/>
      <c r="K4019" s="123"/>
      <c r="L4019" s="123"/>
      <c r="M4019" s="123"/>
      <c r="N4019" s="126"/>
    </row>
    <row r="4020" spans="1:15" s="3" customFormat="1" ht="42" customHeight="1">
      <c r="A4020" s="125" t="s">
        <v>1912</v>
      </c>
      <c r="B4020" s="123"/>
      <c r="C4020" s="123"/>
      <c r="D4020" s="123"/>
      <c r="E4020" s="123"/>
      <c r="F4020" s="166" t="s">
        <v>1913</v>
      </c>
      <c r="G4020" s="595" t="s">
        <v>1914</v>
      </c>
      <c r="H4020" s="595"/>
      <c r="I4020" s="595"/>
      <c r="J4020" s="595"/>
      <c r="K4020" s="595"/>
      <c r="L4020" s="595"/>
      <c r="M4020" s="595"/>
      <c r="N4020" s="596"/>
    </row>
    <row r="4021" spans="1:15" s="4" customFormat="1" ht="25.8" thickBot="1">
      <c r="A4021" s="125" t="s">
        <v>1915</v>
      </c>
      <c r="B4021" s="123"/>
      <c r="C4021" s="123"/>
      <c r="D4021" s="123"/>
      <c r="E4021" s="123"/>
      <c r="F4021" s="167"/>
      <c r="G4021" s="167"/>
      <c r="H4021" s="123"/>
      <c r="I4021" s="123"/>
      <c r="J4021" s="123"/>
      <c r="K4021" s="123"/>
      <c r="L4021" s="123"/>
      <c r="M4021" s="123"/>
      <c r="N4021" s="126"/>
    </row>
    <row r="4022" spans="1:15" ht="21" customHeight="1">
      <c r="A4022" s="598" t="s">
        <v>1916</v>
      </c>
      <c r="B4022" s="599"/>
      <c r="C4022" s="599"/>
      <c r="D4022" s="599"/>
      <c r="E4022" s="599"/>
      <c r="F4022" s="599"/>
      <c r="G4022" s="599"/>
      <c r="H4022" s="599"/>
      <c r="I4022" s="599"/>
      <c r="J4022" s="599"/>
      <c r="K4022" s="599"/>
      <c r="L4022" s="599"/>
      <c r="M4022" s="599"/>
      <c r="N4022" s="600"/>
    </row>
    <row r="4023" spans="1:15" ht="25.5" customHeight="1" thickBot="1">
      <c r="A4023" s="601"/>
      <c r="B4023" s="602"/>
      <c r="C4023" s="602"/>
      <c r="D4023" s="602"/>
      <c r="E4023" s="602"/>
      <c r="F4023" s="602"/>
      <c r="G4023" s="602"/>
      <c r="H4023" s="602"/>
      <c r="I4023" s="602"/>
      <c r="J4023" s="602"/>
      <c r="K4023" s="602"/>
      <c r="L4023" s="602"/>
      <c r="M4023" s="602"/>
      <c r="N4023" s="603"/>
    </row>
    <row r="4024" spans="1:15" ht="25.5" customHeight="1">
      <c r="E4024" s="206"/>
      <c r="F4024" s="206"/>
      <c r="G4024" s="206"/>
      <c r="H4024" s="206"/>
      <c r="I4024" s="206"/>
      <c r="J4024" s="206"/>
      <c r="K4024" s="206"/>
    </row>
    <row r="4025" spans="1:15" ht="21.6" thickBot="1"/>
    <row r="4026" spans="1:15" ht="95.25" customHeight="1" thickBot="1">
      <c r="A4026" s="592" t="s">
        <v>1883</v>
      </c>
      <c r="B4026" s="593"/>
      <c r="C4026" s="593"/>
      <c r="D4026" s="593"/>
      <c r="E4026" s="593"/>
      <c r="F4026" s="593"/>
      <c r="G4026" s="593"/>
      <c r="H4026" s="593"/>
      <c r="I4026" s="593"/>
      <c r="J4026" s="593"/>
      <c r="K4026" s="593"/>
      <c r="L4026" s="593"/>
      <c r="M4026" s="593"/>
      <c r="N4026" s="594"/>
    </row>
    <row r="4027" spans="1:15" s="3" customFormat="1" ht="37.5" customHeight="1">
      <c r="A4027" s="134" t="s">
        <v>1884</v>
      </c>
      <c r="B4027" s="166"/>
      <c r="C4027" s="166"/>
      <c r="D4027" s="123"/>
      <c r="E4027" s="123"/>
      <c r="F4027" s="167" t="s">
        <v>1885</v>
      </c>
      <c r="G4027" s="167" t="s">
        <v>1886</v>
      </c>
      <c r="H4027" s="167"/>
      <c r="I4027" s="167"/>
      <c r="J4027" s="167"/>
      <c r="K4027" s="167"/>
      <c r="L4027" s="167"/>
      <c r="M4027" s="167"/>
      <c r="N4027" s="152"/>
      <c r="O4027" s="201"/>
    </row>
    <row r="4028" spans="1:15" s="4" customFormat="1" ht="25.2">
      <c r="A4028" s="125" t="s">
        <v>1887</v>
      </c>
      <c r="B4028" s="123"/>
      <c r="C4028" s="123"/>
      <c r="D4028" s="123"/>
      <c r="E4028" s="123"/>
      <c r="F4028" s="167"/>
      <c r="G4028" s="167" t="s">
        <v>1888</v>
      </c>
      <c r="H4028" s="167"/>
      <c r="I4028" s="167"/>
      <c r="J4028" s="167"/>
      <c r="K4028" s="167"/>
      <c r="L4028" s="167"/>
      <c r="M4028" s="167"/>
      <c r="N4028" s="152"/>
    </row>
    <row r="4029" spans="1:15" s="3" customFormat="1" ht="9.9" customHeight="1">
      <c r="A4029" s="125"/>
      <c r="B4029" s="123"/>
      <c r="C4029" s="123"/>
      <c r="D4029" s="123"/>
      <c r="E4029" s="123"/>
      <c r="F4029" s="167"/>
      <c r="G4029" s="123"/>
      <c r="H4029" s="123"/>
      <c r="I4029" s="123"/>
      <c r="J4029" s="123"/>
      <c r="K4029" s="123"/>
      <c r="L4029" s="123"/>
      <c r="M4029" s="123"/>
      <c r="N4029" s="126"/>
    </row>
    <row r="4030" spans="1:15" s="3" customFormat="1" ht="42.75" customHeight="1">
      <c r="A4030" s="125" t="s">
        <v>1889</v>
      </c>
      <c r="B4030" s="123"/>
      <c r="C4030" s="123"/>
      <c r="D4030" s="123"/>
      <c r="E4030" s="123"/>
      <c r="F4030" s="167" t="s">
        <v>1885</v>
      </c>
      <c r="G4030" s="167" t="str">
        <f>PL!$B$13</f>
        <v>Branch of JSC "Doosan Enerbility" in the Turkestan region</v>
      </c>
      <c r="H4030" s="123"/>
      <c r="I4030" s="123"/>
      <c r="J4030" s="123"/>
      <c r="K4030" s="123"/>
      <c r="L4030" s="123"/>
      <c r="M4030" s="123"/>
      <c r="N4030" s="126"/>
    </row>
    <row r="4031" spans="1:15" s="3" customFormat="1" ht="24" customHeight="1">
      <c r="A4031" s="125" t="s">
        <v>1890</v>
      </c>
      <c r="B4031" s="123"/>
      <c r="C4031" s="123"/>
      <c r="D4031" s="123"/>
      <c r="E4031" s="123"/>
      <c r="F4031" s="168"/>
      <c r="G4031" s="167" t="str">
        <f>PL!$B$14</f>
        <v>321 Tauke Khan Avenue, Turkestan region, Turkestan, Kazakhstan, 161200</v>
      </c>
      <c r="H4031" s="123"/>
      <c r="I4031" s="123"/>
      <c r="J4031" s="123"/>
      <c r="K4031" s="123"/>
      <c r="L4031" s="123"/>
      <c r="M4031" s="123"/>
      <c r="N4031" s="126"/>
    </row>
    <row r="4032" spans="1:15" s="4" customFormat="1" ht="25.2">
      <c r="A4032" s="125"/>
      <c r="B4032" s="123"/>
      <c r="C4032" s="123"/>
      <c r="D4032" s="123"/>
      <c r="E4032" s="123"/>
      <c r="F4032" s="168"/>
      <c r="G4032" s="167" t="str">
        <f>PL!$B$15</f>
        <v>BIN: 230741006561</v>
      </c>
      <c r="H4032" s="123"/>
      <c r="I4032" s="123"/>
      <c r="J4032" s="123"/>
      <c r="K4032" s="123"/>
      <c r="L4032" s="123"/>
      <c r="M4032" s="123"/>
      <c r="N4032" s="126"/>
    </row>
    <row r="4033" spans="1:14" s="3" customFormat="1" ht="9.9" customHeight="1">
      <c r="A4033" s="125"/>
      <c r="B4033" s="123"/>
      <c r="C4033" s="123"/>
      <c r="D4033" s="123"/>
      <c r="E4033" s="123"/>
      <c r="F4033" s="169"/>
      <c r="G4033" s="169"/>
      <c r="H4033" s="123"/>
      <c r="I4033" s="123"/>
      <c r="J4033" s="123"/>
      <c r="K4033" s="123"/>
      <c r="L4033" s="123"/>
      <c r="M4033" s="123"/>
      <c r="N4033" s="126"/>
    </row>
    <row r="4034" spans="1:14" s="3" customFormat="1" ht="25.2">
      <c r="A4034" s="125" t="s">
        <v>1891</v>
      </c>
      <c r="B4034" s="123"/>
      <c r="C4034" s="123"/>
      <c r="D4034" s="123"/>
      <c r="E4034" s="123"/>
      <c r="F4034" s="167" t="s">
        <v>1892</v>
      </c>
      <c r="G4034" s="123"/>
      <c r="H4034" s="123"/>
      <c r="I4034" s="123"/>
      <c r="J4034" s="123"/>
      <c r="K4034" s="123"/>
      <c r="L4034" s="123"/>
      <c r="M4034" s="123"/>
      <c r="N4034" s="126"/>
    </row>
    <row r="4035" spans="1:14" s="4" customFormat="1" ht="25.2">
      <c r="A4035" s="125" t="s">
        <v>1893</v>
      </c>
      <c r="B4035" s="123"/>
      <c r="C4035" s="123"/>
      <c r="D4035" s="123"/>
      <c r="E4035" s="123"/>
      <c r="F4035" s="167" t="s">
        <v>1894</v>
      </c>
      <c r="G4035" s="123"/>
      <c r="H4035" s="123"/>
      <c r="I4035" s="123"/>
      <c r="J4035" s="123"/>
      <c r="K4035" s="123"/>
      <c r="L4035" s="123"/>
      <c r="M4035" s="123"/>
      <c r="N4035" s="126"/>
    </row>
    <row r="4036" spans="1:14" s="3" customFormat="1" ht="9.9" customHeight="1">
      <c r="A4036" s="125"/>
      <c r="B4036" s="123"/>
      <c r="C4036" s="123"/>
      <c r="D4036" s="123"/>
      <c r="E4036" s="123"/>
      <c r="F4036" s="167"/>
      <c r="G4036" s="123"/>
      <c r="H4036" s="123"/>
      <c r="I4036" s="123"/>
      <c r="J4036" s="123"/>
      <c r="K4036" s="123"/>
      <c r="L4036" s="123"/>
      <c r="M4036" s="123"/>
      <c r="N4036" s="126"/>
    </row>
    <row r="4037" spans="1:14" s="3" customFormat="1" ht="25.2">
      <c r="A4037" s="125" t="s">
        <v>1895</v>
      </c>
      <c r="B4037" s="123"/>
      <c r="C4037" s="123"/>
      <c r="D4037" s="123"/>
      <c r="E4037" s="123"/>
      <c r="F4037" s="167" t="s">
        <v>1896</v>
      </c>
      <c r="G4037" s="167" t="str">
        <f>PL!$V$8</f>
        <v>PGU-DE-0139-001</v>
      </c>
      <c r="H4037" s="123"/>
      <c r="I4037" s="123"/>
      <c r="J4037" s="123"/>
      <c r="K4037" s="123"/>
      <c r="L4037" s="123"/>
      <c r="M4037" s="123"/>
      <c r="N4037" s="126"/>
    </row>
    <row r="4038" spans="1:14" s="3" customFormat="1" ht="25.2">
      <c r="A4038" s="125" t="s">
        <v>1897</v>
      </c>
      <c r="B4038" s="123"/>
      <c r="C4038" s="123"/>
      <c r="D4038" s="123"/>
      <c r="E4038" s="123"/>
      <c r="F4038" s="167"/>
      <c r="G4038" s="123"/>
      <c r="H4038" s="123"/>
      <c r="I4038" s="123"/>
      <c r="J4038" s="123"/>
      <c r="K4038" s="123"/>
      <c r="L4038" s="123"/>
      <c r="M4038" s="123"/>
      <c r="N4038" s="126"/>
    </row>
    <row r="4039" spans="1:14" s="3" customFormat="1" ht="9.9" customHeight="1">
      <c r="A4039" s="125"/>
      <c r="B4039" s="123"/>
      <c r="C4039" s="123"/>
      <c r="D4039" s="123"/>
      <c r="E4039" s="123"/>
      <c r="F4039" s="167"/>
      <c r="G4039" s="123"/>
      <c r="H4039" s="123"/>
      <c r="I4039" s="123"/>
      <c r="J4039" s="123"/>
      <c r="K4039" s="123"/>
      <c r="L4039" s="123"/>
      <c r="M4039" s="123"/>
      <c r="N4039" s="126"/>
    </row>
    <row r="4040" spans="1:14" s="3" customFormat="1" ht="31.2" customHeight="1">
      <c r="A4040" s="127" t="s">
        <v>1898</v>
      </c>
      <c r="B4040" s="170"/>
      <c r="C4040" s="170"/>
      <c r="D4040" s="170"/>
      <c r="E4040" s="170"/>
      <c r="F4040" s="171" t="s">
        <v>1885</v>
      </c>
      <c r="G4040" s="597" t="e">
        <f>VLOOKUP(G4043, 'Detail PL'!$B$14:$Q$799,2)</f>
        <v>#N/A</v>
      </c>
      <c r="H4040" s="597"/>
      <c r="I4040" s="597"/>
      <c r="J4040" s="597"/>
      <c r="K4040" s="597"/>
      <c r="L4040" s="597"/>
      <c r="M4040" s="597"/>
      <c r="N4040" s="128"/>
    </row>
    <row r="4041" spans="1:14" s="3" customFormat="1" ht="25.2">
      <c r="A4041" s="127" t="s">
        <v>1899</v>
      </c>
      <c r="B4041" s="170"/>
      <c r="C4041" s="170"/>
      <c r="D4041" s="170"/>
      <c r="E4041" s="170"/>
      <c r="F4041" s="171"/>
      <c r="G4041" s="170"/>
      <c r="H4041" s="170"/>
      <c r="I4041" s="170"/>
      <c r="J4041" s="170"/>
      <c r="K4041" s="170"/>
      <c r="L4041" s="170"/>
      <c r="M4041" s="170"/>
      <c r="N4041" s="128"/>
    </row>
    <row r="4042" spans="1:14" s="3" customFormat="1" ht="9.9" customHeight="1">
      <c r="A4042" s="125"/>
      <c r="B4042" s="123"/>
      <c r="C4042" s="123"/>
      <c r="D4042" s="123"/>
      <c r="E4042" s="123"/>
      <c r="F4042" s="167"/>
      <c r="G4042" s="123"/>
      <c r="H4042" s="123"/>
      <c r="I4042" s="123"/>
      <c r="J4042" s="123"/>
      <c r="K4042" s="123"/>
      <c r="L4042" s="123"/>
      <c r="M4042" s="123"/>
      <c r="N4042" s="126"/>
    </row>
    <row r="4043" spans="1:14" s="3" customFormat="1" ht="25.2">
      <c r="A4043" s="125" t="s">
        <v>1900</v>
      </c>
      <c r="B4043" s="123"/>
      <c r="C4043" s="123"/>
      <c r="D4043" s="123"/>
      <c r="E4043" s="123"/>
      <c r="F4043" s="171" t="s">
        <v>1901</v>
      </c>
      <c r="G4043" s="604">
        <f t="shared" ref="G4043" si="113">G4008+1</f>
        <v>116</v>
      </c>
      <c r="H4043" s="604"/>
      <c r="I4043" s="604"/>
      <c r="J4043" s="604"/>
      <c r="K4043" s="604"/>
      <c r="L4043" s="123"/>
      <c r="M4043" s="123"/>
      <c r="N4043" s="126"/>
    </row>
    <row r="4044" spans="1:14" s="4" customFormat="1" ht="25.2">
      <c r="A4044" s="125" t="s">
        <v>1903</v>
      </c>
      <c r="B4044" s="123"/>
      <c r="C4044" s="123"/>
      <c r="D4044" s="123"/>
      <c r="E4044" s="123"/>
      <c r="F4044" s="167"/>
      <c r="G4044" s="167"/>
      <c r="H4044" s="123"/>
      <c r="I4044" s="123"/>
      <c r="J4044" s="123"/>
      <c r="K4044" s="123"/>
      <c r="L4044" s="123"/>
      <c r="M4044" s="123"/>
      <c r="N4044" s="126"/>
    </row>
    <row r="4045" spans="1:14" s="3" customFormat="1" ht="9.9" customHeight="1">
      <c r="A4045" s="125"/>
      <c r="B4045" s="123"/>
      <c r="C4045" s="123"/>
      <c r="D4045" s="123"/>
      <c r="E4045" s="123"/>
      <c r="F4045" s="167"/>
      <c r="G4045" s="167"/>
      <c r="H4045" s="123"/>
      <c r="I4045" s="123"/>
      <c r="J4045" s="123"/>
      <c r="K4045" s="123"/>
      <c r="L4045" s="123"/>
      <c r="M4045" s="123"/>
      <c r="N4045" s="126"/>
    </row>
    <row r="4046" spans="1:14" s="3" customFormat="1" ht="25.2">
      <c r="A4046" s="125" t="s">
        <v>1904</v>
      </c>
      <c r="B4046" s="123"/>
      <c r="C4046" s="123"/>
      <c r="D4046" s="123"/>
      <c r="E4046" s="123"/>
      <c r="F4046" s="167" t="s">
        <v>1896</v>
      </c>
      <c r="G4046" s="204" t="e">
        <f>VLOOKUP(G4043, 'Detail PL'!$B$14:$Q$799, 10)</f>
        <v>#N/A</v>
      </c>
      <c r="H4046" s="204" t="s">
        <v>1905</v>
      </c>
      <c r="I4046" s="204"/>
      <c r="J4046" s="204"/>
      <c r="K4046" s="123"/>
      <c r="L4046" s="123"/>
      <c r="M4046" s="123"/>
      <c r="N4046" s="126"/>
    </row>
    <row r="4047" spans="1:14" s="4" customFormat="1" ht="25.2">
      <c r="A4047" s="125" t="s">
        <v>1906</v>
      </c>
      <c r="B4047" s="123"/>
      <c r="C4047" s="123"/>
      <c r="D4047" s="123"/>
      <c r="E4047" s="123"/>
      <c r="F4047" s="167"/>
      <c r="G4047" s="167"/>
      <c r="H4047" s="167"/>
      <c r="I4047" s="123"/>
      <c r="J4047" s="123"/>
      <c r="K4047" s="123"/>
      <c r="L4047" s="123"/>
      <c r="M4047" s="123"/>
      <c r="N4047" s="126"/>
    </row>
    <row r="4048" spans="1:14" s="3" customFormat="1" ht="9.9" customHeight="1">
      <c r="A4048" s="125"/>
      <c r="B4048" s="123"/>
      <c r="C4048" s="123"/>
      <c r="D4048" s="123"/>
      <c r="E4048" s="123"/>
      <c r="F4048" s="167"/>
      <c r="G4048" s="167"/>
      <c r="H4048" s="167"/>
      <c r="I4048" s="123"/>
      <c r="J4048" s="123"/>
      <c r="K4048" s="123"/>
      <c r="L4048" s="123"/>
      <c r="M4048" s="123"/>
      <c r="N4048" s="126"/>
    </row>
    <row r="4049" spans="1:15" s="3" customFormat="1" ht="25.2">
      <c r="A4049" s="125" t="s">
        <v>1907</v>
      </c>
      <c r="B4049" s="123"/>
      <c r="C4049" s="123"/>
      <c r="D4049" s="123"/>
      <c r="E4049" s="123"/>
      <c r="F4049" s="167" t="s">
        <v>1896</v>
      </c>
      <c r="G4049" s="204" t="e">
        <f>VLOOKUP(G4043, 'Detail PL'!$B$14:$Q$799, 11)</f>
        <v>#N/A</v>
      </c>
      <c r="H4049" s="204" t="s">
        <v>1905</v>
      </c>
      <c r="I4049" s="204"/>
      <c r="J4049" s="204"/>
      <c r="K4049" s="123"/>
      <c r="L4049" s="123"/>
      <c r="M4049" s="123"/>
      <c r="N4049" s="126"/>
    </row>
    <row r="4050" spans="1:15" s="4" customFormat="1" ht="25.2">
      <c r="A4050" s="125" t="s">
        <v>1908</v>
      </c>
      <c r="B4050" s="123"/>
      <c r="C4050" s="123"/>
      <c r="D4050" s="123"/>
      <c r="E4050" s="123"/>
      <c r="F4050" s="167"/>
      <c r="G4050" s="167"/>
      <c r="H4050" s="123"/>
      <c r="I4050" s="123"/>
      <c r="J4050" s="123"/>
      <c r="K4050" s="123"/>
      <c r="L4050" s="123"/>
      <c r="M4050" s="123"/>
      <c r="N4050" s="126"/>
    </row>
    <row r="4051" spans="1:15" s="3" customFormat="1" ht="9.9" customHeight="1">
      <c r="A4051" s="125"/>
      <c r="B4051" s="123"/>
      <c r="C4051" s="123"/>
      <c r="D4051" s="123"/>
      <c r="E4051" s="123"/>
      <c r="F4051" s="167"/>
      <c r="G4051" s="167"/>
      <c r="H4051" s="123"/>
      <c r="I4051" s="123"/>
      <c r="J4051" s="123"/>
      <c r="K4051" s="123"/>
      <c r="L4051" s="123"/>
      <c r="M4051" s="123"/>
      <c r="N4051" s="126"/>
    </row>
    <row r="4052" spans="1:15" s="3" customFormat="1" ht="25.2">
      <c r="A4052" s="129" t="s">
        <v>1909</v>
      </c>
      <c r="B4052" s="123"/>
      <c r="C4052" s="123"/>
      <c r="D4052" s="123"/>
      <c r="E4052" s="123"/>
      <c r="F4052" s="167" t="s">
        <v>1896</v>
      </c>
      <c r="G4052" s="204" t="e">
        <f>VLOOKUP(G4043, 'Detail PL'!$B$14:$Q$799, 9)</f>
        <v>#N/A</v>
      </c>
      <c r="H4052" s="205" t="s">
        <v>1910</v>
      </c>
      <c r="I4052" s="203"/>
      <c r="J4052" s="203"/>
      <c r="K4052" s="172"/>
      <c r="L4052" s="123"/>
      <c r="M4052" s="123"/>
      <c r="N4052" s="126"/>
    </row>
    <row r="4053" spans="1:15" s="4" customFormat="1" ht="25.2">
      <c r="A4053" s="125" t="s">
        <v>1911</v>
      </c>
      <c r="B4053" s="123"/>
      <c r="C4053" s="123"/>
      <c r="D4053" s="123"/>
      <c r="E4053" s="123"/>
      <c r="F4053" s="167"/>
      <c r="G4053" s="167"/>
      <c r="H4053" s="123"/>
      <c r="I4053" s="123"/>
      <c r="J4053" s="123"/>
      <c r="K4053" s="123"/>
      <c r="L4053" s="123"/>
      <c r="M4053" s="123"/>
      <c r="N4053" s="126"/>
    </row>
    <row r="4054" spans="1:15" s="3" customFormat="1" ht="9.9" customHeight="1">
      <c r="A4054" s="125"/>
      <c r="B4054" s="123"/>
      <c r="C4054" s="123"/>
      <c r="D4054" s="123"/>
      <c r="E4054" s="123"/>
      <c r="F4054" s="167"/>
      <c r="G4054" s="167"/>
      <c r="H4054" s="123"/>
      <c r="I4054" s="123"/>
      <c r="J4054" s="123"/>
      <c r="K4054" s="123"/>
      <c r="L4054" s="123"/>
      <c r="M4054" s="123"/>
      <c r="N4054" s="126"/>
    </row>
    <row r="4055" spans="1:15" s="3" customFormat="1" ht="42" customHeight="1">
      <c r="A4055" s="125" t="s">
        <v>1912</v>
      </c>
      <c r="B4055" s="123"/>
      <c r="C4055" s="123"/>
      <c r="D4055" s="123"/>
      <c r="E4055" s="123"/>
      <c r="F4055" s="166" t="s">
        <v>1913</v>
      </c>
      <c r="G4055" s="595" t="s">
        <v>1914</v>
      </c>
      <c r="H4055" s="595"/>
      <c r="I4055" s="595"/>
      <c r="J4055" s="595"/>
      <c r="K4055" s="595"/>
      <c r="L4055" s="595"/>
      <c r="M4055" s="595"/>
      <c r="N4055" s="596"/>
    </row>
    <row r="4056" spans="1:15" s="4" customFormat="1" ht="25.8" thickBot="1">
      <c r="A4056" s="125" t="s">
        <v>1915</v>
      </c>
      <c r="B4056" s="123"/>
      <c r="C4056" s="123"/>
      <c r="D4056" s="123"/>
      <c r="E4056" s="123"/>
      <c r="F4056" s="167"/>
      <c r="G4056" s="167"/>
      <c r="H4056" s="123"/>
      <c r="I4056" s="123"/>
      <c r="J4056" s="123"/>
      <c r="K4056" s="123"/>
      <c r="L4056" s="123"/>
      <c r="M4056" s="123"/>
      <c r="N4056" s="126"/>
    </row>
    <row r="4057" spans="1:15" ht="21" customHeight="1">
      <c r="A4057" s="598" t="s">
        <v>1916</v>
      </c>
      <c r="B4057" s="599"/>
      <c r="C4057" s="599"/>
      <c r="D4057" s="599"/>
      <c r="E4057" s="599"/>
      <c r="F4057" s="599"/>
      <c r="G4057" s="599"/>
      <c r="H4057" s="599"/>
      <c r="I4057" s="599"/>
      <c r="J4057" s="599"/>
      <c r="K4057" s="599"/>
      <c r="L4057" s="599"/>
      <c r="M4057" s="599"/>
      <c r="N4057" s="600"/>
    </row>
    <row r="4058" spans="1:15" ht="25.5" customHeight="1" thickBot="1">
      <c r="A4058" s="601"/>
      <c r="B4058" s="602"/>
      <c r="C4058" s="602"/>
      <c r="D4058" s="602"/>
      <c r="E4058" s="602"/>
      <c r="F4058" s="602"/>
      <c r="G4058" s="602"/>
      <c r="H4058" s="602"/>
      <c r="I4058" s="602"/>
      <c r="J4058" s="602"/>
      <c r="K4058" s="602"/>
      <c r="L4058" s="602"/>
      <c r="M4058" s="602"/>
      <c r="N4058" s="603"/>
    </row>
    <row r="4059" spans="1:15" ht="25.5" customHeight="1">
      <c r="E4059" s="206"/>
      <c r="F4059" s="206"/>
      <c r="G4059" s="206"/>
      <c r="H4059" s="206"/>
      <c r="I4059" s="206"/>
      <c r="J4059" s="206"/>
      <c r="K4059" s="206"/>
    </row>
    <row r="4060" spans="1:15" ht="21.6" thickBot="1"/>
    <row r="4061" spans="1:15" ht="95.25" customHeight="1" thickBot="1">
      <c r="A4061" s="592" t="s">
        <v>1883</v>
      </c>
      <c r="B4061" s="593"/>
      <c r="C4061" s="593"/>
      <c r="D4061" s="593"/>
      <c r="E4061" s="593"/>
      <c r="F4061" s="593"/>
      <c r="G4061" s="593"/>
      <c r="H4061" s="593"/>
      <c r="I4061" s="593"/>
      <c r="J4061" s="593"/>
      <c r="K4061" s="593"/>
      <c r="L4061" s="593"/>
      <c r="M4061" s="593"/>
      <c r="N4061" s="594"/>
    </row>
    <row r="4062" spans="1:15" s="3" customFormat="1" ht="37.5" customHeight="1">
      <c r="A4062" s="134" t="s">
        <v>1884</v>
      </c>
      <c r="B4062" s="166"/>
      <c r="C4062" s="166"/>
      <c r="D4062" s="123"/>
      <c r="E4062" s="123"/>
      <c r="F4062" s="167" t="s">
        <v>1885</v>
      </c>
      <c r="G4062" s="167" t="s">
        <v>1886</v>
      </c>
      <c r="H4062" s="167"/>
      <c r="I4062" s="167"/>
      <c r="J4062" s="167"/>
      <c r="K4062" s="167"/>
      <c r="L4062" s="167"/>
      <c r="M4062" s="167"/>
      <c r="N4062" s="152"/>
      <c r="O4062" s="201"/>
    </row>
    <row r="4063" spans="1:15" s="4" customFormat="1" ht="25.2">
      <c r="A4063" s="125" t="s">
        <v>1887</v>
      </c>
      <c r="B4063" s="123"/>
      <c r="C4063" s="123"/>
      <c r="D4063" s="123"/>
      <c r="E4063" s="123"/>
      <c r="F4063" s="167"/>
      <c r="G4063" s="167" t="s">
        <v>1888</v>
      </c>
      <c r="H4063" s="167"/>
      <c r="I4063" s="167"/>
      <c r="J4063" s="167"/>
      <c r="K4063" s="167"/>
      <c r="L4063" s="167"/>
      <c r="M4063" s="167"/>
      <c r="N4063" s="152"/>
    </row>
    <row r="4064" spans="1:15" s="3" customFormat="1" ht="9.9" customHeight="1">
      <c r="A4064" s="125"/>
      <c r="B4064" s="123"/>
      <c r="C4064" s="123"/>
      <c r="D4064" s="123"/>
      <c r="E4064" s="123"/>
      <c r="F4064" s="167"/>
      <c r="G4064" s="123"/>
      <c r="H4064" s="123"/>
      <c r="I4064" s="123"/>
      <c r="J4064" s="123"/>
      <c r="K4064" s="123"/>
      <c r="L4064" s="123"/>
      <c r="M4064" s="123"/>
      <c r="N4064" s="126"/>
    </row>
    <row r="4065" spans="1:14" s="3" customFormat="1" ht="42.75" customHeight="1">
      <c r="A4065" s="125" t="s">
        <v>1889</v>
      </c>
      <c r="B4065" s="123"/>
      <c r="C4065" s="123"/>
      <c r="D4065" s="123"/>
      <c r="E4065" s="123"/>
      <c r="F4065" s="167" t="s">
        <v>1885</v>
      </c>
      <c r="G4065" s="167" t="str">
        <f>PL!$B$13</f>
        <v>Branch of JSC "Doosan Enerbility" in the Turkestan region</v>
      </c>
      <c r="H4065" s="123"/>
      <c r="I4065" s="123"/>
      <c r="J4065" s="123"/>
      <c r="K4065" s="123"/>
      <c r="L4065" s="123"/>
      <c r="M4065" s="123"/>
      <c r="N4065" s="126"/>
    </row>
    <row r="4066" spans="1:14" s="3" customFormat="1" ht="24" customHeight="1">
      <c r="A4066" s="125" t="s">
        <v>1890</v>
      </c>
      <c r="B4066" s="123"/>
      <c r="C4066" s="123"/>
      <c r="D4066" s="123"/>
      <c r="E4066" s="123"/>
      <c r="F4066" s="168"/>
      <c r="G4066" s="167" t="str">
        <f>PL!$B$14</f>
        <v>321 Tauke Khan Avenue, Turkestan region, Turkestan, Kazakhstan, 161200</v>
      </c>
      <c r="H4066" s="123"/>
      <c r="I4066" s="123"/>
      <c r="J4066" s="123"/>
      <c r="K4066" s="123"/>
      <c r="L4066" s="123"/>
      <c r="M4066" s="123"/>
      <c r="N4066" s="126"/>
    </row>
    <row r="4067" spans="1:14" s="4" customFormat="1" ht="25.2">
      <c r="A4067" s="125"/>
      <c r="B4067" s="123"/>
      <c r="C4067" s="123"/>
      <c r="D4067" s="123"/>
      <c r="E4067" s="123"/>
      <c r="F4067" s="168"/>
      <c r="G4067" s="167" t="str">
        <f>PL!$B$15</f>
        <v>BIN: 230741006561</v>
      </c>
      <c r="H4067" s="123"/>
      <c r="I4067" s="123"/>
      <c r="J4067" s="123"/>
      <c r="K4067" s="123"/>
      <c r="L4067" s="123"/>
      <c r="M4067" s="123"/>
      <c r="N4067" s="126"/>
    </row>
    <row r="4068" spans="1:14" s="3" customFormat="1" ht="9.9" customHeight="1">
      <c r="A4068" s="125"/>
      <c r="B4068" s="123"/>
      <c r="C4068" s="123"/>
      <c r="D4068" s="123"/>
      <c r="E4068" s="123"/>
      <c r="F4068" s="169"/>
      <c r="G4068" s="169"/>
      <c r="H4068" s="123"/>
      <c r="I4068" s="123"/>
      <c r="J4068" s="123"/>
      <c r="K4068" s="123"/>
      <c r="L4068" s="123"/>
      <c r="M4068" s="123"/>
      <c r="N4068" s="126"/>
    </row>
    <row r="4069" spans="1:14" s="3" customFormat="1" ht="25.2">
      <c r="A4069" s="125" t="s">
        <v>1891</v>
      </c>
      <c r="B4069" s="123"/>
      <c r="C4069" s="123"/>
      <c r="D4069" s="123"/>
      <c r="E4069" s="123"/>
      <c r="F4069" s="167" t="s">
        <v>1892</v>
      </c>
      <c r="G4069" s="123"/>
      <c r="H4069" s="123"/>
      <c r="I4069" s="123"/>
      <c r="J4069" s="123"/>
      <c r="K4069" s="123"/>
      <c r="L4069" s="123"/>
      <c r="M4069" s="123"/>
      <c r="N4069" s="126"/>
    </row>
    <row r="4070" spans="1:14" s="4" customFormat="1" ht="25.2">
      <c r="A4070" s="125" t="s">
        <v>1893</v>
      </c>
      <c r="B4070" s="123"/>
      <c r="C4070" s="123"/>
      <c r="D4070" s="123"/>
      <c r="E4070" s="123"/>
      <c r="F4070" s="167" t="s">
        <v>1894</v>
      </c>
      <c r="G4070" s="123"/>
      <c r="H4070" s="123"/>
      <c r="I4070" s="123"/>
      <c r="J4070" s="123"/>
      <c r="K4070" s="123"/>
      <c r="L4070" s="123"/>
      <c r="M4070" s="123"/>
      <c r="N4070" s="126"/>
    </row>
    <row r="4071" spans="1:14" s="3" customFormat="1" ht="9.9" customHeight="1">
      <c r="A4071" s="125"/>
      <c r="B4071" s="123"/>
      <c r="C4071" s="123"/>
      <c r="D4071" s="123"/>
      <c r="E4071" s="123"/>
      <c r="F4071" s="167"/>
      <c r="G4071" s="123"/>
      <c r="H4071" s="123"/>
      <c r="I4071" s="123"/>
      <c r="J4071" s="123"/>
      <c r="K4071" s="123"/>
      <c r="L4071" s="123"/>
      <c r="M4071" s="123"/>
      <c r="N4071" s="126"/>
    </row>
    <row r="4072" spans="1:14" s="3" customFormat="1" ht="25.2">
      <c r="A4072" s="125" t="s">
        <v>1895</v>
      </c>
      <c r="B4072" s="123"/>
      <c r="C4072" s="123"/>
      <c r="D4072" s="123"/>
      <c r="E4072" s="123"/>
      <c r="F4072" s="167" t="s">
        <v>1896</v>
      </c>
      <c r="G4072" s="167" t="str">
        <f>PL!$V$8</f>
        <v>PGU-DE-0139-001</v>
      </c>
      <c r="H4072" s="123"/>
      <c r="I4072" s="123"/>
      <c r="J4072" s="123"/>
      <c r="K4072" s="123"/>
      <c r="L4072" s="123"/>
      <c r="M4072" s="123"/>
      <c r="N4072" s="126"/>
    </row>
    <row r="4073" spans="1:14" s="3" customFormat="1" ht="25.2">
      <c r="A4073" s="125" t="s">
        <v>1897</v>
      </c>
      <c r="B4073" s="123"/>
      <c r="C4073" s="123"/>
      <c r="D4073" s="123"/>
      <c r="E4073" s="123"/>
      <c r="F4073" s="167"/>
      <c r="G4073" s="123"/>
      <c r="H4073" s="123"/>
      <c r="I4073" s="123"/>
      <c r="J4073" s="123"/>
      <c r="K4073" s="123"/>
      <c r="L4073" s="123"/>
      <c r="M4073" s="123"/>
      <c r="N4073" s="126"/>
    </row>
    <row r="4074" spans="1:14" s="3" customFormat="1" ht="9.9" customHeight="1">
      <c r="A4074" s="125"/>
      <c r="B4074" s="123"/>
      <c r="C4074" s="123"/>
      <c r="D4074" s="123"/>
      <c r="E4074" s="123"/>
      <c r="F4074" s="167"/>
      <c r="G4074" s="123"/>
      <c r="H4074" s="123"/>
      <c r="I4074" s="123"/>
      <c r="J4074" s="123"/>
      <c r="K4074" s="123"/>
      <c r="L4074" s="123"/>
      <c r="M4074" s="123"/>
      <c r="N4074" s="126"/>
    </row>
    <row r="4075" spans="1:14" s="3" customFormat="1" ht="31.2" customHeight="1">
      <c r="A4075" s="127" t="s">
        <v>1898</v>
      </c>
      <c r="B4075" s="170"/>
      <c r="C4075" s="170"/>
      <c r="D4075" s="170"/>
      <c r="E4075" s="170"/>
      <c r="F4075" s="171" t="s">
        <v>1885</v>
      </c>
      <c r="G4075" s="597" t="e">
        <f>VLOOKUP(G4078, 'Detail PL'!$B$14:$Q$799,2)</f>
        <v>#N/A</v>
      </c>
      <c r="H4075" s="597"/>
      <c r="I4075" s="597"/>
      <c r="J4075" s="597"/>
      <c r="K4075" s="597"/>
      <c r="L4075" s="597"/>
      <c r="M4075" s="597"/>
      <c r="N4075" s="128"/>
    </row>
    <row r="4076" spans="1:14" s="3" customFormat="1" ht="25.2">
      <c r="A4076" s="127" t="s">
        <v>1899</v>
      </c>
      <c r="B4076" s="170"/>
      <c r="C4076" s="170"/>
      <c r="D4076" s="170"/>
      <c r="E4076" s="170"/>
      <c r="F4076" s="171"/>
      <c r="G4076" s="170"/>
      <c r="H4076" s="170"/>
      <c r="I4076" s="170"/>
      <c r="J4076" s="170"/>
      <c r="K4076" s="170"/>
      <c r="L4076" s="170"/>
      <c r="M4076" s="170"/>
      <c r="N4076" s="128"/>
    </row>
    <row r="4077" spans="1:14" s="3" customFormat="1" ht="9.9" customHeight="1">
      <c r="A4077" s="125"/>
      <c r="B4077" s="123"/>
      <c r="C4077" s="123"/>
      <c r="D4077" s="123"/>
      <c r="E4077" s="123"/>
      <c r="F4077" s="167"/>
      <c r="G4077" s="123"/>
      <c r="H4077" s="123"/>
      <c r="I4077" s="123"/>
      <c r="J4077" s="123"/>
      <c r="K4077" s="123"/>
      <c r="L4077" s="123"/>
      <c r="M4077" s="123"/>
      <c r="N4077" s="126"/>
    </row>
    <row r="4078" spans="1:14" s="3" customFormat="1" ht="25.2">
      <c r="A4078" s="125" t="s">
        <v>1900</v>
      </c>
      <c r="B4078" s="123"/>
      <c r="C4078" s="123"/>
      <c r="D4078" s="123"/>
      <c r="E4078" s="123"/>
      <c r="F4078" s="171" t="s">
        <v>1901</v>
      </c>
      <c r="G4078" s="604">
        <f t="shared" ref="G4078" si="114">G4043+1</f>
        <v>117</v>
      </c>
      <c r="H4078" s="604"/>
      <c r="I4078" s="604"/>
      <c r="J4078" s="604"/>
      <c r="K4078" s="604"/>
      <c r="L4078" s="123"/>
      <c r="M4078" s="123"/>
      <c r="N4078" s="126"/>
    </row>
    <row r="4079" spans="1:14" s="4" customFormat="1" ht="25.2">
      <c r="A4079" s="125" t="s">
        <v>1903</v>
      </c>
      <c r="B4079" s="123"/>
      <c r="C4079" s="123"/>
      <c r="D4079" s="123"/>
      <c r="E4079" s="123"/>
      <c r="F4079" s="167"/>
      <c r="G4079" s="167"/>
      <c r="H4079" s="123"/>
      <c r="I4079" s="123"/>
      <c r="J4079" s="123"/>
      <c r="K4079" s="123"/>
      <c r="L4079" s="123"/>
      <c r="M4079" s="123"/>
      <c r="N4079" s="126"/>
    </row>
    <row r="4080" spans="1:14" s="3" customFormat="1" ht="9.9" customHeight="1">
      <c r="A4080" s="125"/>
      <c r="B4080" s="123"/>
      <c r="C4080" s="123"/>
      <c r="D4080" s="123"/>
      <c r="E4080" s="123"/>
      <c r="F4080" s="167"/>
      <c r="G4080" s="167"/>
      <c r="H4080" s="123"/>
      <c r="I4080" s="123"/>
      <c r="J4080" s="123"/>
      <c r="K4080" s="123"/>
      <c r="L4080" s="123"/>
      <c r="M4080" s="123"/>
      <c r="N4080" s="126"/>
    </row>
    <row r="4081" spans="1:14" s="3" customFormat="1" ht="25.2">
      <c r="A4081" s="125" t="s">
        <v>1904</v>
      </c>
      <c r="B4081" s="123"/>
      <c r="C4081" s="123"/>
      <c r="D4081" s="123"/>
      <c r="E4081" s="123"/>
      <c r="F4081" s="167" t="s">
        <v>1896</v>
      </c>
      <c r="G4081" s="204" t="e">
        <f>VLOOKUP(G4078, 'Detail PL'!$B$14:$Q$799, 10)</f>
        <v>#N/A</v>
      </c>
      <c r="H4081" s="204" t="s">
        <v>1905</v>
      </c>
      <c r="I4081" s="204"/>
      <c r="J4081" s="204"/>
      <c r="K4081" s="123"/>
      <c r="L4081" s="123"/>
      <c r="M4081" s="123"/>
      <c r="N4081" s="126"/>
    </row>
    <row r="4082" spans="1:14" s="4" customFormat="1" ht="25.2">
      <c r="A4082" s="125" t="s">
        <v>1906</v>
      </c>
      <c r="B4082" s="123"/>
      <c r="C4082" s="123"/>
      <c r="D4082" s="123"/>
      <c r="E4082" s="123"/>
      <c r="F4082" s="167"/>
      <c r="G4082" s="167"/>
      <c r="H4082" s="167"/>
      <c r="I4082" s="123"/>
      <c r="J4082" s="123"/>
      <c r="K4082" s="123"/>
      <c r="L4082" s="123"/>
      <c r="M4082" s="123"/>
      <c r="N4082" s="126"/>
    </row>
    <row r="4083" spans="1:14" s="3" customFormat="1" ht="9.9" customHeight="1">
      <c r="A4083" s="125"/>
      <c r="B4083" s="123"/>
      <c r="C4083" s="123"/>
      <c r="D4083" s="123"/>
      <c r="E4083" s="123"/>
      <c r="F4083" s="167"/>
      <c r="G4083" s="167"/>
      <c r="H4083" s="167"/>
      <c r="I4083" s="123"/>
      <c r="J4083" s="123"/>
      <c r="K4083" s="123"/>
      <c r="L4083" s="123"/>
      <c r="M4083" s="123"/>
      <c r="N4083" s="126"/>
    </row>
    <row r="4084" spans="1:14" s="3" customFormat="1" ht="25.2">
      <c r="A4084" s="125" t="s">
        <v>1907</v>
      </c>
      <c r="B4084" s="123"/>
      <c r="C4084" s="123"/>
      <c r="D4084" s="123"/>
      <c r="E4084" s="123"/>
      <c r="F4084" s="167" t="s">
        <v>1896</v>
      </c>
      <c r="G4084" s="204" t="e">
        <f>VLOOKUP(G4078, 'Detail PL'!$B$14:$Q$799, 11)</f>
        <v>#N/A</v>
      </c>
      <c r="H4084" s="204" t="s">
        <v>1905</v>
      </c>
      <c r="I4084" s="204"/>
      <c r="J4084" s="204"/>
      <c r="K4084" s="123"/>
      <c r="L4084" s="123"/>
      <c r="M4084" s="123"/>
      <c r="N4084" s="126"/>
    </row>
    <row r="4085" spans="1:14" s="4" customFormat="1" ht="25.2">
      <c r="A4085" s="125" t="s">
        <v>1908</v>
      </c>
      <c r="B4085" s="123"/>
      <c r="C4085" s="123"/>
      <c r="D4085" s="123"/>
      <c r="E4085" s="123"/>
      <c r="F4085" s="167"/>
      <c r="G4085" s="167"/>
      <c r="H4085" s="123"/>
      <c r="I4085" s="123"/>
      <c r="J4085" s="123"/>
      <c r="K4085" s="123"/>
      <c r="L4085" s="123"/>
      <c r="M4085" s="123"/>
      <c r="N4085" s="126"/>
    </row>
    <row r="4086" spans="1:14" s="3" customFormat="1" ht="9.9" customHeight="1">
      <c r="A4086" s="125"/>
      <c r="B4086" s="123"/>
      <c r="C4086" s="123"/>
      <c r="D4086" s="123"/>
      <c r="E4086" s="123"/>
      <c r="F4086" s="167"/>
      <c r="G4086" s="167"/>
      <c r="H4086" s="123"/>
      <c r="I4086" s="123"/>
      <c r="J4086" s="123"/>
      <c r="K4086" s="123"/>
      <c r="L4086" s="123"/>
      <c r="M4086" s="123"/>
      <c r="N4086" s="126"/>
    </row>
    <row r="4087" spans="1:14" s="3" customFormat="1" ht="25.2">
      <c r="A4087" s="129" t="s">
        <v>1909</v>
      </c>
      <c r="B4087" s="123"/>
      <c r="C4087" s="123"/>
      <c r="D4087" s="123"/>
      <c r="E4087" s="123"/>
      <c r="F4087" s="167" t="s">
        <v>1896</v>
      </c>
      <c r="G4087" s="204" t="e">
        <f>VLOOKUP(G4078, 'Detail PL'!$B$14:$Q$799, 9)</f>
        <v>#N/A</v>
      </c>
      <c r="H4087" s="205" t="s">
        <v>1910</v>
      </c>
      <c r="I4087" s="203"/>
      <c r="J4087" s="203"/>
      <c r="K4087" s="172"/>
      <c r="L4087" s="123"/>
      <c r="M4087" s="123"/>
      <c r="N4087" s="126"/>
    </row>
    <row r="4088" spans="1:14" s="4" customFormat="1" ht="25.2">
      <c r="A4088" s="125" t="s">
        <v>1911</v>
      </c>
      <c r="B4088" s="123"/>
      <c r="C4088" s="123"/>
      <c r="D4088" s="123"/>
      <c r="E4088" s="123"/>
      <c r="F4088" s="167"/>
      <c r="G4088" s="167"/>
      <c r="H4088" s="123"/>
      <c r="I4088" s="123"/>
      <c r="J4088" s="123"/>
      <c r="K4088" s="123"/>
      <c r="L4088" s="123"/>
      <c r="M4088" s="123"/>
      <c r="N4088" s="126"/>
    </row>
    <row r="4089" spans="1:14" s="3" customFormat="1" ht="9.9" customHeight="1">
      <c r="A4089" s="125"/>
      <c r="B4089" s="123"/>
      <c r="C4089" s="123"/>
      <c r="D4089" s="123"/>
      <c r="E4089" s="123"/>
      <c r="F4089" s="167"/>
      <c r="G4089" s="167"/>
      <c r="H4089" s="123"/>
      <c r="I4089" s="123"/>
      <c r="J4089" s="123"/>
      <c r="K4089" s="123"/>
      <c r="L4089" s="123"/>
      <c r="M4089" s="123"/>
      <c r="N4089" s="126"/>
    </row>
    <row r="4090" spans="1:14" s="3" customFormat="1" ht="42" customHeight="1">
      <c r="A4090" s="125" t="s">
        <v>1912</v>
      </c>
      <c r="B4090" s="123"/>
      <c r="C4090" s="123"/>
      <c r="D4090" s="123"/>
      <c r="E4090" s="123"/>
      <c r="F4090" s="166" t="s">
        <v>1913</v>
      </c>
      <c r="G4090" s="595" t="s">
        <v>1914</v>
      </c>
      <c r="H4090" s="595"/>
      <c r="I4090" s="595"/>
      <c r="J4090" s="595"/>
      <c r="K4090" s="595"/>
      <c r="L4090" s="595"/>
      <c r="M4090" s="595"/>
      <c r="N4090" s="596"/>
    </row>
    <row r="4091" spans="1:14" s="4" customFormat="1" ht="25.8" thickBot="1">
      <c r="A4091" s="125" t="s">
        <v>1915</v>
      </c>
      <c r="B4091" s="123"/>
      <c r="C4091" s="123"/>
      <c r="D4091" s="123"/>
      <c r="E4091" s="123"/>
      <c r="F4091" s="167"/>
      <c r="G4091" s="167"/>
      <c r="H4091" s="123"/>
      <c r="I4091" s="123"/>
      <c r="J4091" s="123"/>
      <c r="K4091" s="123"/>
      <c r="L4091" s="123"/>
      <c r="M4091" s="123"/>
      <c r="N4091" s="126"/>
    </row>
    <row r="4092" spans="1:14" ht="21" customHeight="1">
      <c r="A4092" s="598" t="s">
        <v>1916</v>
      </c>
      <c r="B4092" s="599"/>
      <c r="C4092" s="599"/>
      <c r="D4092" s="599"/>
      <c r="E4092" s="599"/>
      <c r="F4092" s="599"/>
      <c r="G4092" s="599"/>
      <c r="H4092" s="599"/>
      <c r="I4092" s="599"/>
      <c r="J4092" s="599"/>
      <c r="K4092" s="599"/>
      <c r="L4092" s="599"/>
      <c r="M4092" s="599"/>
      <c r="N4092" s="600"/>
    </row>
    <row r="4093" spans="1:14" ht="25.5" customHeight="1" thickBot="1">
      <c r="A4093" s="601"/>
      <c r="B4093" s="602"/>
      <c r="C4093" s="602"/>
      <c r="D4093" s="602"/>
      <c r="E4093" s="602"/>
      <c r="F4093" s="602"/>
      <c r="G4093" s="602"/>
      <c r="H4093" s="602"/>
      <c r="I4093" s="602"/>
      <c r="J4093" s="602"/>
      <c r="K4093" s="602"/>
      <c r="L4093" s="602"/>
      <c r="M4093" s="602"/>
      <c r="N4093" s="603"/>
    </row>
    <row r="4094" spans="1:14" ht="25.5" customHeight="1">
      <c r="E4094" s="206"/>
      <c r="F4094" s="206"/>
      <c r="G4094" s="206"/>
      <c r="H4094" s="206"/>
      <c r="I4094" s="206"/>
      <c r="J4094" s="206"/>
      <c r="K4094" s="206"/>
    </row>
    <row r="4095" spans="1:14" ht="21.6" thickBot="1"/>
    <row r="4096" spans="1:14" ht="95.25" customHeight="1" thickBot="1">
      <c r="A4096" s="592" t="s">
        <v>1883</v>
      </c>
      <c r="B4096" s="593"/>
      <c r="C4096" s="593"/>
      <c r="D4096" s="593"/>
      <c r="E4096" s="593"/>
      <c r="F4096" s="593"/>
      <c r="G4096" s="593"/>
      <c r="H4096" s="593"/>
      <c r="I4096" s="593"/>
      <c r="J4096" s="593"/>
      <c r="K4096" s="593"/>
      <c r="L4096" s="593"/>
      <c r="M4096" s="593"/>
      <c r="N4096" s="594"/>
    </row>
    <row r="4097" spans="1:15" s="3" customFormat="1" ht="37.5" customHeight="1">
      <c r="A4097" s="134" t="s">
        <v>1884</v>
      </c>
      <c r="B4097" s="166"/>
      <c r="C4097" s="166"/>
      <c r="D4097" s="123"/>
      <c r="E4097" s="123"/>
      <c r="F4097" s="167" t="s">
        <v>1885</v>
      </c>
      <c r="G4097" s="167" t="s">
        <v>1886</v>
      </c>
      <c r="H4097" s="167"/>
      <c r="I4097" s="167"/>
      <c r="J4097" s="167"/>
      <c r="K4097" s="167"/>
      <c r="L4097" s="167"/>
      <c r="M4097" s="167"/>
      <c r="N4097" s="152"/>
      <c r="O4097" s="201"/>
    </row>
    <row r="4098" spans="1:15" s="4" customFormat="1" ht="25.2">
      <c r="A4098" s="125" t="s">
        <v>1887</v>
      </c>
      <c r="B4098" s="123"/>
      <c r="C4098" s="123"/>
      <c r="D4098" s="123"/>
      <c r="E4098" s="123"/>
      <c r="F4098" s="167"/>
      <c r="G4098" s="167" t="s">
        <v>1888</v>
      </c>
      <c r="H4098" s="167"/>
      <c r="I4098" s="167"/>
      <c r="J4098" s="167"/>
      <c r="K4098" s="167"/>
      <c r="L4098" s="167"/>
      <c r="M4098" s="167"/>
      <c r="N4098" s="152"/>
    </row>
    <row r="4099" spans="1:15" s="3" customFormat="1" ht="9.9" customHeight="1">
      <c r="A4099" s="125"/>
      <c r="B4099" s="123"/>
      <c r="C4099" s="123"/>
      <c r="D4099" s="123"/>
      <c r="E4099" s="123"/>
      <c r="F4099" s="167"/>
      <c r="G4099" s="123"/>
      <c r="H4099" s="123"/>
      <c r="I4099" s="123"/>
      <c r="J4099" s="123"/>
      <c r="K4099" s="123"/>
      <c r="L4099" s="123"/>
      <c r="M4099" s="123"/>
      <c r="N4099" s="126"/>
    </row>
    <row r="4100" spans="1:15" s="3" customFormat="1" ht="42.75" customHeight="1">
      <c r="A4100" s="125" t="s">
        <v>1889</v>
      </c>
      <c r="B4100" s="123"/>
      <c r="C4100" s="123"/>
      <c r="D4100" s="123"/>
      <c r="E4100" s="123"/>
      <c r="F4100" s="167" t="s">
        <v>1885</v>
      </c>
      <c r="G4100" s="167" t="str">
        <f>PL!$B$13</f>
        <v>Branch of JSC "Doosan Enerbility" in the Turkestan region</v>
      </c>
      <c r="H4100" s="123"/>
      <c r="I4100" s="123"/>
      <c r="J4100" s="123"/>
      <c r="K4100" s="123"/>
      <c r="L4100" s="123"/>
      <c r="M4100" s="123"/>
      <c r="N4100" s="126"/>
    </row>
    <row r="4101" spans="1:15" s="3" customFormat="1" ht="24" customHeight="1">
      <c r="A4101" s="125" t="s">
        <v>1890</v>
      </c>
      <c r="B4101" s="123"/>
      <c r="C4101" s="123"/>
      <c r="D4101" s="123"/>
      <c r="E4101" s="123"/>
      <c r="F4101" s="168"/>
      <c r="G4101" s="167" t="str">
        <f>PL!$B$14</f>
        <v>321 Tauke Khan Avenue, Turkestan region, Turkestan, Kazakhstan, 161200</v>
      </c>
      <c r="H4101" s="123"/>
      <c r="I4101" s="123"/>
      <c r="J4101" s="123"/>
      <c r="K4101" s="123"/>
      <c r="L4101" s="123"/>
      <c r="M4101" s="123"/>
      <c r="N4101" s="126"/>
    </row>
    <row r="4102" spans="1:15" s="4" customFormat="1" ht="25.2">
      <c r="A4102" s="125"/>
      <c r="B4102" s="123"/>
      <c r="C4102" s="123"/>
      <c r="D4102" s="123"/>
      <c r="E4102" s="123"/>
      <c r="F4102" s="168"/>
      <c r="G4102" s="167" t="str">
        <f>PL!$B$15</f>
        <v>BIN: 230741006561</v>
      </c>
      <c r="H4102" s="123"/>
      <c r="I4102" s="123"/>
      <c r="J4102" s="123"/>
      <c r="K4102" s="123"/>
      <c r="L4102" s="123"/>
      <c r="M4102" s="123"/>
      <c r="N4102" s="126"/>
    </row>
    <row r="4103" spans="1:15" s="3" customFormat="1" ht="9.9" customHeight="1">
      <c r="A4103" s="125"/>
      <c r="B4103" s="123"/>
      <c r="C4103" s="123"/>
      <c r="D4103" s="123"/>
      <c r="E4103" s="123"/>
      <c r="F4103" s="169"/>
      <c r="G4103" s="169"/>
      <c r="H4103" s="123"/>
      <c r="I4103" s="123"/>
      <c r="J4103" s="123"/>
      <c r="K4103" s="123"/>
      <c r="L4103" s="123"/>
      <c r="M4103" s="123"/>
      <c r="N4103" s="126"/>
    </row>
    <row r="4104" spans="1:15" s="3" customFormat="1" ht="25.2">
      <c r="A4104" s="125" t="s">
        <v>1891</v>
      </c>
      <c r="B4104" s="123"/>
      <c r="C4104" s="123"/>
      <c r="D4104" s="123"/>
      <c r="E4104" s="123"/>
      <c r="F4104" s="167" t="s">
        <v>1892</v>
      </c>
      <c r="G4104" s="123"/>
      <c r="H4104" s="123"/>
      <c r="I4104" s="123"/>
      <c r="J4104" s="123"/>
      <c r="K4104" s="123"/>
      <c r="L4104" s="123"/>
      <c r="M4104" s="123"/>
      <c r="N4104" s="126"/>
    </row>
    <row r="4105" spans="1:15" s="4" customFormat="1" ht="25.2">
      <c r="A4105" s="125" t="s">
        <v>1893</v>
      </c>
      <c r="B4105" s="123"/>
      <c r="C4105" s="123"/>
      <c r="D4105" s="123"/>
      <c r="E4105" s="123"/>
      <c r="F4105" s="167" t="s">
        <v>1894</v>
      </c>
      <c r="G4105" s="123"/>
      <c r="H4105" s="123"/>
      <c r="I4105" s="123"/>
      <c r="J4105" s="123"/>
      <c r="K4105" s="123"/>
      <c r="L4105" s="123"/>
      <c r="M4105" s="123"/>
      <c r="N4105" s="126"/>
    </row>
    <row r="4106" spans="1:15" s="3" customFormat="1" ht="9.9" customHeight="1">
      <c r="A4106" s="125"/>
      <c r="B4106" s="123"/>
      <c r="C4106" s="123"/>
      <c r="D4106" s="123"/>
      <c r="E4106" s="123"/>
      <c r="F4106" s="167"/>
      <c r="G4106" s="123"/>
      <c r="H4106" s="123"/>
      <c r="I4106" s="123"/>
      <c r="J4106" s="123"/>
      <c r="K4106" s="123"/>
      <c r="L4106" s="123"/>
      <c r="M4106" s="123"/>
      <c r="N4106" s="126"/>
    </row>
    <row r="4107" spans="1:15" s="3" customFormat="1" ht="25.2">
      <c r="A4107" s="125" t="s">
        <v>1895</v>
      </c>
      <c r="B4107" s="123"/>
      <c r="C4107" s="123"/>
      <c r="D4107" s="123"/>
      <c r="E4107" s="123"/>
      <c r="F4107" s="167" t="s">
        <v>1896</v>
      </c>
      <c r="G4107" s="167" t="str">
        <f>PL!$V$8</f>
        <v>PGU-DE-0139-001</v>
      </c>
      <c r="H4107" s="123"/>
      <c r="I4107" s="123"/>
      <c r="J4107" s="123"/>
      <c r="K4107" s="123"/>
      <c r="L4107" s="123"/>
      <c r="M4107" s="123"/>
      <c r="N4107" s="126"/>
    </row>
    <row r="4108" spans="1:15" s="3" customFormat="1" ht="25.2">
      <c r="A4108" s="125" t="s">
        <v>1897</v>
      </c>
      <c r="B4108" s="123"/>
      <c r="C4108" s="123"/>
      <c r="D4108" s="123"/>
      <c r="E4108" s="123"/>
      <c r="F4108" s="167"/>
      <c r="G4108" s="123"/>
      <c r="H4108" s="123"/>
      <c r="I4108" s="123"/>
      <c r="J4108" s="123"/>
      <c r="K4108" s="123"/>
      <c r="L4108" s="123"/>
      <c r="M4108" s="123"/>
      <c r="N4108" s="126"/>
    </row>
    <row r="4109" spans="1:15" s="3" customFormat="1" ht="9.9" customHeight="1">
      <c r="A4109" s="125"/>
      <c r="B4109" s="123"/>
      <c r="C4109" s="123"/>
      <c r="D4109" s="123"/>
      <c r="E4109" s="123"/>
      <c r="F4109" s="167"/>
      <c r="G4109" s="123"/>
      <c r="H4109" s="123"/>
      <c r="I4109" s="123"/>
      <c r="J4109" s="123"/>
      <c r="K4109" s="123"/>
      <c r="L4109" s="123"/>
      <c r="M4109" s="123"/>
      <c r="N4109" s="126"/>
    </row>
    <row r="4110" spans="1:15" s="3" customFormat="1" ht="31.2" customHeight="1">
      <c r="A4110" s="127" t="s">
        <v>1898</v>
      </c>
      <c r="B4110" s="170"/>
      <c r="C4110" s="170"/>
      <c r="D4110" s="170"/>
      <c r="E4110" s="170"/>
      <c r="F4110" s="171" t="s">
        <v>1885</v>
      </c>
      <c r="G4110" s="597" t="e">
        <f>VLOOKUP(G4113, 'Detail PL'!$B$14:$Q$799,2)</f>
        <v>#N/A</v>
      </c>
      <c r="H4110" s="597"/>
      <c r="I4110" s="597"/>
      <c r="J4110" s="597"/>
      <c r="K4110" s="597"/>
      <c r="L4110" s="597"/>
      <c r="M4110" s="597"/>
      <c r="N4110" s="128"/>
    </row>
    <row r="4111" spans="1:15" s="3" customFormat="1" ht="25.2">
      <c r="A4111" s="127" t="s">
        <v>1899</v>
      </c>
      <c r="B4111" s="170"/>
      <c r="C4111" s="170"/>
      <c r="D4111" s="170"/>
      <c r="E4111" s="170"/>
      <c r="F4111" s="171"/>
      <c r="G4111" s="170"/>
      <c r="H4111" s="170"/>
      <c r="I4111" s="170"/>
      <c r="J4111" s="170"/>
      <c r="K4111" s="170"/>
      <c r="L4111" s="170"/>
      <c r="M4111" s="170"/>
      <c r="N4111" s="128"/>
    </row>
    <row r="4112" spans="1:15" s="3" customFormat="1" ht="9.9" customHeight="1">
      <c r="A4112" s="125"/>
      <c r="B4112" s="123"/>
      <c r="C4112" s="123"/>
      <c r="D4112" s="123"/>
      <c r="E4112" s="123"/>
      <c r="F4112" s="167"/>
      <c r="G4112" s="123"/>
      <c r="H4112" s="123"/>
      <c r="I4112" s="123"/>
      <c r="J4112" s="123"/>
      <c r="K4112" s="123"/>
      <c r="L4112" s="123"/>
      <c r="M4112" s="123"/>
      <c r="N4112" s="126"/>
    </row>
    <row r="4113" spans="1:14" s="3" customFormat="1" ht="25.2">
      <c r="A4113" s="125" t="s">
        <v>1900</v>
      </c>
      <c r="B4113" s="123"/>
      <c r="C4113" s="123"/>
      <c r="D4113" s="123"/>
      <c r="E4113" s="123"/>
      <c r="F4113" s="171" t="s">
        <v>1901</v>
      </c>
      <c r="G4113" s="604">
        <f t="shared" ref="G4113" si="115">G4078+1</f>
        <v>118</v>
      </c>
      <c r="H4113" s="604"/>
      <c r="I4113" s="604"/>
      <c r="J4113" s="604"/>
      <c r="K4113" s="604"/>
      <c r="L4113" s="123"/>
      <c r="M4113" s="123"/>
      <c r="N4113" s="126"/>
    </row>
    <row r="4114" spans="1:14" s="4" customFormat="1" ht="25.2">
      <c r="A4114" s="125" t="s">
        <v>1903</v>
      </c>
      <c r="B4114" s="123"/>
      <c r="C4114" s="123"/>
      <c r="D4114" s="123"/>
      <c r="E4114" s="123"/>
      <c r="F4114" s="167"/>
      <c r="G4114" s="167"/>
      <c r="H4114" s="123"/>
      <c r="I4114" s="123"/>
      <c r="J4114" s="123"/>
      <c r="K4114" s="123"/>
      <c r="L4114" s="123"/>
      <c r="M4114" s="123"/>
      <c r="N4114" s="126"/>
    </row>
    <row r="4115" spans="1:14" s="3" customFormat="1" ht="9.9" customHeight="1">
      <c r="A4115" s="125"/>
      <c r="B4115" s="123"/>
      <c r="C4115" s="123"/>
      <c r="D4115" s="123"/>
      <c r="E4115" s="123"/>
      <c r="F4115" s="167"/>
      <c r="G4115" s="167"/>
      <c r="H4115" s="123"/>
      <c r="I4115" s="123"/>
      <c r="J4115" s="123"/>
      <c r="K4115" s="123"/>
      <c r="L4115" s="123"/>
      <c r="M4115" s="123"/>
      <c r="N4115" s="126"/>
    </row>
    <row r="4116" spans="1:14" s="3" customFormat="1" ht="25.2">
      <c r="A4116" s="125" t="s">
        <v>1904</v>
      </c>
      <c r="B4116" s="123"/>
      <c r="C4116" s="123"/>
      <c r="D4116" s="123"/>
      <c r="E4116" s="123"/>
      <c r="F4116" s="167" t="s">
        <v>1896</v>
      </c>
      <c r="G4116" s="204" t="e">
        <f>VLOOKUP(G4113, 'Detail PL'!$B$14:$Q$799, 10)</f>
        <v>#N/A</v>
      </c>
      <c r="H4116" s="204" t="s">
        <v>1905</v>
      </c>
      <c r="I4116" s="204"/>
      <c r="J4116" s="204"/>
      <c r="K4116" s="123"/>
      <c r="L4116" s="123"/>
      <c r="M4116" s="123"/>
      <c r="N4116" s="126"/>
    </row>
    <row r="4117" spans="1:14" s="4" customFormat="1" ht="25.2">
      <c r="A4117" s="125" t="s">
        <v>1906</v>
      </c>
      <c r="B4117" s="123"/>
      <c r="C4117" s="123"/>
      <c r="D4117" s="123"/>
      <c r="E4117" s="123"/>
      <c r="F4117" s="167"/>
      <c r="G4117" s="167"/>
      <c r="H4117" s="167"/>
      <c r="I4117" s="123"/>
      <c r="J4117" s="123"/>
      <c r="K4117" s="123"/>
      <c r="L4117" s="123"/>
      <c r="M4117" s="123"/>
      <c r="N4117" s="126"/>
    </row>
    <row r="4118" spans="1:14" s="3" customFormat="1" ht="9.9" customHeight="1">
      <c r="A4118" s="125"/>
      <c r="B4118" s="123"/>
      <c r="C4118" s="123"/>
      <c r="D4118" s="123"/>
      <c r="E4118" s="123"/>
      <c r="F4118" s="167"/>
      <c r="G4118" s="167"/>
      <c r="H4118" s="167"/>
      <c r="I4118" s="123"/>
      <c r="J4118" s="123"/>
      <c r="K4118" s="123"/>
      <c r="L4118" s="123"/>
      <c r="M4118" s="123"/>
      <c r="N4118" s="126"/>
    </row>
    <row r="4119" spans="1:14" s="3" customFormat="1" ht="25.2">
      <c r="A4119" s="125" t="s">
        <v>1907</v>
      </c>
      <c r="B4119" s="123"/>
      <c r="C4119" s="123"/>
      <c r="D4119" s="123"/>
      <c r="E4119" s="123"/>
      <c r="F4119" s="167" t="s">
        <v>1896</v>
      </c>
      <c r="G4119" s="204" t="e">
        <f>VLOOKUP(G4113, 'Detail PL'!$B$14:$Q$799, 11)</f>
        <v>#N/A</v>
      </c>
      <c r="H4119" s="204" t="s">
        <v>1905</v>
      </c>
      <c r="I4119" s="204"/>
      <c r="J4119" s="204"/>
      <c r="K4119" s="123"/>
      <c r="L4119" s="123"/>
      <c r="M4119" s="123"/>
      <c r="N4119" s="126"/>
    </row>
    <row r="4120" spans="1:14" s="4" customFormat="1" ht="25.2">
      <c r="A4120" s="125" t="s">
        <v>1908</v>
      </c>
      <c r="B4120" s="123"/>
      <c r="C4120" s="123"/>
      <c r="D4120" s="123"/>
      <c r="E4120" s="123"/>
      <c r="F4120" s="167"/>
      <c r="G4120" s="167"/>
      <c r="H4120" s="123"/>
      <c r="I4120" s="123"/>
      <c r="J4120" s="123"/>
      <c r="K4120" s="123"/>
      <c r="L4120" s="123"/>
      <c r="M4120" s="123"/>
      <c r="N4120" s="126"/>
    </row>
    <row r="4121" spans="1:14" s="3" customFormat="1" ht="9.9" customHeight="1">
      <c r="A4121" s="125"/>
      <c r="B4121" s="123"/>
      <c r="C4121" s="123"/>
      <c r="D4121" s="123"/>
      <c r="E4121" s="123"/>
      <c r="F4121" s="167"/>
      <c r="G4121" s="167"/>
      <c r="H4121" s="123"/>
      <c r="I4121" s="123"/>
      <c r="J4121" s="123"/>
      <c r="K4121" s="123"/>
      <c r="L4121" s="123"/>
      <c r="M4121" s="123"/>
      <c r="N4121" s="126"/>
    </row>
    <row r="4122" spans="1:14" s="3" customFormat="1" ht="25.2">
      <c r="A4122" s="129" t="s">
        <v>1909</v>
      </c>
      <c r="B4122" s="123"/>
      <c r="C4122" s="123"/>
      <c r="D4122" s="123"/>
      <c r="E4122" s="123"/>
      <c r="F4122" s="167" t="s">
        <v>1896</v>
      </c>
      <c r="G4122" s="204" t="e">
        <f>VLOOKUP(G4113, 'Detail PL'!$B$14:$Q$799, 9)</f>
        <v>#N/A</v>
      </c>
      <c r="H4122" s="205" t="s">
        <v>1910</v>
      </c>
      <c r="I4122" s="203"/>
      <c r="J4122" s="203"/>
      <c r="K4122" s="172"/>
      <c r="L4122" s="123"/>
      <c r="M4122" s="123"/>
      <c r="N4122" s="126"/>
    </row>
    <row r="4123" spans="1:14" s="4" customFormat="1" ht="25.2">
      <c r="A4123" s="125" t="s">
        <v>1911</v>
      </c>
      <c r="B4123" s="123"/>
      <c r="C4123" s="123"/>
      <c r="D4123" s="123"/>
      <c r="E4123" s="123"/>
      <c r="F4123" s="167"/>
      <c r="G4123" s="167"/>
      <c r="H4123" s="123"/>
      <c r="I4123" s="123"/>
      <c r="J4123" s="123"/>
      <c r="K4123" s="123"/>
      <c r="L4123" s="123"/>
      <c r="M4123" s="123"/>
      <c r="N4123" s="126"/>
    </row>
    <row r="4124" spans="1:14" s="3" customFormat="1" ht="9.9" customHeight="1">
      <c r="A4124" s="125"/>
      <c r="B4124" s="123"/>
      <c r="C4124" s="123"/>
      <c r="D4124" s="123"/>
      <c r="E4124" s="123"/>
      <c r="F4124" s="167"/>
      <c r="G4124" s="167"/>
      <c r="H4124" s="123"/>
      <c r="I4124" s="123"/>
      <c r="J4124" s="123"/>
      <c r="K4124" s="123"/>
      <c r="L4124" s="123"/>
      <c r="M4124" s="123"/>
      <c r="N4124" s="126"/>
    </row>
    <row r="4125" spans="1:14" s="3" customFormat="1" ht="42" customHeight="1">
      <c r="A4125" s="125" t="s">
        <v>1912</v>
      </c>
      <c r="B4125" s="123"/>
      <c r="C4125" s="123"/>
      <c r="D4125" s="123"/>
      <c r="E4125" s="123"/>
      <c r="F4125" s="166" t="s">
        <v>1913</v>
      </c>
      <c r="G4125" s="595" t="s">
        <v>1914</v>
      </c>
      <c r="H4125" s="595"/>
      <c r="I4125" s="595"/>
      <c r="J4125" s="595"/>
      <c r="K4125" s="595"/>
      <c r="L4125" s="595"/>
      <c r="M4125" s="595"/>
      <c r="N4125" s="596"/>
    </row>
    <row r="4126" spans="1:14" s="4" customFormat="1" ht="25.8" thickBot="1">
      <c r="A4126" s="125" t="s">
        <v>1915</v>
      </c>
      <c r="B4126" s="123"/>
      <c r="C4126" s="123"/>
      <c r="D4126" s="123"/>
      <c r="E4126" s="123"/>
      <c r="F4126" s="167"/>
      <c r="G4126" s="167"/>
      <c r="H4126" s="123"/>
      <c r="I4126" s="123"/>
      <c r="J4126" s="123"/>
      <c r="K4126" s="123"/>
      <c r="L4126" s="123"/>
      <c r="M4126" s="123"/>
      <c r="N4126" s="126"/>
    </row>
    <row r="4127" spans="1:14" ht="21" customHeight="1">
      <c r="A4127" s="598" t="s">
        <v>1916</v>
      </c>
      <c r="B4127" s="599"/>
      <c r="C4127" s="599"/>
      <c r="D4127" s="599"/>
      <c r="E4127" s="599"/>
      <c r="F4127" s="599"/>
      <c r="G4127" s="599"/>
      <c r="H4127" s="599"/>
      <c r="I4127" s="599"/>
      <c r="J4127" s="599"/>
      <c r="K4127" s="599"/>
      <c r="L4127" s="599"/>
      <c r="M4127" s="599"/>
      <c r="N4127" s="600"/>
    </row>
    <row r="4128" spans="1:14" ht="25.5" customHeight="1" thickBot="1">
      <c r="A4128" s="601"/>
      <c r="B4128" s="602"/>
      <c r="C4128" s="602"/>
      <c r="D4128" s="602"/>
      <c r="E4128" s="602"/>
      <c r="F4128" s="602"/>
      <c r="G4128" s="602"/>
      <c r="H4128" s="602"/>
      <c r="I4128" s="602"/>
      <c r="J4128" s="602"/>
      <c r="K4128" s="602"/>
      <c r="L4128" s="602"/>
      <c r="M4128" s="602"/>
      <c r="N4128" s="603"/>
    </row>
    <row r="4129" spans="1:15" ht="25.5" customHeight="1">
      <c r="E4129" s="206"/>
      <c r="F4129" s="206"/>
      <c r="G4129" s="206"/>
      <c r="H4129" s="206"/>
      <c r="I4129" s="206"/>
      <c r="J4129" s="206"/>
      <c r="K4129" s="206"/>
    </row>
    <row r="4130" spans="1:15" ht="21.6" thickBot="1"/>
    <row r="4131" spans="1:15" ht="95.25" customHeight="1" thickBot="1">
      <c r="A4131" s="592" t="s">
        <v>1883</v>
      </c>
      <c r="B4131" s="593"/>
      <c r="C4131" s="593"/>
      <c r="D4131" s="593"/>
      <c r="E4131" s="593"/>
      <c r="F4131" s="593"/>
      <c r="G4131" s="593"/>
      <c r="H4131" s="593"/>
      <c r="I4131" s="593"/>
      <c r="J4131" s="593"/>
      <c r="K4131" s="593"/>
      <c r="L4131" s="593"/>
      <c r="M4131" s="593"/>
      <c r="N4131" s="594"/>
    </row>
    <row r="4132" spans="1:15" s="3" customFormat="1" ht="37.5" customHeight="1">
      <c r="A4132" s="134" t="s">
        <v>1884</v>
      </c>
      <c r="B4132" s="166"/>
      <c r="C4132" s="166"/>
      <c r="D4132" s="123"/>
      <c r="E4132" s="123"/>
      <c r="F4132" s="167" t="s">
        <v>1885</v>
      </c>
      <c r="G4132" s="167" t="s">
        <v>1886</v>
      </c>
      <c r="H4132" s="167"/>
      <c r="I4132" s="167"/>
      <c r="J4132" s="167"/>
      <c r="K4132" s="167"/>
      <c r="L4132" s="167"/>
      <c r="M4132" s="167"/>
      <c r="N4132" s="152"/>
      <c r="O4132" s="201"/>
    </row>
    <row r="4133" spans="1:15" s="4" customFormat="1" ht="25.2">
      <c r="A4133" s="125" t="s">
        <v>1887</v>
      </c>
      <c r="B4133" s="123"/>
      <c r="C4133" s="123"/>
      <c r="D4133" s="123"/>
      <c r="E4133" s="123"/>
      <c r="F4133" s="167"/>
      <c r="G4133" s="167" t="s">
        <v>1888</v>
      </c>
      <c r="H4133" s="167"/>
      <c r="I4133" s="167"/>
      <c r="J4133" s="167"/>
      <c r="K4133" s="167"/>
      <c r="L4133" s="167"/>
      <c r="M4133" s="167"/>
      <c r="N4133" s="152"/>
    </row>
    <row r="4134" spans="1:15" s="3" customFormat="1" ht="9.9" customHeight="1">
      <c r="A4134" s="125"/>
      <c r="B4134" s="123"/>
      <c r="C4134" s="123"/>
      <c r="D4134" s="123"/>
      <c r="E4134" s="123"/>
      <c r="F4134" s="167"/>
      <c r="G4134" s="123"/>
      <c r="H4134" s="123"/>
      <c r="I4134" s="123"/>
      <c r="J4134" s="123"/>
      <c r="K4134" s="123"/>
      <c r="L4134" s="123"/>
      <c r="M4134" s="123"/>
      <c r="N4134" s="126"/>
    </row>
    <row r="4135" spans="1:15" s="3" customFormat="1" ht="42.75" customHeight="1">
      <c r="A4135" s="125" t="s">
        <v>1889</v>
      </c>
      <c r="B4135" s="123"/>
      <c r="C4135" s="123"/>
      <c r="D4135" s="123"/>
      <c r="E4135" s="123"/>
      <c r="F4135" s="167" t="s">
        <v>1885</v>
      </c>
      <c r="G4135" s="167" t="str">
        <f>PL!$B$13</f>
        <v>Branch of JSC "Doosan Enerbility" in the Turkestan region</v>
      </c>
      <c r="H4135" s="123"/>
      <c r="I4135" s="123"/>
      <c r="J4135" s="123"/>
      <c r="K4135" s="123"/>
      <c r="L4135" s="123"/>
      <c r="M4135" s="123"/>
      <c r="N4135" s="126"/>
    </row>
    <row r="4136" spans="1:15" s="3" customFormat="1" ht="24" customHeight="1">
      <c r="A4136" s="125" t="s">
        <v>1890</v>
      </c>
      <c r="B4136" s="123"/>
      <c r="C4136" s="123"/>
      <c r="D4136" s="123"/>
      <c r="E4136" s="123"/>
      <c r="F4136" s="168"/>
      <c r="G4136" s="167" t="str">
        <f>PL!$B$14</f>
        <v>321 Tauke Khan Avenue, Turkestan region, Turkestan, Kazakhstan, 161200</v>
      </c>
      <c r="H4136" s="123"/>
      <c r="I4136" s="123"/>
      <c r="J4136" s="123"/>
      <c r="K4136" s="123"/>
      <c r="L4136" s="123"/>
      <c r="M4136" s="123"/>
      <c r="N4136" s="126"/>
    </row>
    <row r="4137" spans="1:15" s="4" customFormat="1" ht="25.2">
      <c r="A4137" s="125"/>
      <c r="B4137" s="123"/>
      <c r="C4137" s="123"/>
      <c r="D4137" s="123"/>
      <c r="E4137" s="123"/>
      <c r="F4137" s="168"/>
      <c r="G4137" s="167" t="str">
        <f>PL!$B$15</f>
        <v>BIN: 230741006561</v>
      </c>
      <c r="H4137" s="123"/>
      <c r="I4137" s="123"/>
      <c r="J4137" s="123"/>
      <c r="K4137" s="123"/>
      <c r="L4137" s="123"/>
      <c r="M4137" s="123"/>
      <c r="N4137" s="126"/>
    </row>
    <row r="4138" spans="1:15" s="3" customFormat="1" ht="9.9" customHeight="1">
      <c r="A4138" s="125"/>
      <c r="B4138" s="123"/>
      <c r="C4138" s="123"/>
      <c r="D4138" s="123"/>
      <c r="E4138" s="123"/>
      <c r="F4138" s="169"/>
      <c r="G4138" s="169"/>
      <c r="H4138" s="123"/>
      <c r="I4138" s="123"/>
      <c r="J4138" s="123"/>
      <c r="K4138" s="123"/>
      <c r="L4138" s="123"/>
      <c r="M4138" s="123"/>
      <c r="N4138" s="126"/>
    </row>
    <row r="4139" spans="1:15" s="3" customFormat="1" ht="25.2">
      <c r="A4139" s="125" t="s">
        <v>1891</v>
      </c>
      <c r="B4139" s="123"/>
      <c r="C4139" s="123"/>
      <c r="D4139" s="123"/>
      <c r="E4139" s="123"/>
      <c r="F4139" s="167" t="s">
        <v>1892</v>
      </c>
      <c r="G4139" s="123"/>
      <c r="H4139" s="123"/>
      <c r="I4139" s="123"/>
      <c r="J4139" s="123"/>
      <c r="K4139" s="123"/>
      <c r="L4139" s="123"/>
      <c r="M4139" s="123"/>
      <c r="N4139" s="126"/>
    </row>
    <row r="4140" spans="1:15" s="4" customFormat="1" ht="25.2">
      <c r="A4140" s="125" t="s">
        <v>1893</v>
      </c>
      <c r="B4140" s="123"/>
      <c r="C4140" s="123"/>
      <c r="D4140" s="123"/>
      <c r="E4140" s="123"/>
      <c r="F4140" s="167" t="s">
        <v>1894</v>
      </c>
      <c r="G4140" s="123"/>
      <c r="H4140" s="123"/>
      <c r="I4140" s="123"/>
      <c r="J4140" s="123"/>
      <c r="K4140" s="123"/>
      <c r="L4140" s="123"/>
      <c r="M4140" s="123"/>
      <c r="N4140" s="126"/>
    </row>
    <row r="4141" spans="1:15" s="3" customFormat="1" ht="9.9" customHeight="1">
      <c r="A4141" s="125"/>
      <c r="B4141" s="123"/>
      <c r="C4141" s="123"/>
      <c r="D4141" s="123"/>
      <c r="E4141" s="123"/>
      <c r="F4141" s="167"/>
      <c r="G4141" s="123"/>
      <c r="H4141" s="123"/>
      <c r="I4141" s="123"/>
      <c r="J4141" s="123"/>
      <c r="K4141" s="123"/>
      <c r="L4141" s="123"/>
      <c r="M4141" s="123"/>
      <c r="N4141" s="126"/>
    </row>
    <row r="4142" spans="1:15" s="3" customFormat="1" ht="25.2">
      <c r="A4142" s="125" t="s">
        <v>1895</v>
      </c>
      <c r="B4142" s="123"/>
      <c r="C4142" s="123"/>
      <c r="D4142" s="123"/>
      <c r="E4142" s="123"/>
      <c r="F4142" s="167" t="s">
        <v>1896</v>
      </c>
      <c r="G4142" s="167" t="str">
        <f>PL!$V$8</f>
        <v>PGU-DE-0139-001</v>
      </c>
      <c r="H4142" s="123"/>
      <c r="I4142" s="123"/>
      <c r="J4142" s="123"/>
      <c r="K4142" s="123"/>
      <c r="L4142" s="123"/>
      <c r="M4142" s="123"/>
      <c r="N4142" s="126"/>
    </row>
    <row r="4143" spans="1:15" s="3" customFormat="1" ht="25.2">
      <c r="A4143" s="125" t="s">
        <v>1897</v>
      </c>
      <c r="B4143" s="123"/>
      <c r="C4143" s="123"/>
      <c r="D4143" s="123"/>
      <c r="E4143" s="123"/>
      <c r="F4143" s="167"/>
      <c r="G4143" s="123"/>
      <c r="H4143" s="123"/>
      <c r="I4143" s="123"/>
      <c r="J4143" s="123"/>
      <c r="K4143" s="123"/>
      <c r="L4143" s="123"/>
      <c r="M4143" s="123"/>
      <c r="N4143" s="126"/>
    </row>
    <row r="4144" spans="1:15" s="3" customFormat="1" ht="9.9" customHeight="1">
      <c r="A4144" s="125"/>
      <c r="B4144" s="123"/>
      <c r="C4144" s="123"/>
      <c r="D4144" s="123"/>
      <c r="E4144" s="123"/>
      <c r="F4144" s="167"/>
      <c r="G4144" s="123"/>
      <c r="H4144" s="123"/>
      <c r="I4144" s="123"/>
      <c r="J4144" s="123"/>
      <c r="K4144" s="123"/>
      <c r="L4144" s="123"/>
      <c r="M4144" s="123"/>
      <c r="N4144" s="126"/>
    </row>
    <row r="4145" spans="1:14" s="3" customFormat="1" ht="31.2" customHeight="1">
      <c r="A4145" s="127" t="s">
        <v>1898</v>
      </c>
      <c r="B4145" s="170"/>
      <c r="C4145" s="170"/>
      <c r="D4145" s="170"/>
      <c r="E4145" s="170"/>
      <c r="F4145" s="171" t="s">
        <v>1885</v>
      </c>
      <c r="G4145" s="597" t="e">
        <f>VLOOKUP(G4148, 'Detail PL'!$B$14:$Q$799,2)</f>
        <v>#N/A</v>
      </c>
      <c r="H4145" s="597"/>
      <c r="I4145" s="597"/>
      <c r="J4145" s="597"/>
      <c r="K4145" s="597"/>
      <c r="L4145" s="597"/>
      <c r="M4145" s="597"/>
      <c r="N4145" s="128"/>
    </row>
    <row r="4146" spans="1:14" s="3" customFormat="1" ht="25.2">
      <c r="A4146" s="127" t="s">
        <v>1899</v>
      </c>
      <c r="B4146" s="170"/>
      <c r="C4146" s="170"/>
      <c r="D4146" s="170"/>
      <c r="E4146" s="170"/>
      <c r="F4146" s="171"/>
      <c r="G4146" s="170"/>
      <c r="H4146" s="170"/>
      <c r="I4146" s="170"/>
      <c r="J4146" s="170"/>
      <c r="K4146" s="170"/>
      <c r="L4146" s="170"/>
      <c r="M4146" s="170"/>
      <c r="N4146" s="128"/>
    </row>
    <row r="4147" spans="1:14" s="3" customFormat="1" ht="9.9" customHeight="1">
      <c r="A4147" s="125"/>
      <c r="B4147" s="123"/>
      <c r="C4147" s="123"/>
      <c r="D4147" s="123"/>
      <c r="E4147" s="123"/>
      <c r="F4147" s="167"/>
      <c r="G4147" s="123"/>
      <c r="H4147" s="123"/>
      <c r="I4147" s="123"/>
      <c r="J4147" s="123"/>
      <c r="K4147" s="123"/>
      <c r="L4147" s="123"/>
      <c r="M4147" s="123"/>
      <c r="N4147" s="126"/>
    </row>
    <row r="4148" spans="1:14" s="3" customFormat="1" ht="25.2">
      <c r="A4148" s="125" t="s">
        <v>1900</v>
      </c>
      <c r="B4148" s="123"/>
      <c r="C4148" s="123"/>
      <c r="D4148" s="123"/>
      <c r="E4148" s="123"/>
      <c r="F4148" s="171" t="s">
        <v>1901</v>
      </c>
      <c r="G4148" s="604">
        <f t="shared" ref="G4148" si="116">G4113+1</f>
        <v>119</v>
      </c>
      <c r="H4148" s="604"/>
      <c r="I4148" s="604"/>
      <c r="J4148" s="604"/>
      <c r="K4148" s="604"/>
      <c r="L4148" s="123"/>
      <c r="M4148" s="123"/>
      <c r="N4148" s="126"/>
    </row>
    <row r="4149" spans="1:14" s="4" customFormat="1" ht="25.2">
      <c r="A4149" s="125" t="s">
        <v>1903</v>
      </c>
      <c r="B4149" s="123"/>
      <c r="C4149" s="123"/>
      <c r="D4149" s="123"/>
      <c r="E4149" s="123"/>
      <c r="F4149" s="167"/>
      <c r="G4149" s="167"/>
      <c r="H4149" s="123"/>
      <c r="I4149" s="123"/>
      <c r="J4149" s="123"/>
      <c r="K4149" s="123"/>
      <c r="L4149" s="123"/>
      <c r="M4149" s="123"/>
      <c r="N4149" s="126"/>
    </row>
    <row r="4150" spans="1:14" s="3" customFormat="1" ht="9.9" customHeight="1">
      <c r="A4150" s="125"/>
      <c r="B4150" s="123"/>
      <c r="C4150" s="123"/>
      <c r="D4150" s="123"/>
      <c r="E4150" s="123"/>
      <c r="F4150" s="167"/>
      <c r="G4150" s="167"/>
      <c r="H4150" s="123"/>
      <c r="I4150" s="123"/>
      <c r="J4150" s="123"/>
      <c r="K4150" s="123"/>
      <c r="L4150" s="123"/>
      <c r="M4150" s="123"/>
      <c r="N4150" s="126"/>
    </row>
    <row r="4151" spans="1:14" s="3" customFormat="1" ht="25.2">
      <c r="A4151" s="125" t="s">
        <v>1904</v>
      </c>
      <c r="B4151" s="123"/>
      <c r="C4151" s="123"/>
      <c r="D4151" s="123"/>
      <c r="E4151" s="123"/>
      <c r="F4151" s="167" t="s">
        <v>1896</v>
      </c>
      <c r="G4151" s="204" t="e">
        <f>VLOOKUP(G4148, 'Detail PL'!$B$14:$Q$799, 10)</f>
        <v>#N/A</v>
      </c>
      <c r="H4151" s="204" t="s">
        <v>1905</v>
      </c>
      <c r="I4151" s="204"/>
      <c r="J4151" s="204"/>
      <c r="K4151" s="123"/>
      <c r="L4151" s="123"/>
      <c r="M4151" s="123"/>
      <c r="N4151" s="126"/>
    </row>
    <row r="4152" spans="1:14" s="4" customFormat="1" ht="25.2">
      <c r="A4152" s="125" t="s">
        <v>1906</v>
      </c>
      <c r="B4152" s="123"/>
      <c r="C4152" s="123"/>
      <c r="D4152" s="123"/>
      <c r="E4152" s="123"/>
      <c r="F4152" s="167"/>
      <c r="G4152" s="167"/>
      <c r="H4152" s="167"/>
      <c r="I4152" s="123"/>
      <c r="J4152" s="123"/>
      <c r="K4152" s="123"/>
      <c r="L4152" s="123"/>
      <c r="M4152" s="123"/>
      <c r="N4152" s="126"/>
    </row>
    <row r="4153" spans="1:14" s="3" customFormat="1" ht="9.9" customHeight="1">
      <c r="A4153" s="125"/>
      <c r="B4153" s="123"/>
      <c r="C4153" s="123"/>
      <c r="D4153" s="123"/>
      <c r="E4153" s="123"/>
      <c r="F4153" s="167"/>
      <c r="G4153" s="167"/>
      <c r="H4153" s="167"/>
      <c r="I4153" s="123"/>
      <c r="J4153" s="123"/>
      <c r="K4153" s="123"/>
      <c r="L4153" s="123"/>
      <c r="M4153" s="123"/>
      <c r="N4153" s="126"/>
    </row>
    <row r="4154" spans="1:14" s="3" customFormat="1" ht="25.2">
      <c r="A4154" s="125" t="s">
        <v>1907</v>
      </c>
      <c r="B4154" s="123"/>
      <c r="C4154" s="123"/>
      <c r="D4154" s="123"/>
      <c r="E4154" s="123"/>
      <c r="F4154" s="167" t="s">
        <v>1896</v>
      </c>
      <c r="G4154" s="204" t="e">
        <f>VLOOKUP(G4148, 'Detail PL'!$B$14:$Q$799, 11)</f>
        <v>#N/A</v>
      </c>
      <c r="H4154" s="204" t="s">
        <v>1905</v>
      </c>
      <c r="I4154" s="204"/>
      <c r="J4154" s="204"/>
      <c r="K4154" s="123"/>
      <c r="L4154" s="123"/>
      <c r="M4154" s="123"/>
      <c r="N4154" s="126"/>
    </row>
    <row r="4155" spans="1:14" s="4" customFormat="1" ht="25.2">
      <c r="A4155" s="125" t="s">
        <v>1908</v>
      </c>
      <c r="B4155" s="123"/>
      <c r="C4155" s="123"/>
      <c r="D4155" s="123"/>
      <c r="E4155" s="123"/>
      <c r="F4155" s="167"/>
      <c r="G4155" s="167"/>
      <c r="H4155" s="123"/>
      <c r="I4155" s="123"/>
      <c r="J4155" s="123"/>
      <c r="K4155" s="123"/>
      <c r="L4155" s="123"/>
      <c r="M4155" s="123"/>
      <c r="N4155" s="126"/>
    </row>
    <row r="4156" spans="1:14" s="3" customFormat="1" ht="9.9" customHeight="1">
      <c r="A4156" s="125"/>
      <c r="B4156" s="123"/>
      <c r="C4156" s="123"/>
      <c r="D4156" s="123"/>
      <c r="E4156" s="123"/>
      <c r="F4156" s="167"/>
      <c r="G4156" s="167"/>
      <c r="H4156" s="123"/>
      <c r="I4156" s="123"/>
      <c r="J4156" s="123"/>
      <c r="K4156" s="123"/>
      <c r="L4156" s="123"/>
      <c r="M4156" s="123"/>
      <c r="N4156" s="126"/>
    </row>
    <row r="4157" spans="1:14" s="3" customFormat="1" ht="25.2">
      <c r="A4157" s="129" t="s">
        <v>1909</v>
      </c>
      <c r="B4157" s="123"/>
      <c r="C4157" s="123"/>
      <c r="D4157" s="123"/>
      <c r="E4157" s="123"/>
      <c r="F4157" s="167" t="s">
        <v>1896</v>
      </c>
      <c r="G4157" s="204" t="e">
        <f>VLOOKUP(G4148, 'Detail PL'!$B$14:$Q$799, 9)</f>
        <v>#N/A</v>
      </c>
      <c r="H4157" s="205" t="s">
        <v>1910</v>
      </c>
      <c r="I4157" s="203"/>
      <c r="J4157" s="203"/>
      <c r="K4157" s="172"/>
      <c r="L4157" s="123"/>
      <c r="M4157" s="123"/>
      <c r="N4157" s="126"/>
    </row>
    <row r="4158" spans="1:14" s="4" customFormat="1" ht="25.2">
      <c r="A4158" s="125" t="s">
        <v>1911</v>
      </c>
      <c r="B4158" s="123"/>
      <c r="C4158" s="123"/>
      <c r="D4158" s="123"/>
      <c r="E4158" s="123"/>
      <c r="F4158" s="167"/>
      <c r="G4158" s="167"/>
      <c r="H4158" s="123"/>
      <c r="I4158" s="123"/>
      <c r="J4158" s="123"/>
      <c r="K4158" s="123"/>
      <c r="L4158" s="123"/>
      <c r="M4158" s="123"/>
      <c r="N4158" s="126"/>
    </row>
    <row r="4159" spans="1:14" s="3" customFormat="1" ht="9.9" customHeight="1">
      <c r="A4159" s="125"/>
      <c r="B4159" s="123"/>
      <c r="C4159" s="123"/>
      <c r="D4159" s="123"/>
      <c r="E4159" s="123"/>
      <c r="F4159" s="167"/>
      <c r="G4159" s="167"/>
      <c r="H4159" s="123"/>
      <c r="I4159" s="123"/>
      <c r="J4159" s="123"/>
      <c r="K4159" s="123"/>
      <c r="L4159" s="123"/>
      <c r="M4159" s="123"/>
      <c r="N4159" s="126"/>
    </row>
    <row r="4160" spans="1:14" s="3" customFormat="1" ht="42" customHeight="1">
      <c r="A4160" s="125" t="s">
        <v>1912</v>
      </c>
      <c r="B4160" s="123"/>
      <c r="C4160" s="123"/>
      <c r="D4160" s="123"/>
      <c r="E4160" s="123"/>
      <c r="F4160" s="166" t="s">
        <v>1913</v>
      </c>
      <c r="G4160" s="595" t="s">
        <v>1914</v>
      </c>
      <c r="H4160" s="595"/>
      <c r="I4160" s="595"/>
      <c r="J4160" s="595"/>
      <c r="K4160" s="595"/>
      <c r="L4160" s="595"/>
      <c r="M4160" s="595"/>
      <c r="N4160" s="596"/>
    </row>
    <row r="4161" spans="1:15" s="4" customFormat="1" ht="25.8" thickBot="1">
      <c r="A4161" s="125" t="s">
        <v>1915</v>
      </c>
      <c r="B4161" s="123"/>
      <c r="C4161" s="123"/>
      <c r="D4161" s="123"/>
      <c r="E4161" s="123"/>
      <c r="F4161" s="167"/>
      <c r="G4161" s="167"/>
      <c r="H4161" s="123"/>
      <c r="I4161" s="123"/>
      <c r="J4161" s="123"/>
      <c r="K4161" s="123"/>
      <c r="L4161" s="123"/>
      <c r="M4161" s="123"/>
      <c r="N4161" s="126"/>
    </row>
    <row r="4162" spans="1:15" ht="21" customHeight="1">
      <c r="A4162" s="598" t="s">
        <v>1916</v>
      </c>
      <c r="B4162" s="599"/>
      <c r="C4162" s="599"/>
      <c r="D4162" s="599"/>
      <c r="E4162" s="599"/>
      <c r="F4162" s="599"/>
      <c r="G4162" s="599"/>
      <c r="H4162" s="599"/>
      <c r="I4162" s="599"/>
      <c r="J4162" s="599"/>
      <c r="K4162" s="599"/>
      <c r="L4162" s="599"/>
      <c r="M4162" s="599"/>
      <c r="N4162" s="600"/>
    </row>
    <row r="4163" spans="1:15" ht="25.5" customHeight="1" thickBot="1">
      <c r="A4163" s="601"/>
      <c r="B4163" s="602"/>
      <c r="C4163" s="602"/>
      <c r="D4163" s="602"/>
      <c r="E4163" s="602"/>
      <c r="F4163" s="602"/>
      <c r="G4163" s="602"/>
      <c r="H4163" s="602"/>
      <c r="I4163" s="602"/>
      <c r="J4163" s="602"/>
      <c r="K4163" s="602"/>
      <c r="L4163" s="602"/>
      <c r="M4163" s="602"/>
      <c r="N4163" s="603"/>
    </row>
    <row r="4164" spans="1:15" ht="25.5" customHeight="1">
      <c r="E4164" s="206"/>
      <c r="F4164" s="206"/>
      <c r="G4164" s="206"/>
      <c r="H4164" s="206"/>
      <c r="I4164" s="206"/>
      <c r="J4164" s="206"/>
      <c r="K4164" s="206"/>
    </row>
    <row r="4165" spans="1:15" ht="21.6" thickBot="1"/>
    <row r="4166" spans="1:15" ht="95.25" customHeight="1" thickBot="1">
      <c r="A4166" s="592" t="s">
        <v>1883</v>
      </c>
      <c r="B4166" s="593"/>
      <c r="C4166" s="593"/>
      <c r="D4166" s="593"/>
      <c r="E4166" s="593"/>
      <c r="F4166" s="593"/>
      <c r="G4166" s="593"/>
      <c r="H4166" s="593"/>
      <c r="I4166" s="593"/>
      <c r="J4166" s="593"/>
      <c r="K4166" s="593"/>
      <c r="L4166" s="593"/>
      <c r="M4166" s="593"/>
      <c r="N4166" s="594"/>
    </row>
    <row r="4167" spans="1:15" s="3" customFormat="1" ht="37.5" customHeight="1">
      <c r="A4167" s="134" t="s">
        <v>1884</v>
      </c>
      <c r="B4167" s="166"/>
      <c r="C4167" s="166"/>
      <c r="D4167" s="123"/>
      <c r="E4167" s="123"/>
      <c r="F4167" s="167" t="s">
        <v>1885</v>
      </c>
      <c r="G4167" s="167" t="s">
        <v>1886</v>
      </c>
      <c r="H4167" s="167"/>
      <c r="I4167" s="167"/>
      <c r="J4167" s="167"/>
      <c r="K4167" s="167"/>
      <c r="L4167" s="167"/>
      <c r="M4167" s="167"/>
      <c r="N4167" s="152"/>
      <c r="O4167" s="201"/>
    </row>
    <row r="4168" spans="1:15" s="4" customFormat="1" ht="25.2">
      <c r="A4168" s="125" t="s">
        <v>1887</v>
      </c>
      <c r="B4168" s="123"/>
      <c r="C4168" s="123"/>
      <c r="D4168" s="123"/>
      <c r="E4168" s="123"/>
      <c r="F4168" s="167"/>
      <c r="G4168" s="167" t="s">
        <v>1888</v>
      </c>
      <c r="H4168" s="167"/>
      <c r="I4168" s="167"/>
      <c r="J4168" s="167"/>
      <c r="K4168" s="167"/>
      <c r="L4168" s="167"/>
      <c r="M4168" s="167"/>
      <c r="N4168" s="152"/>
    </row>
    <row r="4169" spans="1:15" s="3" customFormat="1" ht="9.9" customHeight="1">
      <c r="A4169" s="125"/>
      <c r="B4169" s="123"/>
      <c r="C4169" s="123"/>
      <c r="D4169" s="123"/>
      <c r="E4169" s="123"/>
      <c r="F4169" s="167"/>
      <c r="G4169" s="123"/>
      <c r="H4169" s="123"/>
      <c r="I4169" s="123"/>
      <c r="J4169" s="123"/>
      <c r="K4169" s="123"/>
      <c r="L4169" s="123"/>
      <c r="M4169" s="123"/>
      <c r="N4169" s="126"/>
    </row>
    <row r="4170" spans="1:15" s="3" customFormat="1" ht="42.75" customHeight="1">
      <c r="A4170" s="125" t="s">
        <v>1889</v>
      </c>
      <c r="B4170" s="123"/>
      <c r="C4170" s="123"/>
      <c r="D4170" s="123"/>
      <c r="E4170" s="123"/>
      <c r="F4170" s="167" t="s">
        <v>1885</v>
      </c>
      <c r="G4170" s="167" t="str">
        <f>PL!$B$13</f>
        <v>Branch of JSC "Doosan Enerbility" in the Turkestan region</v>
      </c>
      <c r="H4170" s="123"/>
      <c r="I4170" s="123"/>
      <c r="J4170" s="123"/>
      <c r="K4170" s="123"/>
      <c r="L4170" s="123"/>
      <c r="M4170" s="123"/>
      <c r="N4170" s="126"/>
    </row>
    <row r="4171" spans="1:15" s="3" customFormat="1" ht="24" customHeight="1">
      <c r="A4171" s="125" t="s">
        <v>1890</v>
      </c>
      <c r="B4171" s="123"/>
      <c r="C4171" s="123"/>
      <c r="D4171" s="123"/>
      <c r="E4171" s="123"/>
      <c r="F4171" s="168"/>
      <c r="G4171" s="167" t="str">
        <f>PL!$B$14</f>
        <v>321 Tauke Khan Avenue, Turkestan region, Turkestan, Kazakhstan, 161200</v>
      </c>
      <c r="H4171" s="123"/>
      <c r="I4171" s="123"/>
      <c r="J4171" s="123"/>
      <c r="K4171" s="123"/>
      <c r="L4171" s="123"/>
      <c r="M4171" s="123"/>
      <c r="N4171" s="126"/>
    </row>
    <row r="4172" spans="1:15" s="4" customFormat="1" ht="25.2">
      <c r="A4172" s="125"/>
      <c r="B4172" s="123"/>
      <c r="C4172" s="123"/>
      <c r="D4172" s="123"/>
      <c r="E4172" s="123"/>
      <c r="F4172" s="168"/>
      <c r="G4172" s="167" t="str">
        <f>PL!$B$15</f>
        <v>BIN: 230741006561</v>
      </c>
      <c r="H4172" s="123"/>
      <c r="I4172" s="123"/>
      <c r="J4172" s="123"/>
      <c r="K4172" s="123"/>
      <c r="L4172" s="123"/>
      <c r="M4172" s="123"/>
      <c r="N4172" s="126"/>
    </row>
    <row r="4173" spans="1:15" s="3" customFormat="1" ht="9.9" customHeight="1">
      <c r="A4173" s="125"/>
      <c r="B4173" s="123"/>
      <c r="C4173" s="123"/>
      <c r="D4173" s="123"/>
      <c r="E4173" s="123"/>
      <c r="F4173" s="169"/>
      <c r="G4173" s="169"/>
      <c r="H4173" s="123"/>
      <c r="I4173" s="123"/>
      <c r="J4173" s="123"/>
      <c r="K4173" s="123"/>
      <c r="L4173" s="123"/>
      <c r="M4173" s="123"/>
      <c r="N4173" s="126"/>
    </row>
    <row r="4174" spans="1:15" s="3" customFormat="1" ht="25.2">
      <c r="A4174" s="125" t="s">
        <v>1891</v>
      </c>
      <c r="B4174" s="123"/>
      <c r="C4174" s="123"/>
      <c r="D4174" s="123"/>
      <c r="E4174" s="123"/>
      <c r="F4174" s="167" t="s">
        <v>1892</v>
      </c>
      <c r="G4174" s="123"/>
      <c r="H4174" s="123"/>
      <c r="I4174" s="123"/>
      <c r="J4174" s="123"/>
      <c r="K4174" s="123"/>
      <c r="L4174" s="123"/>
      <c r="M4174" s="123"/>
      <c r="N4174" s="126"/>
    </row>
    <row r="4175" spans="1:15" s="4" customFormat="1" ht="25.2">
      <c r="A4175" s="125" t="s">
        <v>1893</v>
      </c>
      <c r="B4175" s="123"/>
      <c r="C4175" s="123"/>
      <c r="D4175" s="123"/>
      <c r="E4175" s="123"/>
      <c r="F4175" s="167" t="s">
        <v>1894</v>
      </c>
      <c r="G4175" s="123"/>
      <c r="H4175" s="123"/>
      <c r="I4175" s="123"/>
      <c r="J4175" s="123"/>
      <c r="K4175" s="123"/>
      <c r="L4175" s="123"/>
      <c r="M4175" s="123"/>
      <c r="N4175" s="126"/>
    </row>
    <row r="4176" spans="1:15" s="3" customFormat="1" ht="9.9" customHeight="1">
      <c r="A4176" s="125"/>
      <c r="B4176" s="123"/>
      <c r="C4176" s="123"/>
      <c r="D4176" s="123"/>
      <c r="E4176" s="123"/>
      <c r="F4176" s="167"/>
      <c r="G4176" s="123"/>
      <c r="H4176" s="123"/>
      <c r="I4176" s="123"/>
      <c r="J4176" s="123"/>
      <c r="K4176" s="123"/>
      <c r="L4176" s="123"/>
      <c r="M4176" s="123"/>
      <c r="N4176" s="126"/>
    </row>
    <row r="4177" spans="1:14" s="3" customFormat="1" ht="25.2">
      <c r="A4177" s="125" t="s">
        <v>1895</v>
      </c>
      <c r="B4177" s="123"/>
      <c r="C4177" s="123"/>
      <c r="D4177" s="123"/>
      <c r="E4177" s="123"/>
      <c r="F4177" s="167" t="s">
        <v>1896</v>
      </c>
      <c r="G4177" s="167" t="str">
        <f>PL!$V$8</f>
        <v>PGU-DE-0139-001</v>
      </c>
      <c r="H4177" s="123"/>
      <c r="I4177" s="123"/>
      <c r="J4177" s="123"/>
      <c r="K4177" s="123"/>
      <c r="L4177" s="123"/>
      <c r="M4177" s="123"/>
      <c r="N4177" s="126"/>
    </row>
    <row r="4178" spans="1:14" s="3" customFormat="1" ht="25.2">
      <c r="A4178" s="125" t="s">
        <v>1897</v>
      </c>
      <c r="B4178" s="123"/>
      <c r="C4178" s="123"/>
      <c r="D4178" s="123"/>
      <c r="E4178" s="123"/>
      <c r="F4178" s="167"/>
      <c r="G4178" s="123"/>
      <c r="H4178" s="123"/>
      <c r="I4178" s="123"/>
      <c r="J4178" s="123"/>
      <c r="K4178" s="123"/>
      <c r="L4178" s="123"/>
      <c r="M4178" s="123"/>
      <c r="N4178" s="126"/>
    </row>
    <row r="4179" spans="1:14" s="3" customFormat="1" ht="9.9" customHeight="1">
      <c r="A4179" s="125"/>
      <c r="B4179" s="123"/>
      <c r="C4179" s="123"/>
      <c r="D4179" s="123"/>
      <c r="E4179" s="123"/>
      <c r="F4179" s="167"/>
      <c r="G4179" s="123"/>
      <c r="H4179" s="123"/>
      <c r="I4179" s="123"/>
      <c r="J4179" s="123"/>
      <c r="K4179" s="123"/>
      <c r="L4179" s="123"/>
      <c r="M4179" s="123"/>
      <c r="N4179" s="126"/>
    </row>
    <row r="4180" spans="1:14" s="3" customFormat="1" ht="31.2" customHeight="1">
      <c r="A4180" s="127" t="s">
        <v>1898</v>
      </c>
      <c r="B4180" s="170"/>
      <c r="C4180" s="170"/>
      <c r="D4180" s="170"/>
      <c r="E4180" s="170"/>
      <c r="F4180" s="171" t="s">
        <v>1885</v>
      </c>
      <c r="G4180" s="597" t="e">
        <f>VLOOKUP(G4183, 'Detail PL'!$B$14:$Q$799,2)</f>
        <v>#N/A</v>
      </c>
      <c r="H4180" s="597"/>
      <c r="I4180" s="597"/>
      <c r="J4180" s="597"/>
      <c r="K4180" s="597"/>
      <c r="L4180" s="597"/>
      <c r="M4180" s="597"/>
      <c r="N4180" s="128"/>
    </row>
    <row r="4181" spans="1:14" s="3" customFormat="1" ht="25.2">
      <c r="A4181" s="127" t="s">
        <v>1899</v>
      </c>
      <c r="B4181" s="170"/>
      <c r="C4181" s="170"/>
      <c r="D4181" s="170"/>
      <c r="E4181" s="170"/>
      <c r="F4181" s="171"/>
      <c r="G4181" s="170"/>
      <c r="H4181" s="170"/>
      <c r="I4181" s="170"/>
      <c r="J4181" s="170"/>
      <c r="K4181" s="170"/>
      <c r="L4181" s="170"/>
      <c r="M4181" s="170"/>
      <c r="N4181" s="128"/>
    </row>
    <row r="4182" spans="1:14" s="3" customFormat="1" ht="9.9" customHeight="1">
      <c r="A4182" s="125"/>
      <c r="B4182" s="123"/>
      <c r="C4182" s="123"/>
      <c r="D4182" s="123"/>
      <c r="E4182" s="123"/>
      <c r="F4182" s="167"/>
      <c r="G4182" s="123"/>
      <c r="H4182" s="123"/>
      <c r="I4182" s="123"/>
      <c r="J4182" s="123"/>
      <c r="K4182" s="123"/>
      <c r="L4182" s="123"/>
      <c r="M4182" s="123"/>
      <c r="N4182" s="126"/>
    </row>
    <row r="4183" spans="1:14" s="3" customFormat="1" ht="25.2">
      <c r="A4183" s="125" t="s">
        <v>1900</v>
      </c>
      <c r="B4183" s="123"/>
      <c r="C4183" s="123"/>
      <c r="D4183" s="123"/>
      <c r="E4183" s="123"/>
      <c r="F4183" s="171" t="s">
        <v>1901</v>
      </c>
      <c r="G4183" s="604">
        <f t="shared" ref="G4183" si="117">G4148+1</f>
        <v>120</v>
      </c>
      <c r="H4183" s="604"/>
      <c r="I4183" s="604"/>
      <c r="J4183" s="604"/>
      <c r="K4183" s="604"/>
      <c r="L4183" s="123"/>
      <c r="M4183" s="123"/>
      <c r="N4183" s="126"/>
    </row>
    <row r="4184" spans="1:14" s="4" customFormat="1" ht="25.2">
      <c r="A4184" s="125" t="s">
        <v>1903</v>
      </c>
      <c r="B4184" s="123"/>
      <c r="C4184" s="123"/>
      <c r="D4184" s="123"/>
      <c r="E4184" s="123"/>
      <c r="F4184" s="167"/>
      <c r="G4184" s="167"/>
      <c r="H4184" s="123"/>
      <c r="I4184" s="123"/>
      <c r="J4184" s="123"/>
      <c r="K4184" s="123"/>
      <c r="L4184" s="123"/>
      <c r="M4184" s="123"/>
      <c r="N4184" s="126"/>
    </row>
    <row r="4185" spans="1:14" s="3" customFormat="1" ht="9.9" customHeight="1">
      <c r="A4185" s="125"/>
      <c r="B4185" s="123"/>
      <c r="C4185" s="123"/>
      <c r="D4185" s="123"/>
      <c r="E4185" s="123"/>
      <c r="F4185" s="167"/>
      <c r="G4185" s="167"/>
      <c r="H4185" s="123"/>
      <c r="I4185" s="123"/>
      <c r="J4185" s="123"/>
      <c r="K4185" s="123"/>
      <c r="L4185" s="123"/>
      <c r="M4185" s="123"/>
      <c r="N4185" s="126"/>
    </row>
    <row r="4186" spans="1:14" s="3" customFormat="1" ht="25.2">
      <c r="A4186" s="125" t="s">
        <v>1904</v>
      </c>
      <c r="B4186" s="123"/>
      <c r="C4186" s="123"/>
      <c r="D4186" s="123"/>
      <c r="E4186" s="123"/>
      <c r="F4186" s="167" t="s">
        <v>1896</v>
      </c>
      <c r="G4186" s="204" t="e">
        <f>VLOOKUP(G4183, 'Detail PL'!$B$14:$Q$799, 10)</f>
        <v>#N/A</v>
      </c>
      <c r="H4186" s="204" t="s">
        <v>1905</v>
      </c>
      <c r="I4186" s="204"/>
      <c r="J4186" s="204"/>
      <c r="K4186" s="123"/>
      <c r="L4186" s="123"/>
      <c r="M4186" s="123"/>
      <c r="N4186" s="126"/>
    </row>
    <row r="4187" spans="1:14" s="4" customFormat="1" ht="25.2">
      <c r="A4187" s="125" t="s">
        <v>1906</v>
      </c>
      <c r="B4187" s="123"/>
      <c r="C4187" s="123"/>
      <c r="D4187" s="123"/>
      <c r="E4187" s="123"/>
      <c r="F4187" s="167"/>
      <c r="G4187" s="167"/>
      <c r="H4187" s="167"/>
      <c r="I4187" s="123"/>
      <c r="J4187" s="123"/>
      <c r="K4187" s="123"/>
      <c r="L4187" s="123"/>
      <c r="M4187" s="123"/>
      <c r="N4187" s="126"/>
    </row>
    <row r="4188" spans="1:14" s="3" customFormat="1" ht="9.9" customHeight="1">
      <c r="A4188" s="125"/>
      <c r="B4188" s="123"/>
      <c r="C4188" s="123"/>
      <c r="D4188" s="123"/>
      <c r="E4188" s="123"/>
      <c r="F4188" s="167"/>
      <c r="G4188" s="167"/>
      <c r="H4188" s="167"/>
      <c r="I4188" s="123"/>
      <c r="J4188" s="123"/>
      <c r="K4188" s="123"/>
      <c r="L4188" s="123"/>
      <c r="M4188" s="123"/>
      <c r="N4188" s="126"/>
    </row>
    <row r="4189" spans="1:14" s="3" customFormat="1" ht="25.2">
      <c r="A4189" s="125" t="s">
        <v>1907</v>
      </c>
      <c r="B4189" s="123"/>
      <c r="C4189" s="123"/>
      <c r="D4189" s="123"/>
      <c r="E4189" s="123"/>
      <c r="F4189" s="167" t="s">
        <v>1896</v>
      </c>
      <c r="G4189" s="204" t="e">
        <f>VLOOKUP(G4183, 'Detail PL'!$B$14:$Q$799, 11)</f>
        <v>#N/A</v>
      </c>
      <c r="H4189" s="204" t="s">
        <v>1905</v>
      </c>
      <c r="I4189" s="204"/>
      <c r="J4189" s="204"/>
      <c r="K4189" s="123"/>
      <c r="L4189" s="123"/>
      <c r="M4189" s="123"/>
      <c r="N4189" s="126"/>
    </row>
    <row r="4190" spans="1:14" s="4" customFormat="1" ht="25.2">
      <c r="A4190" s="125" t="s">
        <v>1908</v>
      </c>
      <c r="B4190" s="123"/>
      <c r="C4190" s="123"/>
      <c r="D4190" s="123"/>
      <c r="E4190" s="123"/>
      <c r="F4190" s="167"/>
      <c r="G4190" s="167"/>
      <c r="H4190" s="123"/>
      <c r="I4190" s="123"/>
      <c r="J4190" s="123"/>
      <c r="K4190" s="123"/>
      <c r="L4190" s="123"/>
      <c r="M4190" s="123"/>
      <c r="N4190" s="126"/>
    </row>
    <row r="4191" spans="1:14" s="3" customFormat="1" ht="9.9" customHeight="1">
      <c r="A4191" s="125"/>
      <c r="B4191" s="123"/>
      <c r="C4191" s="123"/>
      <c r="D4191" s="123"/>
      <c r="E4191" s="123"/>
      <c r="F4191" s="167"/>
      <c r="G4191" s="167"/>
      <c r="H4191" s="123"/>
      <c r="I4191" s="123"/>
      <c r="J4191" s="123"/>
      <c r="K4191" s="123"/>
      <c r="L4191" s="123"/>
      <c r="M4191" s="123"/>
      <c r="N4191" s="126"/>
    </row>
    <row r="4192" spans="1:14" s="3" customFormat="1" ht="25.2">
      <c r="A4192" s="129" t="s">
        <v>1909</v>
      </c>
      <c r="B4192" s="123"/>
      <c r="C4192" s="123"/>
      <c r="D4192" s="123"/>
      <c r="E4192" s="123"/>
      <c r="F4192" s="167" t="s">
        <v>1896</v>
      </c>
      <c r="G4192" s="204" t="e">
        <f>VLOOKUP(G4183, 'Detail PL'!$B$14:$Q$799, 9)</f>
        <v>#N/A</v>
      </c>
      <c r="H4192" s="205" t="s">
        <v>1910</v>
      </c>
      <c r="I4192" s="203"/>
      <c r="J4192" s="203"/>
      <c r="K4192" s="172"/>
      <c r="L4192" s="123"/>
      <c r="M4192" s="123"/>
      <c r="N4192" s="126"/>
    </row>
    <row r="4193" spans="1:15" s="4" customFormat="1" ht="25.2">
      <c r="A4193" s="125" t="s">
        <v>1911</v>
      </c>
      <c r="B4193" s="123"/>
      <c r="C4193" s="123"/>
      <c r="D4193" s="123"/>
      <c r="E4193" s="123"/>
      <c r="F4193" s="167"/>
      <c r="G4193" s="167"/>
      <c r="H4193" s="123"/>
      <c r="I4193" s="123"/>
      <c r="J4193" s="123"/>
      <c r="K4193" s="123"/>
      <c r="L4193" s="123"/>
      <c r="M4193" s="123"/>
      <c r="N4193" s="126"/>
    </row>
    <row r="4194" spans="1:15" s="3" customFormat="1" ht="9.9" customHeight="1">
      <c r="A4194" s="125"/>
      <c r="B4194" s="123"/>
      <c r="C4194" s="123"/>
      <c r="D4194" s="123"/>
      <c r="E4194" s="123"/>
      <c r="F4194" s="167"/>
      <c r="G4194" s="167"/>
      <c r="H4194" s="123"/>
      <c r="I4194" s="123"/>
      <c r="J4194" s="123"/>
      <c r="K4194" s="123"/>
      <c r="L4194" s="123"/>
      <c r="M4194" s="123"/>
      <c r="N4194" s="126"/>
    </row>
    <row r="4195" spans="1:15" s="3" customFormat="1" ht="42" customHeight="1">
      <c r="A4195" s="125" t="s">
        <v>1912</v>
      </c>
      <c r="B4195" s="123"/>
      <c r="C4195" s="123"/>
      <c r="D4195" s="123"/>
      <c r="E4195" s="123"/>
      <c r="F4195" s="166" t="s">
        <v>1913</v>
      </c>
      <c r="G4195" s="595" t="s">
        <v>1914</v>
      </c>
      <c r="H4195" s="595"/>
      <c r="I4195" s="595"/>
      <c r="J4195" s="595"/>
      <c r="K4195" s="595"/>
      <c r="L4195" s="595"/>
      <c r="M4195" s="595"/>
      <c r="N4195" s="596"/>
    </row>
    <row r="4196" spans="1:15" s="4" customFormat="1" ht="25.8" thickBot="1">
      <c r="A4196" s="125" t="s">
        <v>1915</v>
      </c>
      <c r="B4196" s="123"/>
      <c r="C4196" s="123"/>
      <c r="D4196" s="123"/>
      <c r="E4196" s="123"/>
      <c r="F4196" s="167"/>
      <c r="G4196" s="167"/>
      <c r="H4196" s="123"/>
      <c r="I4196" s="123"/>
      <c r="J4196" s="123"/>
      <c r="K4196" s="123"/>
      <c r="L4196" s="123"/>
      <c r="M4196" s="123"/>
      <c r="N4196" s="126"/>
    </row>
    <row r="4197" spans="1:15" ht="21" customHeight="1">
      <c r="A4197" s="598" t="s">
        <v>1916</v>
      </c>
      <c r="B4197" s="599"/>
      <c r="C4197" s="599"/>
      <c r="D4197" s="599"/>
      <c r="E4197" s="599"/>
      <c r="F4197" s="599"/>
      <c r="G4197" s="599"/>
      <c r="H4197" s="599"/>
      <c r="I4197" s="599"/>
      <c r="J4197" s="599"/>
      <c r="K4197" s="599"/>
      <c r="L4197" s="599"/>
      <c r="M4197" s="599"/>
      <c r="N4197" s="600"/>
    </row>
    <row r="4198" spans="1:15" ht="25.5" customHeight="1" thickBot="1">
      <c r="A4198" s="601"/>
      <c r="B4198" s="602"/>
      <c r="C4198" s="602"/>
      <c r="D4198" s="602"/>
      <c r="E4198" s="602"/>
      <c r="F4198" s="602"/>
      <c r="G4198" s="602"/>
      <c r="H4198" s="602"/>
      <c r="I4198" s="602"/>
      <c r="J4198" s="602"/>
      <c r="K4198" s="602"/>
      <c r="L4198" s="602"/>
      <c r="M4198" s="602"/>
      <c r="N4198" s="603"/>
    </row>
    <row r="4199" spans="1:15" ht="25.5" customHeight="1">
      <c r="E4199" s="206"/>
      <c r="F4199" s="206"/>
      <c r="G4199" s="206"/>
      <c r="H4199" s="206"/>
      <c r="I4199" s="206"/>
      <c r="J4199" s="206"/>
      <c r="K4199" s="206"/>
    </row>
    <row r="4200" spans="1:15" ht="21.6" thickBot="1"/>
    <row r="4201" spans="1:15" ht="95.25" customHeight="1" thickBot="1">
      <c r="A4201" s="592" t="s">
        <v>1883</v>
      </c>
      <c r="B4201" s="593"/>
      <c r="C4201" s="593"/>
      <c r="D4201" s="593"/>
      <c r="E4201" s="593"/>
      <c r="F4201" s="593"/>
      <c r="G4201" s="593"/>
      <c r="H4201" s="593"/>
      <c r="I4201" s="593"/>
      <c r="J4201" s="593"/>
      <c r="K4201" s="593"/>
      <c r="L4201" s="593"/>
      <c r="M4201" s="593"/>
      <c r="N4201" s="594"/>
    </row>
    <row r="4202" spans="1:15" s="3" customFormat="1" ht="37.5" customHeight="1">
      <c r="A4202" s="134" t="s">
        <v>1884</v>
      </c>
      <c r="B4202" s="166"/>
      <c r="C4202" s="166"/>
      <c r="D4202" s="123"/>
      <c r="E4202" s="123"/>
      <c r="F4202" s="167" t="s">
        <v>1885</v>
      </c>
      <c r="G4202" s="167" t="s">
        <v>1886</v>
      </c>
      <c r="H4202" s="167"/>
      <c r="I4202" s="167"/>
      <c r="J4202" s="167"/>
      <c r="K4202" s="167"/>
      <c r="L4202" s="167"/>
      <c r="M4202" s="167"/>
      <c r="N4202" s="152"/>
      <c r="O4202" s="201"/>
    </row>
    <row r="4203" spans="1:15" s="4" customFormat="1" ht="25.2">
      <c r="A4203" s="125" t="s">
        <v>1887</v>
      </c>
      <c r="B4203" s="123"/>
      <c r="C4203" s="123"/>
      <c r="D4203" s="123"/>
      <c r="E4203" s="123"/>
      <c r="F4203" s="167"/>
      <c r="G4203" s="167" t="s">
        <v>1888</v>
      </c>
      <c r="H4203" s="167"/>
      <c r="I4203" s="167"/>
      <c r="J4203" s="167"/>
      <c r="K4203" s="167"/>
      <c r="L4203" s="167"/>
      <c r="M4203" s="167"/>
      <c r="N4203" s="152"/>
    </row>
    <row r="4204" spans="1:15" s="3" customFormat="1" ht="9.9" customHeight="1">
      <c r="A4204" s="125"/>
      <c r="B4204" s="123"/>
      <c r="C4204" s="123"/>
      <c r="D4204" s="123"/>
      <c r="E4204" s="123"/>
      <c r="F4204" s="167"/>
      <c r="G4204" s="123"/>
      <c r="H4204" s="123"/>
      <c r="I4204" s="123"/>
      <c r="J4204" s="123"/>
      <c r="K4204" s="123"/>
      <c r="L4204" s="123"/>
      <c r="M4204" s="123"/>
      <c r="N4204" s="126"/>
    </row>
    <row r="4205" spans="1:15" s="3" customFormat="1" ht="42.75" customHeight="1">
      <c r="A4205" s="125" t="s">
        <v>1889</v>
      </c>
      <c r="B4205" s="123"/>
      <c r="C4205" s="123"/>
      <c r="D4205" s="123"/>
      <c r="E4205" s="123"/>
      <c r="F4205" s="167" t="s">
        <v>1885</v>
      </c>
      <c r="G4205" s="167" t="str">
        <f>PL!$B$13</f>
        <v>Branch of JSC "Doosan Enerbility" in the Turkestan region</v>
      </c>
      <c r="H4205" s="123"/>
      <c r="I4205" s="123"/>
      <c r="J4205" s="123"/>
      <c r="K4205" s="123"/>
      <c r="L4205" s="123"/>
      <c r="M4205" s="123"/>
      <c r="N4205" s="126"/>
    </row>
    <row r="4206" spans="1:15" s="3" customFormat="1" ht="24" customHeight="1">
      <c r="A4206" s="125" t="s">
        <v>1890</v>
      </c>
      <c r="B4206" s="123"/>
      <c r="C4206" s="123"/>
      <c r="D4206" s="123"/>
      <c r="E4206" s="123"/>
      <c r="F4206" s="168"/>
      <c r="G4206" s="167" t="str">
        <f>PL!$B$14</f>
        <v>321 Tauke Khan Avenue, Turkestan region, Turkestan, Kazakhstan, 161200</v>
      </c>
      <c r="H4206" s="123"/>
      <c r="I4206" s="123"/>
      <c r="J4206" s="123"/>
      <c r="K4206" s="123"/>
      <c r="L4206" s="123"/>
      <c r="M4206" s="123"/>
      <c r="N4206" s="126"/>
    </row>
    <row r="4207" spans="1:15" s="4" customFormat="1" ht="25.2">
      <c r="A4207" s="125"/>
      <c r="B4207" s="123"/>
      <c r="C4207" s="123"/>
      <c r="D4207" s="123"/>
      <c r="E4207" s="123"/>
      <c r="F4207" s="168"/>
      <c r="G4207" s="167" t="str">
        <f>PL!$B$15</f>
        <v>BIN: 230741006561</v>
      </c>
      <c r="H4207" s="123"/>
      <c r="I4207" s="123"/>
      <c r="J4207" s="123"/>
      <c r="K4207" s="123"/>
      <c r="L4207" s="123"/>
      <c r="M4207" s="123"/>
      <c r="N4207" s="126"/>
    </row>
    <row r="4208" spans="1:15" s="3" customFormat="1" ht="9.9" customHeight="1">
      <c r="A4208" s="125"/>
      <c r="B4208" s="123"/>
      <c r="C4208" s="123"/>
      <c r="D4208" s="123"/>
      <c r="E4208" s="123"/>
      <c r="F4208" s="169"/>
      <c r="G4208" s="169"/>
      <c r="H4208" s="123"/>
      <c r="I4208" s="123"/>
      <c r="J4208" s="123"/>
      <c r="K4208" s="123"/>
      <c r="L4208" s="123"/>
      <c r="M4208" s="123"/>
      <c r="N4208" s="126"/>
    </row>
    <row r="4209" spans="1:14" s="3" customFormat="1" ht="25.2">
      <c r="A4209" s="125" t="s">
        <v>1891</v>
      </c>
      <c r="B4209" s="123"/>
      <c r="C4209" s="123"/>
      <c r="D4209" s="123"/>
      <c r="E4209" s="123"/>
      <c r="F4209" s="167" t="s">
        <v>1892</v>
      </c>
      <c r="G4209" s="123"/>
      <c r="H4209" s="123"/>
      <c r="I4209" s="123"/>
      <c r="J4209" s="123"/>
      <c r="K4209" s="123"/>
      <c r="L4209" s="123"/>
      <c r="M4209" s="123"/>
      <c r="N4209" s="126"/>
    </row>
    <row r="4210" spans="1:14" s="4" customFormat="1" ht="25.2">
      <c r="A4210" s="125" t="s">
        <v>1893</v>
      </c>
      <c r="B4210" s="123"/>
      <c r="C4210" s="123"/>
      <c r="D4210" s="123"/>
      <c r="E4210" s="123"/>
      <c r="F4210" s="167" t="s">
        <v>1894</v>
      </c>
      <c r="G4210" s="123"/>
      <c r="H4210" s="123"/>
      <c r="I4210" s="123"/>
      <c r="J4210" s="123"/>
      <c r="K4210" s="123"/>
      <c r="L4210" s="123"/>
      <c r="M4210" s="123"/>
      <c r="N4210" s="126"/>
    </row>
    <row r="4211" spans="1:14" s="3" customFormat="1" ht="9.9" customHeight="1">
      <c r="A4211" s="125"/>
      <c r="B4211" s="123"/>
      <c r="C4211" s="123"/>
      <c r="D4211" s="123"/>
      <c r="E4211" s="123"/>
      <c r="F4211" s="167"/>
      <c r="G4211" s="123"/>
      <c r="H4211" s="123"/>
      <c r="I4211" s="123"/>
      <c r="J4211" s="123"/>
      <c r="K4211" s="123"/>
      <c r="L4211" s="123"/>
      <c r="M4211" s="123"/>
      <c r="N4211" s="126"/>
    </row>
    <row r="4212" spans="1:14" s="3" customFormat="1" ht="25.2">
      <c r="A4212" s="125" t="s">
        <v>1895</v>
      </c>
      <c r="B4212" s="123"/>
      <c r="C4212" s="123"/>
      <c r="D4212" s="123"/>
      <c r="E4212" s="123"/>
      <c r="F4212" s="167" t="s">
        <v>1896</v>
      </c>
      <c r="G4212" s="167" t="str">
        <f>PL!$V$8</f>
        <v>PGU-DE-0139-001</v>
      </c>
      <c r="H4212" s="123"/>
      <c r="I4212" s="123"/>
      <c r="J4212" s="123"/>
      <c r="K4212" s="123"/>
      <c r="L4212" s="123"/>
      <c r="M4212" s="123"/>
      <c r="N4212" s="126"/>
    </row>
    <row r="4213" spans="1:14" s="3" customFormat="1" ht="25.2">
      <c r="A4213" s="125" t="s">
        <v>1897</v>
      </c>
      <c r="B4213" s="123"/>
      <c r="C4213" s="123"/>
      <c r="D4213" s="123"/>
      <c r="E4213" s="123"/>
      <c r="F4213" s="167"/>
      <c r="G4213" s="123"/>
      <c r="H4213" s="123"/>
      <c r="I4213" s="123"/>
      <c r="J4213" s="123"/>
      <c r="K4213" s="123"/>
      <c r="L4213" s="123"/>
      <c r="M4213" s="123"/>
      <c r="N4213" s="126"/>
    </row>
    <row r="4214" spans="1:14" s="3" customFormat="1" ht="9.9" customHeight="1">
      <c r="A4214" s="125"/>
      <c r="B4214" s="123"/>
      <c r="C4214" s="123"/>
      <c r="D4214" s="123"/>
      <c r="E4214" s="123"/>
      <c r="F4214" s="167"/>
      <c r="G4214" s="123"/>
      <c r="H4214" s="123"/>
      <c r="I4214" s="123"/>
      <c r="J4214" s="123"/>
      <c r="K4214" s="123"/>
      <c r="L4214" s="123"/>
      <c r="M4214" s="123"/>
      <c r="N4214" s="126"/>
    </row>
    <row r="4215" spans="1:14" s="3" customFormat="1" ht="31.2" customHeight="1">
      <c r="A4215" s="127" t="s">
        <v>1898</v>
      </c>
      <c r="B4215" s="170"/>
      <c r="C4215" s="170"/>
      <c r="D4215" s="170"/>
      <c r="E4215" s="170"/>
      <c r="F4215" s="171" t="s">
        <v>1885</v>
      </c>
      <c r="G4215" s="597" t="e">
        <f>VLOOKUP(G4218, 'Detail PL'!$B$14:$Q$799,2)</f>
        <v>#N/A</v>
      </c>
      <c r="H4215" s="597"/>
      <c r="I4215" s="597"/>
      <c r="J4215" s="597"/>
      <c r="K4215" s="597"/>
      <c r="L4215" s="597"/>
      <c r="M4215" s="597"/>
      <c r="N4215" s="128"/>
    </row>
    <row r="4216" spans="1:14" s="3" customFormat="1" ht="25.2">
      <c r="A4216" s="127" t="s">
        <v>1899</v>
      </c>
      <c r="B4216" s="170"/>
      <c r="C4216" s="170"/>
      <c r="D4216" s="170"/>
      <c r="E4216" s="170"/>
      <c r="F4216" s="171"/>
      <c r="G4216" s="170"/>
      <c r="H4216" s="170"/>
      <c r="I4216" s="170"/>
      <c r="J4216" s="170"/>
      <c r="K4216" s="170"/>
      <c r="L4216" s="170"/>
      <c r="M4216" s="170"/>
      <c r="N4216" s="128"/>
    </row>
    <row r="4217" spans="1:14" s="3" customFormat="1" ht="9.9" customHeight="1">
      <c r="A4217" s="125"/>
      <c r="B4217" s="123"/>
      <c r="C4217" s="123"/>
      <c r="D4217" s="123"/>
      <c r="E4217" s="123"/>
      <c r="F4217" s="167"/>
      <c r="G4217" s="123"/>
      <c r="H4217" s="123"/>
      <c r="I4217" s="123"/>
      <c r="J4217" s="123"/>
      <c r="K4217" s="123"/>
      <c r="L4217" s="123"/>
      <c r="M4217" s="123"/>
      <c r="N4217" s="126"/>
    </row>
    <row r="4218" spans="1:14" s="3" customFormat="1" ht="25.2">
      <c r="A4218" s="125" t="s">
        <v>1900</v>
      </c>
      <c r="B4218" s="123"/>
      <c r="C4218" s="123"/>
      <c r="D4218" s="123"/>
      <c r="E4218" s="123"/>
      <c r="F4218" s="171" t="s">
        <v>1901</v>
      </c>
      <c r="G4218" s="604">
        <f t="shared" ref="G4218" si="118">G4183+1</f>
        <v>121</v>
      </c>
      <c r="H4218" s="604"/>
      <c r="I4218" s="604"/>
      <c r="J4218" s="604"/>
      <c r="K4218" s="604"/>
      <c r="L4218" s="123"/>
      <c r="M4218" s="123"/>
      <c r="N4218" s="126"/>
    </row>
    <row r="4219" spans="1:14" s="4" customFormat="1" ht="25.2">
      <c r="A4219" s="125" t="s">
        <v>1903</v>
      </c>
      <c r="B4219" s="123"/>
      <c r="C4219" s="123"/>
      <c r="D4219" s="123"/>
      <c r="E4219" s="123"/>
      <c r="F4219" s="167"/>
      <c r="G4219" s="167"/>
      <c r="H4219" s="123"/>
      <c r="I4219" s="123"/>
      <c r="J4219" s="123"/>
      <c r="K4219" s="123"/>
      <c r="L4219" s="123"/>
      <c r="M4219" s="123"/>
      <c r="N4219" s="126"/>
    </row>
    <row r="4220" spans="1:14" s="3" customFormat="1" ht="9.9" customHeight="1">
      <c r="A4220" s="125"/>
      <c r="B4220" s="123"/>
      <c r="C4220" s="123"/>
      <c r="D4220" s="123"/>
      <c r="E4220" s="123"/>
      <c r="F4220" s="167"/>
      <c r="G4220" s="167"/>
      <c r="H4220" s="123"/>
      <c r="I4220" s="123"/>
      <c r="J4220" s="123"/>
      <c r="K4220" s="123"/>
      <c r="L4220" s="123"/>
      <c r="M4220" s="123"/>
      <c r="N4220" s="126"/>
    </row>
    <row r="4221" spans="1:14" s="3" customFormat="1" ht="25.2">
      <c r="A4221" s="125" t="s">
        <v>1904</v>
      </c>
      <c r="B4221" s="123"/>
      <c r="C4221" s="123"/>
      <c r="D4221" s="123"/>
      <c r="E4221" s="123"/>
      <c r="F4221" s="167" t="s">
        <v>1896</v>
      </c>
      <c r="G4221" s="204" t="e">
        <f>VLOOKUP(G4218, 'Detail PL'!$B$14:$Q$799, 10)</f>
        <v>#N/A</v>
      </c>
      <c r="H4221" s="204" t="s">
        <v>1905</v>
      </c>
      <c r="I4221" s="204"/>
      <c r="J4221" s="204"/>
      <c r="K4221" s="123"/>
      <c r="L4221" s="123"/>
      <c r="M4221" s="123"/>
      <c r="N4221" s="126"/>
    </row>
    <row r="4222" spans="1:14" s="4" customFormat="1" ht="25.2">
      <c r="A4222" s="125" t="s">
        <v>1906</v>
      </c>
      <c r="B4222" s="123"/>
      <c r="C4222" s="123"/>
      <c r="D4222" s="123"/>
      <c r="E4222" s="123"/>
      <c r="F4222" s="167"/>
      <c r="G4222" s="167"/>
      <c r="H4222" s="167"/>
      <c r="I4222" s="123"/>
      <c r="J4222" s="123"/>
      <c r="K4222" s="123"/>
      <c r="L4222" s="123"/>
      <c r="M4222" s="123"/>
      <c r="N4222" s="126"/>
    </row>
    <row r="4223" spans="1:14" s="3" customFormat="1" ht="9.9" customHeight="1">
      <c r="A4223" s="125"/>
      <c r="B4223" s="123"/>
      <c r="C4223" s="123"/>
      <c r="D4223" s="123"/>
      <c r="E4223" s="123"/>
      <c r="F4223" s="167"/>
      <c r="G4223" s="167"/>
      <c r="H4223" s="167"/>
      <c r="I4223" s="123"/>
      <c r="J4223" s="123"/>
      <c r="K4223" s="123"/>
      <c r="L4223" s="123"/>
      <c r="M4223" s="123"/>
      <c r="N4223" s="126"/>
    </row>
    <row r="4224" spans="1:14" s="3" customFormat="1" ht="25.2">
      <c r="A4224" s="125" t="s">
        <v>1907</v>
      </c>
      <c r="B4224" s="123"/>
      <c r="C4224" s="123"/>
      <c r="D4224" s="123"/>
      <c r="E4224" s="123"/>
      <c r="F4224" s="167" t="s">
        <v>1896</v>
      </c>
      <c r="G4224" s="204" t="e">
        <f>VLOOKUP(G4218, 'Detail PL'!$B$14:$Q$799, 11)</f>
        <v>#N/A</v>
      </c>
      <c r="H4224" s="204" t="s">
        <v>1905</v>
      </c>
      <c r="I4224" s="204"/>
      <c r="J4224" s="204"/>
      <c r="K4224" s="123"/>
      <c r="L4224" s="123"/>
      <c r="M4224" s="123"/>
      <c r="N4224" s="126"/>
    </row>
    <row r="4225" spans="1:15" s="4" customFormat="1" ht="25.2">
      <c r="A4225" s="125" t="s">
        <v>1908</v>
      </c>
      <c r="B4225" s="123"/>
      <c r="C4225" s="123"/>
      <c r="D4225" s="123"/>
      <c r="E4225" s="123"/>
      <c r="F4225" s="167"/>
      <c r="G4225" s="167"/>
      <c r="H4225" s="123"/>
      <c r="I4225" s="123"/>
      <c r="J4225" s="123"/>
      <c r="K4225" s="123"/>
      <c r="L4225" s="123"/>
      <c r="M4225" s="123"/>
      <c r="N4225" s="126"/>
    </row>
    <row r="4226" spans="1:15" s="3" customFormat="1" ht="9.9" customHeight="1">
      <c r="A4226" s="125"/>
      <c r="B4226" s="123"/>
      <c r="C4226" s="123"/>
      <c r="D4226" s="123"/>
      <c r="E4226" s="123"/>
      <c r="F4226" s="167"/>
      <c r="G4226" s="167"/>
      <c r="H4226" s="123"/>
      <c r="I4226" s="123"/>
      <c r="J4226" s="123"/>
      <c r="K4226" s="123"/>
      <c r="L4226" s="123"/>
      <c r="M4226" s="123"/>
      <c r="N4226" s="126"/>
    </row>
    <row r="4227" spans="1:15" s="3" customFormat="1" ht="25.2">
      <c r="A4227" s="129" t="s">
        <v>1909</v>
      </c>
      <c r="B4227" s="123"/>
      <c r="C4227" s="123"/>
      <c r="D4227" s="123"/>
      <c r="E4227" s="123"/>
      <c r="F4227" s="167" t="s">
        <v>1896</v>
      </c>
      <c r="G4227" s="204" t="e">
        <f>VLOOKUP(G4218, 'Detail PL'!$B$14:$Q$799, 9)</f>
        <v>#N/A</v>
      </c>
      <c r="H4227" s="205" t="s">
        <v>1910</v>
      </c>
      <c r="I4227" s="203"/>
      <c r="J4227" s="203"/>
      <c r="K4227" s="172"/>
      <c r="L4227" s="123"/>
      <c r="M4227" s="123"/>
      <c r="N4227" s="126"/>
    </row>
    <row r="4228" spans="1:15" s="4" customFormat="1" ht="25.2">
      <c r="A4228" s="125" t="s">
        <v>1911</v>
      </c>
      <c r="B4228" s="123"/>
      <c r="C4228" s="123"/>
      <c r="D4228" s="123"/>
      <c r="E4228" s="123"/>
      <c r="F4228" s="167"/>
      <c r="G4228" s="167"/>
      <c r="H4228" s="123"/>
      <c r="I4228" s="123"/>
      <c r="J4228" s="123"/>
      <c r="K4228" s="123"/>
      <c r="L4228" s="123"/>
      <c r="M4228" s="123"/>
      <c r="N4228" s="126"/>
    </row>
    <row r="4229" spans="1:15" s="3" customFormat="1" ht="9.9" customHeight="1">
      <c r="A4229" s="125"/>
      <c r="B4229" s="123"/>
      <c r="C4229" s="123"/>
      <c r="D4229" s="123"/>
      <c r="E4229" s="123"/>
      <c r="F4229" s="167"/>
      <c r="G4229" s="167"/>
      <c r="H4229" s="123"/>
      <c r="I4229" s="123"/>
      <c r="J4229" s="123"/>
      <c r="K4229" s="123"/>
      <c r="L4229" s="123"/>
      <c r="M4229" s="123"/>
      <c r="N4229" s="126"/>
    </row>
    <row r="4230" spans="1:15" s="3" customFormat="1" ht="42" customHeight="1">
      <c r="A4230" s="125" t="s">
        <v>1912</v>
      </c>
      <c r="B4230" s="123"/>
      <c r="C4230" s="123"/>
      <c r="D4230" s="123"/>
      <c r="E4230" s="123"/>
      <c r="F4230" s="166" t="s">
        <v>1913</v>
      </c>
      <c r="G4230" s="595" t="s">
        <v>1914</v>
      </c>
      <c r="H4230" s="595"/>
      <c r="I4230" s="595"/>
      <c r="J4230" s="595"/>
      <c r="K4230" s="595"/>
      <c r="L4230" s="595"/>
      <c r="M4230" s="595"/>
      <c r="N4230" s="596"/>
    </row>
    <row r="4231" spans="1:15" s="4" customFormat="1" ht="25.8" thickBot="1">
      <c r="A4231" s="125" t="s">
        <v>1915</v>
      </c>
      <c r="B4231" s="123"/>
      <c r="C4231" s="123"/>
      <c r="D4231" s="123"/>
      <c r="E4231" s="123"/>
      <c r="F4231" s="167"/>
      <c r="G4231" s="167"/>
      <c r="H4231" s="123"/>
      <c r="I4231" s="123"/>
      <c r="J4231" s="123"/>
      <c r="K4231" s="123"/>
      <c r="L4231" s="123"/>
      <c r="M4231" s="123"/>
      <c r="N4231" s="126"/>
    </row>
    <row r="4232" spans="1:15" ht="21" customHeight="1">
      <c r="A4232" s="598" t="s">
        <v>1916</v>
      </c>
      <c r="B4232" s="599"/>
      <c r="C4232" s="599"/>
      <c r="D4232" s="599"/>
      <c r="E4232" s="599"/>
      <c r="F4232" s="599"/>
      <c r="G4232" s="599"/>
      <c r="H4232" s="599"/>
      <c r="I4232" s="599"/>
      <c r="J4232" s="599"/>
      <c r="K4232" s="599"/>
      <c r="L4232" s="599"/>
      <c r="M4232" s="599"/>
      <c r="N4232" s="600"/>
    </row>
    <row r="4233" spans="1:15" ht="25.5" customHeight="1" thickBot="1">
      <c r="A4233" s="601"/>
      <c r="B4233" s="602"/>
      <c r="C4233" s="602"/>
      <c r="D4233" s="602"/>
      <c r="E4233" s="602"/>
      <c r="F4233" s="602"/>
      <c r="G4233" s="602"/>
      <c r="H4233" s="602"/>
      <c r="I4233" s="602"/>
      <c r="J4233" s="602"/>
      <c r="K4233" s="602"/>
      <c r="L4233" s="602"/>
      <c r="M4233" s="602"/>
      <c r="N4233" s="603"/>
    </row>
    <row r="4234" spans="1:15" ht="25.5" customHeight="1">
      <c r="E4234" s="206"/>
      <c r="F4234" s="206"/>
      <c r="G4234" s="206"/>
      <c r="H4234" s="206"/>
      <c r="I4234" s="206"/>
      <c r="J4234" s="206"/>
      <c r="K4234" s="206"/>
    </row>
    <row r="4235" spans="1:15" ht="21.6" thickBot="1"/>
    <row r="4236" spans="1:15" ht="95.25" customHeight="1" thickBot="1">
      <c r="A4236" s="592" t="s">
        <v>1883</v>
      </c>
      <c r="B4236" s="593"/>
      <c r="C4236" s="593"/>
      <c r="D4236" s="593"/>
      <c r="E4236" s="593"/>
      <c r="F4236" s="593"/>
      <c r="G4236" s="593"/>
      <c r="H4236" s="593"/>
      <c r="I4236" s="593"/>
      <c r="J4236" s="593"/>
      <c r="K4236" s="593"/>
      <c r="L4236" s="593"/>
      <c r="M4236" s="593"/>
      <c r="N4236" s="594"/>
    </row>
    <row r="4237" spans="1:15" s="3" customFormat="1" ht="37.5" customHeight="1">
      <c r="A4237" s="134" t="s">
        <v>1884</v>
      </c>
      <c r="B4237" s="166"/>
      <c r="C4237" s="166"/>
      <c r="D4237" s="123"/>
      <c r="E4237" s="123"/>
      <c r="F4237" s="167" t="s">
        <v>1885</v>
      </c>
      <c r="G4237" s="167" t="s">
        <v>1886</v>
      </c>
      <c r="H4237" s="167"/>
      <c r="I4237" s="167"/>
      <c r="J4237" s="167"/>
      <c r="K4237" s="167"/>
      <c r="L4237" s="167"/>
      <c r="M4237" s="167"/>
      <c r="N4237" s="152"/>
      <c r="O4237" s="201"/>
    </row>
    <row r="4238" spans="1:15" s="4" customFormat="1" ht="25.2">
      <c r="A4238" s="125" t="s">
        <v>1887</v>
      </c>
      <c r="B4238" s="123"/>
      <c r="C4238" s="123"/>
      <c r="D4238" s="123"/>
      <c r="E4238" s="123"/>
      <c r="F4238" s="167"/>
      <c r="G4238" s="167" t="s">
        <v>1888</v>
      </c>
      <c r="H4238" s="167"/>
      <c r="I4238" s="167"/>
      <c r="J4238" s="167"/>
      <c r="K4238" s="167"/>
      <c r="L4238" s="167"/>
      <c r="M4238" s="167"/>
      <c r="N4238" s="152"/>
    </row>
    <row r="4239" spans="1:15" s="3" customFormat="1" ht="9.9" customHeight="1">
      <c r="A4239" s="125"/>
      <c r="B4239" s="123"/>
      <c r="C4239" s="123"/>
      <c r="D4239" s="123"/>
      <c r="E4239" s="123"/>
      <c r="F4239" s="167"/>
      <c r="G4239" s="123"/>
      <c r="H4239" s="123"/>
      <c r="I4239" s="123"/>
      <c r="J4239" s="123"/>
      <c r="K4239" s="123"/>
      <c r="L4239" s="123"/>
      <c r="M4239" s="123"/>
      <c r="N4239" s="126"/>
    </row>
    <row r="4240" spans="1:15" s="3" customFormat="1" ht="42.75" customHeight="1">
      <c r="A4240" s="125" t="s">
        <v>1889</v>
      </c>
      <c r="B4240" s="123"/>
      <c r="C4240" s="123"/>
      <c r="D4240" s="123"/>
      <c r="E4240" s="123"/>
      <c r="F4240" s="167" t="s">
        <v>1885</v>
      </c>
      <c r="G4240" s="167" t="str">
        <f>PL!$B$13</f>
        <v>Branch of JSC "Doosan Enerbility" in the Turkestan region</v>
      </c>
      <c r="H4240" s="123"/>
      <c r="I4240" s="123"/>
      <c r="J4240" s="123"/>
      <c r="K4240" s="123"/>
      <c r="L4240" s="123"/>
      <c r="M4240" s="123"/>
      <c r="N4240" s="126"/>
    </row>
    <row r="4241" spans="1:14" s="3" customFormat="1" ht="24" customHeight="1">
      <c r="A4241" s="125" t="s">
        <v>1890</v>
      </c>
      <c r="B4241" s="123"/>
      <c r="C4241" s="123"/>
      <c r="D4241" s="123"/>
      <c r="E4241" s="123"/>
      <c r="F4241" s="168"/>
      <c r="G4241" s="167" t="str">
        <f>PL!$B$14</f>
        <v>321 Tauke Khan Avenue, Turkestan region, Turkestan, Kazakhstan, 161200</v>
      </c>
      <c r="H4241" s="123"/>
      <c r="I4241" s="123"/>
      <c r="J4241" s="123"/>
      <c r="K4241" s="123"/>
      <c r="L4241" s="123"/>
      <c r="M4241" s="123"/>
      <c r="N4241" s="126"/>
    </row>
    <row r="4242" spans="1:14" s="4" customFormat="1" ht="25.2">
      <c r="A4242" s="125"/>
      <c r="B4242" s="123"/>
      <c r="C4242" s="123"/>
      <c r="D4242" s="123"/>
      <c r="E4242" s="123"/>
      <c r="F4242" s="168"/>
      <c r="G4242" s="167" t="str">
        <f>PL!$B$15</f>
        <v>BIN: 230741006561</v>
      </c>
      <c r="H4242" s="123"/>
      <c r="I4242" s="123"/>
      <c r="J4242" s="123"/>
      <c r="K4242" s="123"/>
      <c r="L4242" s="123"/>
      <c r="M4242" s="123"/>
      <c r="N4242" s="126"/>
    </row>
    <row r="4243" spans="1:14" s="3" customFormat="1" ht="9.9" customHeight="1">
      <c r="A4243" s="125"/>
      <c r="B4243" s="123"/>
      <c r="C4243" s="123"/>
      <c r="D4243" s="123"/>
      <c r="E4243" s="123"/>
      <c r="F4243" s="169"/>
      <c r="G4243" s="169"/>
      <c r="H4243" s="123"/>
      <c r="I4243" s="123"/>
      <c r="J4243" s="123"/>
      <c r="K4243" s="123"/>
      <c r="L4243" s="123"/>
      <c r="M4243" s="123"/>
      <c r="N4243" s="126"/>
    </row>
    <row r="4244" spans="1:14" s="3" customFormat="1" ht="25.2">
      <c r="A4244" s="125" t="s">
        <v>1891</v>
      </c>
      <c r="B4244" s="123"/>
      <c r="C4244" s="123"/>
      <c r="D4244" s="123"/>
      <c r="E4244" s="123"/>
      <c r="F4244" s="167" t="s">
        <v>1892</v>
      </c>
      <c r="G4244" s="123"/>
      <c r="H4244" s="123"/>
      <c r="I4244" s="123"/>
      <c r="J4244" s="123"/>
      <c r="K4244" s="123"/>
      <c r="L4244" s="123"/>
      <c r="M4244" s="123"/>
      <c r="N4244" s="126"/>
    </row>
    <row r="4245" spans="1:14" s="4" customFormat="1" ht="25.2">
      <c r="A4245" s="125" t="s">
        <v>1893</v>
      </c>
      <c r="B4245" s="123"/>
      <c r="C4245" s="123"/>
      <c r="D4245" s="123"/>
      <c r="E4245" s="123"/>
      <c r="F4245" s="167" t="s">
        <v>1894</v>
      </c>
      <c r="G4245" s="123"/>
      <c r="H4245" s="123"/>
      <c r="I4245" s="123"/>
      <c r="J4245" s="123"/>
      <c r="K4245" s="123"/>
      <c r="L4245" s="123"/>
      <c r="M4245" s="123"/>
      <c r="N4245" s="126"/>
    </row>
    <row r="4246" spans="1:14" s="3" customFormat="1" ht="9.9" customHeight="1">
      <c r="A4246" s="125"/>
      <c r="B4246" s="123"/>
      <c r="C4246" s="123"/>
      <c r="D4246" s="123"/>
      <c r="E4246" s="123"/>
      <c r="F4246" s="167"/>
      <c r="G4246" s="123"/>
      <c r="H4246" s="123"/>
      <c r="I4246" s="123"/>
      <c r="J4246" s="123"/>
      <c r="K4246" s="123"/>
      <c r="L4246" s="123"/>
      <c r="M4246" s="123"/>
      <c r="N4246" s="126"/>
    </row>
    <row r="4247" spans="1:14" s="3" customFormat="1" ht="25.2">
      <c r="A4247" s="125" t="s">
        <v>1895</v>
      </c>
      <c r="B4247" s="123"/>
      <c r="C4247" s="123"/>
      <c r="D4247" s="123"/>
      <c r="E4247" s="123"/>
      <c r="F4247" s="167" t="s">
        <v>1896</v>
      </c>
      <c r="G4247" s="167" t="str">
        <f>PL!$V$8</f>
        <v>PGU-DE-0139-001</v>
      </c>
      <c r="H4247" s="123"/>
      <c r="I4247" s="123"/>
      <c r="J4247" s="123"/>
      <c r="K4247" s="123"/>
      <c r="L4247" s="123"/>
      <c r="M4247" s="123"/>
      <c r="N4247" s="126"/>
    </row>
    <row r="4248" spans="1:14" s="3" customFormat="1" ht="25.2">
      <c r="A4248" s="125" t="s">
        <v>1897</v>
      </c>
      <c r="B4248" s="123"/>
      <c r="C4248" s="123"/>
      <c r="D4248" s="123"/>
      <c r="E4248" s="123"/>
      <c r="F4248" s="167"/>
      <c r="G4248" s="123"/>
      <c r="H4248" s="123"/>
      <c r="I4248" s="123"/>
      <c r="J4248" s="123"/>
      <c r="K4248" s="123"/>
      <c r="L4248" s="123"/>
      <c r="M4248" s="123"/>
      <c r="N4248" s="126"/>
    </row>
    <row r="4249" spans="1:14" s="3" customFormat="1" ht="9.9" customHeight="1">
      <c r="A4249" s="125"/>
      <c r="B4249" s="123"/>
      <c r="C4249" s="123"/>
      <c r="D4249" s="123"/>
      <c r="E4249" s="123"/>
      <c r="F4249" s="167"/>
      <c r="G4249" s="123"/>
      <c r="H4249" s="123"/>
      <c r="I4249" s="123"/>
      <c r="J4249" s="123"/>
      <c r="K4249" s="123"/>
      <c r="L4249" s="123"/>
      <c r="M4249" s="123"/>
      <c r="N4249" s="126"/>
    </row>
    <row r="4250" spans="1:14" s="3" customFormat="1" ht="31.2" customHeight="1">
      <c r="A4250" s="127" t="s">
        <v>1898</v>
      </c>
      <c r="B4250" s="170"/>
      <c r="C4250" s="170"/>
      <c r="D4250" s="170"/>
      <c r="E4250" s="170"/>
      <c r="F4250" s="171" t="s">
        <v>1885</v>
      </c>
      <c r="G4250" s="597" t="e">
        <f>VLOOKUP(G4253, 'Detail PL'!$B$14:$Q$799,2)</f>
        <v>#N/A</v>
      </c>
      <c r="H4250" s="597"/>
      <c r="I4250" s="597"/>
      <c r="J4250" s="597"/>
      <c r="K4250" s="597"/>
      <c r="L4250" s="597"/>
      <c r="M4250" s="597"/>
      <c r="N4250" s="128"/>
    </row>
    <row r="4251" spans="1:14" s="3" customFormat="1" ht="25.2">
      <c r="A4251" s="127" t="s">
        <v>1899</v>
      </c>
      <c r="B4251" s="170"/>
      <c r="C4251" s="170"/>
      <c r="D4251" s="170"/>
      <c r="E4251" s="170"/>
      <c r="F4251" s="171"/>
      <c r="G4251" s="170"/>
      <c r="H4251" s="170"/>
      <c r="I4251" s="170"/>
      <c r="J4251" s="170"/>
      <c r="K4251" s="170"/>
      <c r="L4251" s="170"/>
      <c r="M4251" s="170"/>
      <c r="N4251" s="128"/>
    </row>
    <row r="4252" spans="1:14" s="3" customFormat="1" ht="9.9" customHeight="1">
      <c r="A4252" s="125"/>
      <c r="B4252" s="123"/>
      <c r="C4252" s="123"/>
      <c r="D4252" s="123"/>
      <c r="E4252" s="123"/>
      <c r="F4252" s="167"/>
      <c r="G4252" s="123"/>
      <c r="H4252" s="123"/>
      <c r="I4252" s="123"/>
      <c r="J4252" s="123"/>
      <c r="K4252" s="123"/>
      <c r="L4252" s="123"/>
      <c r="M4252" s="123"/>
      <c r="N4252" s="126"/>
    </row>
    <row r="4253" spans="1:14" s="3" customFormat="1" ht="25.2">
      <c r="A4253" s="125" t="s">
        <v>1900</v>
      </c>
      <c r="B4253" s="123"/>
      <c r="C4253" s="123"/>
      <c r="D4253" s="123"/>
      <c r="E4253" s="123"/>
      <c r="F4253" s="171" t="s">
        <v>1901</v>
      </c>
      <c r="G4253" s="604">
        <f t="shared" ref="G4253" si="119">G4218+1</f>
        <v>122</v>
      </c>
      <c r="H4253" s="604"/>
      <c r="I4253" s="604"/>
      <c r="J4253" s="604"/>
      <c r="K4253" s="604"/>
      <c r="L4253" s="123"/>
      <c r="M4253" s="123"/>
      <c r="N4253" s="126"/>
    </row>
    <row r="4254" spans="1:14" s="4" customFormat="1" ht="25.2">
      <c r="A4254" s="125" t="s">
        <v>1903</v>
      </c>
      <c r="B4254" s="123"/>
      <c r="C4254" s="123"/>
      <c r="D4254" s="123"/>
      <c r="E4254" s="123"/>
      <c r="F4254" s="167"/>
      <c r="G4254" s="167"/>
      <c r="H4254" s="123"/>
      <c r="I4254" s="123"/>
      <c r="J4254" s="123"/>
      <c r="K4254" s="123"/>
      <c r="L4254" s="123"/>
      <c r="M4254" s="123"/>
      <c r="N4254" s="126"/>
    </row>
    <row r="4255" spans="1:14" s="3" customFormat="1" ht="9.9" customHeight="1">
      <c r="A4255" s="125"/>
      <c r="B4255" s="123"/>
      <c r="C4255" s="123"/>
      <c r="D4255" s="123"/>
      <c r="E4255" s="123"/>
      <c r="F4255" s="167"/>
      <c r="G4255" s="167"/>
      <c r="H4255" s="123"/>
      <c r="I4255" s="123"/>
      <c r="J4255" s="123"/>
      <c r="K4255" s="123"/>
      <c r="L4255" s="123"/>
      <c r="M4255" s="123"/>
      <c r="N4255" s="126"/>
    </row>
    <row r="4256" spans="1:14" s="3" customFormat="1" ht="25.2">
      <c r="A4256" s="125" t="s">
        <v>1904</v>
      </c>
      <c r="B4256" s="123"/>
      <c r="C4256" s="123"/>
      <c r="D4256" s="123"/>
      <c r="E4256" s="123"/>
      <c r="F4256" s="167" t="s">
        <v>1896</v>
      </c>
      <c r="G4256" s="204" t="e">
        <f>VLOOKUP(G4253, 'Detail PL'!$B$14:$Q$799, 10)</f>
        <v>#N/A</v>
      </c>
      <c r="H4256" s="204" t="s">
        <v>1905</v>
      </c>
      <c r="I4256" s="204"/>
      <c r="J4256" s="204"/>
      <c r="K4256" s="123"/>
      <c r="L4256" s="123"/>
      <c r="M4256" s="123"/>
      <c r="N4256" s="126"/>
    </row>
    <row r="4257" spans="1:15" s="4" customFormat="1" ht="25.2">
      <c r="A4257" s="125" t="s">
        <v>1906</v>
      </c>
      <c r="B4257" s="123"/>
      <c r="C4257" s="123"/>
      <c r="D4257" s="123"/>
      <c r="E4257" s="123"/>
      <c r="F4257" s="167"/>
      <c r="G4257" s="167"/>
      <c r="H4257" s="167"/>
      <c r="I4257" s="123"/>
      <c r="J4257" s="123"/>
      <c r="K4257" s="123"/>
      <c r="L4257" s="123"/>
      <c r="M4257" s="123"/>
      <c r="N4257" s="126"/>
    </row>
    <row r="4258" spans="1:15" s="3" customFormat="1" ht="9.9" customHeight="1">
      <c r="A4258" s="125"/>
      <c r="B4258" s="123"/>
      <c r="C4258" s="123"/>
      <c r="D4258" s="123"/>
      <c r="E4258" s="123"/>
      <c r="F4258" s="167"/>
      <c r="G4258" s="167"/>
      <c r="H4258" s="167"/>
      <c r="I4258" s="123"/>
      <c r="J4258" s="123"/>
      <c r="K4258" s="123"/>
      <c r="L4258" s="123"/>
      <c r="M4258" s="123"/>
      <c r="N4258" s="126"/>
    </row>
    <row r="4259" spans="1:15" s="3" customFormat="1" ht="25.2">
      <c r="A4259" s="125" t="s">
        <v>1907</v>
      </c>
      <c r="B4259" s="123"/>
      <c r="C4259" s="123"/>
      <c r="D4259" s="123"/>
      <c r="E4259" s="123"/>
      <c r="F4259" s="167" t="s">
        <v>1896</v>
      </c>
      <c r="G4259" s="204" t="e">
        <f>VLOOKUP(G4253, 'Detail PL'!$B$14:$Q$799, 11)</f>
        <v>#N/A</v>
      </c>
      <c r="H4259" s="204" t="s">
        <v>1905</v>
      </c>
      <c r="I4259" s="204"/>
      <c r="J4259" s="204"/>
      <c r="K4259" s="123"/>
      <c r="L4259" s="123"/>
      <c r="M4259" s="123"/>
      <c r="N4259" s="126"/>
    </row>
    <row r="4260" spans="1:15" s="4" customFormat="1" ht="25.2">
      <c r="A4260" s="125" t="s">
        <v>1908</v>
      </c>
      <c r="B4260" s="123"/>
      <c r="C4260" s="123"/>
      <c r="D4260" s="123"/>
      <c r="E4260" s="123"/>
      <c r="F4260" s="167"/>
      <c r="G4260" s="167"/>
      <c r="H4260" s="123"/>
      <c r="I4260" s="123"/>
      <c r="J4260" s="123"/>
      <c r="K4260" s="123"/>
      <c r="L4260" s="123"/>
      <c r="M4260" s="123"/>
      <c r="N4260" s="126"/>
    </row>
    <row r="4261" spans="1:15" s="3" customFormat="1" ht="9.9" customHeight="1">
      <c r="A4261" s="125"/>
      <c r="B4261" s="123"/>
      <c r="C4261" s="123"/>
      <c r="D4261" s="123"/>
      <c r="E4261" s="123"/>
      <c r="F4261" s="167"/>
      <c r="G4261" s="167"/>
      <c r="H4261" s="123"/>
      <c r="I4261" s="123"/>
      <c r="J4261" s="123"/>
      <c r="K4261" s="123"/>
      <c r="L4261" s="123"/>
      <c r="M4261" s="123"/>
      <c r="N4261" s="126"/>
    </row>
    <row r="4262" spans="1:15" s="3" customFormat="1" ht="25.2">
      <c r="A4262" s="129" t="s">
        <v>1909</v>
      </c>
      <c r="B4262" s="123"/>
      <c r="C4262" s="123"/>
      <c r="D4262" s="123"/>
      <c r="E4262" s="123"/>
      <c r="F4262" s="167" t="s">
        <v>1896</v>
      </c>
      <c r="G4262" s="204" t="e">
        <f>VLOOKUP(G4253, 'Detail PL'!$B$14:$Q$799, 9)</f>
        <v>#N/A</v>
      </c>
      <c r="H4262" s="205" t="s">
        <v>1910</v>
      </c>
      <c r="I4262" s="203"/>
      <c r="J4262" s="203"/>
      <c r="K4262" s="172"/>
      <c r="L4262" s="123"/>
      <c r="M4262" s="123"/>
      <c r="N4262" s="126"/>
    </row>
    <row r="4263" spans="1:15" s="4" customFormat="1" ht="25.2">
      <c r="A4263" s="125" t="s">
        <v>1911</v>
      </c>
      <c r="B4263" s="123"/>
      <c r="C4263" s="123"/>
      <c r="D4263" s="123"/>
      <c r="E4263" s="123"/>
      <c r="F4263" s="167"/>
      <c r="G4263" s="167"/>
      <c r="H4263" s="123"/>
      <c r="I4263" s="123"/>
      <c r="J4263" s="123"/>
      <c r="K4263" s="123"/>
      <c r="L4263" s="123"/>
      <c r="M4263" s="123"/>
      <c r="N4263" s="126"/>
    </row>
    <row r="4264" spans="1:15" s="3" customFormat="1" ht="9.9" customHeight="1">
      <c r="A4264" s="125"/>
      <c r="B4264" s="123"/>
      <c r="C4264" s="123"/>
      <c r="D4264" s="123"/>
      <c r="E4264" s="123"/>
      <c r="F4264" s="167"/>
      <c r="G4264" s="167"/>
      <c r="H4264" s="123"/>
      <c r="I4264" s="123"/>
      <c r="J4264" s="123"/>
      <c r="K4264" s="123"/>
      <c r="L4264" s="123"/>
      <c r="M4264" s="123"/>
      <c r="N4264" s="126"/>
    </row>
    <row r="4265" spans="1:15" s="3" customFormat="1" ht="42" customHeight="1">
      <c r="A4265" s="125" t="s">
        <v>1912</v>
      </c>
      <c r="B4265" s="123"/>
      <c r="C4265" s="123"/>
      <c r="D4265" s="123"/>
      <c r="E4265" s="123"/>
      <c r="F4265" s="166" t="s">
        <v>1913</v>
      </c>
      <c r="G4265" s="595" t="s">
        <v>1914</v>
      </c>
      <c r="H4265" s="595"/>
      <c r="I4265" s="595"/>
      <c r="J4265" s="595"/>
      <c r="K4265" s="595"/>
      <c r="L4265" s="595"/>
      <c r="M4265" s="595"/>
      <c r="N4265" s="596"/>
    </row>
    <row r="4266" spans="1:15" s="4" customFormat="1" ht="25.8" thickBot="1">
      <c r="A4266" s="125" t="s">
        <v>1915</v>
      </c>
      <c r="B4266" s="123"/>
      <c r="C4266" s="123"/>
      <c r="D4266" s="123"/>
      <c r="E4266" s="123"/>
      <c r="F4266" s="167"/>
      <c r="G4266" s="167"/>
      <c r="H4266" s="123"/>
      <c r="I4266" s="123"/>
      <c r="J4266" s="123"/>
      <c r="K4266" s="123"/>
      <c r="L4266" s="123"/>
      <c r="M4266" s="123"/>
      <c r="N4266" s="126"/>
    </row>
    <row r="4267" spans="1:15" ht="21" customHeight="1">
      <c r="A4267" s="598" t="s">
        <v>1916</v>
      </c>
      <c r="B4267" s="599"/>
      <c r="C4267" s="599"/>
      <c r="D4267" s="599"/>
      <c r="E4267" s="599"/>
      <c r="F4267" s="599"/>
      <c r="G4267" s="599"/>
      <c r="H4267" s="599"/>
      <c r="I4267" s="599"/>
      <c r="J4267" s="599"/>
      <c r="K4267" s="599"/>
      <c r="L4267" s="599"/>
      <c r="M4267" s="599"/>
      <c r="N4267" s="600"/>
    </row>
    <row r="4268" spans="1:15" ht="25.5" customHeight="1" thickBot="1">
      <c r="A4268" s="601"/>
      <c r="B4268" s="602"/>
      <c r="C4268" s="602"/>
      <c r="D4268" s="602"/>
      <c r="E4268" s="602"/>
      <c r="F4268" s="602"/>
      <c r="G4268" s="602"/>
      <c r="H4268" s="602"/>
      <c r="I4268" s="602"/>
      <c r="J4268" s="602"/>
      <c r="K4268" s="602"/>
      <c r="L4268" s="602"/>
      <c r="M4268" s="602"/>
      <c r="N4268" s="603"/>
    </row>
    <row r="4269" spans="1:15" ht="25.5" customHeight="1">
      <c r="E4269" s="206"/>
      <c r="F4269" s="206"/>
      <c r="G4269" s="206"/>
      <c r="H4269" s="206"/>
      <c r="I4269" s="206"/>
      <c r="J4269" s="206"/>
      <c r="K4269" s="206"/>
    </row>
    <row r="4270" spans="1:15" ht="21.6" thickBot="1"/>
    <row r="4271" spans="1:15" ht="95.25" customHeight="1" thickBot="1">
      <c r="A4271" s="592" t="s">
        <v>1883</v>
      </c>
      <c r="B4271" s="593"/>
      <c r="C4271" s="593"/>
      <c r="D4271" s="593"/>
      <c r="E4271" s="593"/>
      <c r="F4271" s="593"/>
      <c r="G4271" s="593"/>
      <c r="H4271" s="593"/>
      <c r="I4271" s="593"/>
      <c r="J4271" s="593"/>
      <c r="K4271" s="593"/>
      <c r="L4271" s="593"/>
      <c r="M4271" s="593"/>
      <c r="N4271" s="594"/>
    </row>
    <row r="4272" spans="1:15" s="3" customFormat="1" ht="37.5" customHeight="1">
      <c r="A4272" s="134" t="s">
        <v>1884</v>
      </c>
      <c r="B4272" s="166"/>
      <c r="C4272" s="166"/>
      <c r="D4272" s="123"/>
      <c r="E4272" s="123"/>
      <c r="F4272" s="167" t="s">
        <v>1885</v>
      </c>
      <c r="G4272" s="167" t="s">
        <v>1886</v>
      </c>
      <c r="H4272" s="167"/>
      <c r="I4272" s="167"/>
      <c r="J4272" s="167"/>
      <c r="K4272" s="167"/>
      <c r="L4272" s="167"/>
      <c r="M4272" s="167"/>
      <c r="N4272" s="152"/>
      <c r="O4272" s="201"/>
    </row>
    <row r="4273" spans="1:14" s="4" customFormat="1" ht="25.2">
      <c r="A4273" s="125" t="s">
        <v>1887</v>
      </c>
      <c r="B4273" s="123"/>
      <c r="C4273" s="123"/>
      <c r="D4273" s="123"/>
      <c r="E4273" s="123"/>
      <c r="F4273" s="167"/>
      <c r="G4273" s="167" t="s">
        <v>1888</v>
      </c>
      <c r="H4273" s="167"/>
      <c r="I4273" s="167"/>
      <c r="J4273" s="167"/>
      <c r="K4273" s="167"/>
      <c r="L4273" s="167"/>
      <c r="M4273" s="167"/>
      <c r="N4273" s="152"/>
    </row>
    <row r="4274" spans="1:14" s="3" customFormat="1" ht="9.9" customHeight="1">
      <c r="A4274" s="125"/>
      <c r="B4274" s="123"/>
      <c r="C4274" s="123"/>
      <c r="D4274" s="123"/>
      <c r="E4274" s="123"/>
      <c r="F4274" s="167"/>
      <c r="G4274" s="123"/>
      <c r="H4274" s="123"/>
      <c r="I4274" s="123"/>
      <c r="J4274" s="123"/>
      <c r="K4274" s="123"/>
      <c r="L4274" s="123"/>
      <c r="M4274" s="123"/>
      <c r="N4274" s="126"/>
    </row>
    <row r="4275" spans="1:14" s="3" customFormat="1" ht="42.75" customHeight="1">
      <c r="A4275" s="125" t="s">
        <v>1889</v>
      </c>
      <c r="B4275" s="123"/>
      <c r="C4275" s="123"/>
      <c r="D4275" s="123"/>
      <c r="E4275" s="123"/>
      <c r="F4275" s="167" t="s">
        <v>1885</v>
      </c>
      <c r="G4275" s="167" t="str">
        <f>PL!$B$13</f>
        <v>Branch of JSC "Doosan Enerbility" in the Turkestan region</v>
      </c>
      <c r="H4275" s="123"/>
      <c r="I4275" s="123"/>
      <c r="J4275" s="123"/>
      <c r="K4275" s="123"/>
      <c r="L4275" s="123"/>
      <c r="M4275" s="123"/>
      <c r="N4275" s="126"/>
    </row>
    <row r="4276" spans="1:14" s="3" customFormat="1" ht="24" customHeight="1">
      <c r="A4276" s="125" t="s">
        <v>1890</v>
      </c>
      <c r="B4276" s="123"/>
      <c r="C4276" s="123"/>
      <c r="D4276" s="123"/>
      <c r="E4276" s="123"/>
      <c r="F4276" s="168"/>
      <c r="G4276" s="167" t="str">
        <f>PL!$B$14</f>
        <v>321 Tauke Khan Avenue, Turkestan region, Turkestan, Kazakhstan, 161200</v>
      </c>
      <c r="H4276" s="123"/>
      <c r="I4276" s="123"/>
      <c r="J4276" s="123"/>
      <c r="K4276" s="123"/>
      <c r="L4276" s="123"/>
      <c r="M4276" s="123"/>
      <c r="N4276" s="126"/>
    </row>
    <row r="4277" spans="1:14" s="4" customFormat="1" ht="25.2">
      <c r="A4277" s="125"/>
      <c r="B4277" s="123"/>
      <c r="C4277" s="123"/>
      <c r="D4277" s="123"/>
      <c r="E4277" s="123"/>
      <c r="F4277" s="168"/>
      <c r="G4277" s="167" t="str">
        <f>PL!$B$15</f>
        <v>BIN: 230741006561</v>
      </c>
      <c r="H4277" s="123"/>
      <c r="I4277" s="123"/>
      <c r="J4277" s="123"/>
      <c r="K4277" s="123"/>
      <c r="L4277" s="123"/>
      <c r="M4277" s="123"/>
      <c r="N4277" s="126"/>
    </row>
    <row r="4278" spans="1:14" s="3" customFormat="1" ht="9.9" customHeight="1">
      <c r="A4278" s="125"/>
      <c r="B4278" s="123"/>
      <c r="C4278" s="123"/>
      <c r="D4278" s="123"/>
      <c r="E4278" s="123"/>
      <c r="F4278" s="169"/>
      <c r="G4278" s="169"/>
      <c r="H4278" s="123"/>
      <c r="I4278" s="123"/>
      <c r="J4278" s="123"/>
      <c r="K4278" s="123"/>
      <c r="L4278" s="123"/>
      <c r="M4278" s="123"/>
      <c r="N4278" s="126"/>
    </row>
    <row r="4279" spans="1:14" s="3" customFormat="1" ht="25.2">
      <c r="A4279" s="125" t="s">
        <v>1891</v>
      </c>
      <c r="B4279" s="123"/>
      <c r="C4279" s="123"/>
      <c r="D4279" s="123"/>
      <c r="E4279" s="123"/>
      <c r="F4279" s="167" t="s">
        <v>1892</v>
      </c>
      <c r="G4279" s="123"/>
      <c r="H4279" s="123"/>
      <c r="I4279" s="123"/>
      <c r="J4279" s="123"/>
      <c r="K4279" s="123"/>
      <c r="L4279" s="123"/>
      <c r="M4279" s="123"/>
      <c r="N4279" s="126"/>
    </row>
    <row r="4280" spans="1:14" s="4" customFormat="1" ht="25.2">
      <c r="A4280" s="125" t="s">
        <v>1893</v>
      </c>
      <c r="B4280" s="123"/>
      <c r="C4280" s="123"/>
      <c r="D4280" s="123"/>
      <c r="E4280" s="123"/>
      <c r="F4280" s="167" t="s">
        <v>1894</v>
      </c>
      <c r="G4280" s="123"/>
      <c r="H4280" s="123"/>
      <c r="I4280" s="123"/>
      <c r="J4280" s="123"/>
      <c r="K4280" s="123"/>
      <c r="L4280" s="123"/>
      <c r="M4280" s="123"/>
      <c r="N4280" s="126"/>
    </row>
    <row r="4281" spans="1:14" s="3" customFormat="1" ht="9.9" customHeight="1">
      <c r="A4281" s="125"/>
      <c r="B4281" s="123"/>
      <c r="C4281" s="123"/>
      <c r="D4281" s="123"/>
      <c r="E4281" s="123"/>
      <c r="F4281" s="167"/>
      <c r="G4281" s="123"/>
      <c r="H4281" s="123"/>
      <c r="I4281" s="123"/>
      <c r="J4281" s="123"/>
      <c r="K4281" s="123"/>
      <c r="L4281" s="123"/>
      <c r="M4281" s="123"/>
      <c r="N4281" s="126"/>
    </row>
    <row r="4282" spans="1:14" s="3" customFormat="1" ht="25.2">
      <c r="A4282" s="125" t="s">
        <v>1895</v>
      </c>
      <c r="B4282" s="123"/>
      <c r="C4282" s="123"/>
      <c r="D4282" s="123"/>
      <c r="E4282" s="123"/>
      <c r="F4282" s="167" t="s">
        <v>1896</v>
      </c>
      <c r="G4282" s="167" t="str">
        <f>PL!$V$8</f>
        <v>PGU-DE-0139-001</v>
      </c>
      <c r="H4282" s="123"/>
      <c r="I4282" s="123"/>
      <c r="J4282" s="123"/>
      <c r="K4282" s="123"/>
      <c r="L4282" s="123"/>
      <c r="M4282" s="123"/>
      <c r="N4282" s="126"/>
    </row>
    <row r="4283" spans="1:14" s="3" customFormat="1" ht="25.2">
      <c r="A4283" s="125" t="s">
        <v>1897</v>
      </c>
      <c r="B4283" s="123"/>
      <c r="C4283" s="123"/>
      <c r="D4283" s="123"/>
      <c r="E4283" s="123"/>
      <c r="F4283" s="167"/>
      <c r="G4283" s="123"/>
      <c r="H4283" s="123"/>
      <c r="I4283" s="123"/>
      <c r="J4283" s="123"/>
      <c r="K4283" s="123"/>
      <c r="L4283" s="123"/>
      <c r="M4283" s="123"/>
      <c r="N4283" s="126"/>
    </row>
    <row r="4284" spans="1:14" s="3" customFormat="1" ht="9.9" customHeight="1">
      <c r="A4284" s="125"/>
      <c r="B4284" s="123"/>
      <c r="C4284" s="123"/>
      <c r="D4284" s="123"/>
      <c r="E4284" s="123"/>
      <c r="F4284" s="167"/>
      <c r="G4284" s="123"/>
      <c r="H4284" s="123"/>
      <c r="I4284" s="123"/>
      <c r="J4284" s="123"/>
      <c r="K4284" s="123"/>
      <c r="L4284" s="123"/>
      <c r="M4284" s="123"/>
      <c r="N4284" s="126"/>
    </row>
    <row r="4285" spans="1:14" s="3" customFormat="1" ht="31.2" customHeight="1">
      <c r="A4285" s="127" t="s">
        <v>1898</v>
      </c>
      <c r="B4285" s="170"/>
      <c r="C4285" s="170"/>
      <c r="D4285" s="170"/>
      <c r="E4285" s="170"/>
      <c r="F4285" s="171" t="s">
        <v>1885</v>
      </c>
      <c r="G4285" s="597" t="e">
        <f>VLOOKUP(G4288, 'Detail PL'!$B$14:$Q$799,2)</f>
        <v>#N/A</v>
      </c>
      <c r="H4285" s="597"/>
      <c r="I4285" s="597"/>
      <c r="J4285" s="597"/>
      <c r="K4285" s="597"/>
      <c r="L4285" s="597"/>
      <c r="M4285" s="597"/>
      <c r="N4285" s="128"/>
    </row>
    <row r="4286" spans="1:14" s="3" customFormat="1" ht="25.2">
      <c r="A4286" s="127" t="s">
        <v>1899</v>
      </c>
      <c r="B4286" s="170"/>
      <c r="C4286" s="170"/>
      <c r="D4286" s="170"/>
      <c r="E4286" s="170"/>
      <c r="F4286" s="171"/>
      <c r="G4286" s="170"/>
      <c r="H4286" s="170"/>
      <c r="I4286" s="170"/>
      <c r="J4286" s="170"/>
      <c r="K4286" s="170"/>
      <c r="L4286" s="170"/>
      <c r="M4286" s="170"/>
      <c r="N4286" s="128"/>
    </row>
    <row r="4287" spans="1:14" s="3" customFormat="1" ht="9.9" customHeight="1">
      <c r="A4287" s="125"/>
      <c r="B4287" s="123"/>
      <c r="C4287" s="123"/>
      <c r="D4287" s="123"/>
      <c r="E4287" s="123"/>
      <c r="F4287" s="167"/>
      <c r="G4287" s="123"/>
      <c r="H4287" s="123"/>
      <c r="I4287" s="123"/>
      <c r="J4287" s="123"/>
      <c r="K4287" s="123"/>
      <c r="L4287" s="123"/>
      <c r="M4287" s="123"/>
      <c r="N4287" s="126"/>
    </row>
    <row r="4288" spans="1:14" s="3" customFormat="1" ht="25.2">
      <c r="A4288" s="125" t="s">
        <v>1900</v>
      </c>
      <c r="B4288" s="123"/>
      <c r="C4288" s="123"/>
      <c r="D4288" s="123"/>
      <c r="E4288" s="123"/>
      <c r="F4288" s="171" t="s">
        <v>1901</v>
      </c>
      <c r="G4288" s="604">
        <f t="shared" ref="G4288" si="120">G4253+1</f>
        <v>123</v>
      </c>
      <c r="H4288" s="604"/>
      <c r="I4288" s="604"/>
      <c r="J4288" s="604"/>
      <c r="K4288" s="604"/>
      <c r="L4288" s="123"/>
      <c r="M4288" s="123"/>
      <c r="N4288" s="126"/>
    </row>
    <row r="4289" spans="1:14" s="4" customFormat="1" ht="25.2">
      <c r="A4289" s="125" t="s">
        <v>1903</v>
      </c>
      <c r="B4289" s="123"/>
      <c r="C4289" s="123"/>
      <c r="D4289" s="123"/>
      <c r="E4289" s="123"/>
      <c r="F4289" s="167"/>
      <c r="G4289" s="167"/>
      <c r="H4289" s="123"/>
      <c r="I4289" s="123"/>
      <c r="J4289" s="123"/>
      <c r="K4289" s="123"/>
      <c r="L4289" s="123"/>
      <c r="M4289" s="123"/>
      <c r="N4289" s="126"/>
    </row>
    <row r="4290" spans="1:14" s="3" customFormat="1" ht="9.9" customHeight="1">
      <c r="A4290" s="125"/>
      <c r="B4290" s="123"/>
      <c r="C4290" s="123"/>
      <c r="D4290" s="123"/>
      <c r="E4290" s="123"/>
      <c r="F4290" s="167"/>
      <c r="G4290" s="167"/>
      <c r="H4290" s="123"/>
      <c r="I4290" s="123"/>
      <c r="J4290" s="123"/>
      <c r="K4290" s="123"/>
      <c r="L4290" s="123"/>
      <c r="M4290" s="123"/>
      <c r="N4290" s="126"/>
    </row>
    <row r="4291" spans="1:14" s="3" customFormat="1" ht="25.2">
      <c r="A4291" s="125" t="s">
        <v>1904</v>
      </c>
      <c r="B4291" s="123"/>
      <c r="C4291" s="123"/>
      <c r="D4291" s="123"/>
      <c r="E4291" s="123"/>
      <c r="F4291" s="167" t="s">
        <v>1896</v>
      </c>
      <c r="G4291" s="204" t="e">
        <f>VLOOKUP(G4288, 'Detail PL'!$B$14:$Q$799, 10)</f>
        <v>#N/A</v>
      </c>
      <c r="H4291" s="204" t="s">
        <v>1905</v>
      </c>
      <c r="I4291" s="204"/>
      <c r="J4291" s="204"/>
      <c r="K4291" s="123"/>
      <c r="L4291" s="123"/>
      <c r="M4291" s="123"/>
      <c r="N4291" s="126"/>
    </row>
    <row r="4292" spans="1:14" s="4" customFormat="1" ht="25.2">
      <c r="A4292" s="125" t="s">
        <v>1906</v>
      </c>
      <c r="B4292" s="123"/>
      <c r="C4292" s="123"/>
      <c r="D4292" s="123"/>
      <c r="E4292" s="123"/>
      <c r="F4292" s="167"/>
      <c r="G4292" s="167"/>
      <c r="H4292" s="167"/>
      <c r="I4292" s="123"/>
      <c r="J4292" s="123"/>
      <c r="K4292" s="123"/>
      <c r="L4292" s="123"/>
      <c r="M4292" s="123"/>
      <c r="N4292" s="126"/>
    </row>
    <row r="4293" spans="1:14" s="3" customFormat="1" ht="9.9" customHeight="1">
      <c r="A4293" s="125"/>
      <c r="B4293" s="123"/>
      <c r="C4293" s="123"/>
      <c r="D4293" s="123"/>
      <c r="E4293" s="123"/>
      <c r="F4293" s="167"/>
      <c r="G4293" s="167"/>
      <c r="H4293" s="167"/>
      <c r="I4293" s="123"/>
      <c r="J4293" s="123"/>
      <c r="K4293" s="123"/>
      <c r="L4293" s="123"/>
      <c r="M4293" s="123"/>
      <c r="N4293" s="126"/>
    </row>
    <row r="4294" spans="1:14" s="3" customFormat="1" ht="25.2">
      <c r="A4294" s="125" t="s">
        <v>1907</v>
      </c>
      <c r="B4294" s="123"/>
      <c r="C4294" s="123"/>
      <c r="D4294" s="123"/>
      <c r="E4294" s="123"/>
      <c r="F4294" s="167" t="s">
        <v>1896</v>
      </c>
      <c r="G4294" s="204" t="e">
        <f>VLOOKUP(G4288, 'Detail PL'!$B$14:$Q$799, 11)</f>
        <v>#N/A</v>
      </c>
      <c r="H4294" s="204" t="s">
        <v>1905</v>
      </c>
      <c r="I4294" s="204"/>
      <c r="J4294" s="204"/>
      <c r="K4294" s="123"/>
      <c r="L4294" s="123"/>
      <c r="M4294" s="123"/>
      <c r="N4294" s="126"/>
    </row>
    <row r="4295" spans="1:14" s="4" customFormat="1" ht="25.2">
      <c r="A4295" s="125" t="s">
        <v>1908</v>
      </c>
      <c r="B4295" s="123"/>
      <c r="C4295" s="123"/>
      <c r="D4295" s="123"/>
      <c r="E4295" s="123"/>
      <c r="F4295" s="167"/>
      <c r="G4295" s="167"/>
      <c r="H4295" s="123"/>
      <c r="I4295" s="123"/>
      <c r="J4295" s="123"/>
      <c r="K4295" s="123"/>
      <c r="L4295" s="123"/>
      <c r="M4295" s="123"/>
      <c r="N4295" s="126"/>
    </row>
    <row r="4296" spans="1:14" s="3" customFormat="1" ht="9.9" customHeight="1">
      <c r="A4296" s="125"/>
      <c r="B4296" s="123"/>
      <c r="C4296" s="123"/>
      <c r="D4296" s="123"/>
      <c r="E4296" s="123"/>
      <c r="F4296" s="167"/>
      <c r="G4296" s="167"/>
      <c r="H4296" s="123"/>
      <c r="I4296" s="123"/>
      <c r="J4296" s="123"/>
      <c r="K4296" s="123"/>
      <c r="L4296" s="123"/>
      <c r="M4296" s="123"/>
      <c r="N4296" s="126"/>
    </row>
    <row r="4297" spans="1:14" s="3" customFormat="1" ht="25.2">
      <c r="A4297" s="129" t="s">
        <v>1909</v>
      </c>
      <c r="B4297" s="123"/>
      <c r="C4297" s="123"/>
      <c r="D4297" s="123"/>
      <c r="E4297" s="123"/>
      <c r="F4297" s="167" t="s">
        <v>1896</v>
      </c>
      <c r="G4297" s="204" t="e">
        <f>VLOOKUP(G4288, 'Detail PL'!$B$14:$Q$799, 9)</f>
        <v>#N/A</v>
      </c>
      <c r="H4297" s="205" t="s">
        <v>1910</v>
      </c>
      <c r="I4297" s="203"/>
      <c r="J4297" s="203"/>
      <c r="K4297" s="172"/>
      <c r="L4297" s="123"/>
      <c r="M4297" s="123"/>
      <c r="N4297" s="126"/>
    </row>
    <row r="4298" spans="1:14" s="4" customFormat="1" ht="25.2">
      <c r="A4298" s="125" t="s">
        <v>1911</v>
      </c>
      <c r="B4298" s="123"/>
      <c r="C4298" s="123"/>
      <c r="D4298" s="123"/>
      <c r="E4298" s="123"/>
      <c r="F4298" s="167"/>
      <c r="G4298" s="167"/>
      <c r="H4298" s="123"/>
      <c r="I4298" s="123"/>
      <c r="J4298" s="123"/>
      <c r="K4298" s="123"/>
      <c r="L4298" s="123"/>
      <c r="M4298" s="123"/>
      <c r="N4298" s="126"/>
    </row>
    <row r="4299" spans="1:14" s="3" customFormat="1" ht="9.9" customHeight="1">
      <c r="A4299" s="125"/>
      <c r="B4299" s="123"/>
      <c r="C4299" s="123"/>
      <c r="D4299" s="123"/>
      <c r="E4299" s="123"/>
      <c r="F4299" s="167"/>
      <c r="G4299" s="167"/>
      <c r="H4299" s="123"/>
      <c r="I4299" s="123"/>
      <c r="J4299" s="123"/>
      <c r="K4299" s="123"/>
      <c r="L4299" s="123"/>
      <c r="M4299" s="123"/>
      <c r="N4299" s="126"/>
    </row>
    <row r="4300" spans="1:14" s="3" customFormat="1" ht="42" customHeight="1">
      <c r="A4300" s="125" t="s">
        <v>1912</v>
      </c>
      <c r="B4300" s="123"/>
      <c r="C4300" s="123"/>
      <c r="D4300" s="123"/>
      <c r="E4300" s="123"/>
      <c r="F4300" s="166" t="s">
        <v>1913</v>
      </c>
      <c r="G4300" s="595" t="s">
        <v>1914</v>
      </c>
      <c r="H4300" s="595"/>
      <c r="I4300" s="595"/>
      <c r="J4300" s="595"/>
      <c r="K4300" s="595"/>
      <c r="L4300" s="595"/>
      <c r="M4300" s="595"/>
      <c r="N4300" s="596"/>
    </row>
    <row r="4301" spans="1:14" s="4" customFormat="1" ht="25.8" thickBot="1">
      <c r="A4301" s="125" t="s">
        <v>1915</v>
      </c>
      <c r="B4301" s="123"/>
      <c r="C4301" s="123"/>
      <c r="D4301" s="123"/>
      <c r="E4301" s="123"/>
      <c r="F4301" s="167"/>
      <c r="G4301" s="167"/>
      <c r="H4301" s="123"/>
      <c r="I4301" s="123"/>
      <c r="J4301" s="123"/>
      <c r="K4301" s="123"/>
      <c r="L4301" s="123"/>
      <c r="M4301" s="123"/>
      <c r="N4301" s="126"/>
    </row>
    <row r="4302" spans="1:14" ht="21" customHeight="1">
      <c r="A4302" s="598" t="s">
        <v>1916</v>
      </c>
      <c r="B4302" s="599"/>
      <c r="C4302" s="599"/>
      <c r="D4302" s="599"/>
      <c r="E4302" s="599"/>
      <c r="F4302" s="599"/>
      <c r="G4302" s="599"/>
      <c r="H4302" s="599"/>
      <c r="I4302" s="599"/>
      <c r="J4302" s="599"/>
      <c r="K4302" s="599"/>
      <c r="L4302" s="599"/>
      <c r="M4302" s="599"/>
      <c r="N4302" s="600"/>
    </row>
    <row r="4303" spans="1:14" ht="25.5" customHeight="1" thickBot="1">
      <c r="A4303" s="601"/>
      <c r="B4303" s="602"/>
      <c r="C4303" s="602"/>
      <c r="D4303" s="602"/>
      <c r="E4303" s="602"/>
      <c r="F4303" s="602"/>
      <c r="G4303" s="602"/>
      <c r="H4303" s="602"/>
      <c r="I4303" s="602"/>
      <c r="J4303" s="602"/>
      <c r="K4303" s="602"/>
      <c r="L4303" s="602"/>
      <c r="M4303" s="602"/>
      <c r="N4303" s="603"/>
    </row>
    <row r="4304" spans="1:14" ht="25.5" customHeight="1">
      <c r="E4304" s="206"/>
      <c r="F4304" s="206"/>
      <c r="G4304" s="206"/>
      <c r="H4304" s="206"/>
      <c r="I4304" s="206"/>
      <c r="J4304" s="206"/>
      <c r="K4304" s="206"/>
    </row>
    <row r="4305" spans="1:15" ht="21.6" thickBot="1"/>
    <row r="4306" spans="1:15" ht="95.25" customHeight="1" thickBot="1">
      <c r="A4306" s="592" t="s">
        <v>1883</v>
      </c>
      <c r="B4306" s="593"/>
      <c r="C4306" s="593"/>
      <c r="D4306" s="593"/>
      <c r="E4306" s="593"/>
      <c r="F4306" s="593"/>
      <c r="G4306" s="593"/>
      <c r="H4306" s="593"/>
      <c r="I4306" s="593"/>
      <c r="J4306" s="593"/>
      <c r="K4306" s="593"/>
      <c r="L4306" s="593"/>
      <c r="M4306" s="593"/>
      <c r="N4306" s="594"/>
    </row>
    <row r="4307" spans="1:15" s="3" customFormat="1" ht="37.5" customHeight="1">
      <c r="A4307" s="134" t="s">
        <v>1884</v>
      </c>
      <c r="B4307" s="166"/>
      <c r="C4307" s="166"/>
      <c r="D4307" s="123"/>
      <c r="E4307" s="123"/>
      <c r="F4307" s="167" t="s">
        <v>1885</v>
      </c>
      <c r="G4307" s="167" t="s">
        <v>1886</v>
      </c>
      <c r="H4307" s="167"/>
      <c r="I4307" s="167"/>
      <c r="J4307" s="167"/>
      <c r="K4307" s="167"/>
      <c r="L4307" s="167"/>
      <c r="M4307" s="167"/>
      <c r="N4307" s="152"/>
      <c r="O4307" s="201"/>
    </row>
    <row r="4308" spans="1:15" s="4" customFormat="1" ht="25.2">
      <c r="A4308" s="125" t="s">
        <v>1887</v>
      </c>
      <c r="B4308" s="123"/>
      <c r="C4308" s="123"/>
      <c r="D4308" s="123"/>
      <c r="E4308" s="123"/>
      <c r="F4308" s="167"/>
      <c r="G4308" s="167" t="s">
        <v>1888</v>
      </c>
      <c r="H4308" s="167"/>
      <c r="I4308" s="167"/>
      <c r="J4308" s="167"/>
      <c r="K4308" s="167"/>
      <c r="L4308" s="167"/>
      <c r="M4308" s="167"/>
      <c r="N4308" s="152"/>
    </row>
    <row r="4309" spans="1:15" s="3" customFormat="1" ht="9.9" customHeight="1">
      <c r="A4309" s="125"/>
      <c r="B4309" s="123"/>
      <c r="C4309" s="123"/>
      <c r="D4309" s="123"/>
      <c r="E4309" s="123"/>
      <c r="F4309" s="167"/>
      <c r="G4309" s="123"/>
      <c r="H4309" s="123"/>
      <c r="I4309" s="123"/>
      <c r="J4309" s="123"/>
      <c r="K4309" s="123"/>
      <c r="L4309" s="123"/>
      <c r="M4309" s="123"/>
      <c r="N4309" s="126"/>
    </row>
    <row r="4310" spans="1:15" s="3" customFormat="1" ht="42.75" customHeight="1">
      <c r="A4310" s="125" t="s">
        <v>1889</v>
      </c>
      <c r="B4310" s="123"/>
      <c r="C4310" s="123"/>
      <c r="D4310" s="123"/>
      <c r="E4310" s="123"/>
      <c r="F4310" s="167" t="s">
        <v>1885</v>
      </c>
      <c r="G4310" s="167" t="str">
        <f>PL!$B$13</f>
        <v>Branch of JSC "Doosan Enerbility" in the Turkestan region</v>
      </c>
      <c r="H4310" s="123"/>
      <c r="I4310" s="123"/>
      <c r="J4310" s="123"/>
      <c r="K4310" s="123"/>
      <c r="L4310" s="123"/>
      <c r="M4310" s="123"/>
      <c r="N4310" s="126"/>
    </row>
    <row r="4311" spans="1:15" s="3" customFormat="1" ht="24" customHeight="1">
      <c r="A4311" s="125" t="s">
        <v>1890</v>
      </c>
      <c r="B4311" s="123"/>
      <c r="C4311" s="123"/>
      <c r="D4311" s="123"/>
      <c r="E4311" s="123"/>
      <c r="F4311" s="168"/>
      <c r="G4311" s="167" t="str">
        <f>PL!$B$14</f>
        <v>321 Tauke Khan Avenue, Turkestan region, Turkestan, Kazakhstan, 161200</v>
      </c>
      <c r="H4311" s="123"/>
      <c r="I4311" s="123"/>
      <c r="J4311" s="123"/>
      <c r="K4311" s="123"/>
      <c r="L4311" s="123"/>
      <c r="M4311" s="123"/>
      <c r="N4311" s="126"/>
    </row>
    <row r="4312" spans="1:15" s="4" customFormat="1" ht="25.2">
      <c r="A4312" s="125"/>
      <c r="B4312" s="123"/>
      <c r="C4312" s="123"/>
      <c r="D4312" s="123"/>
      <c r="E4312" s="123"/>
      <c r="F4312" s="168"/>
      <c r="G4312" s="167" t="str">
        <f>PL!$B$15</f>
        <v>BIN: 230741006561</v>
      </c>
      <c r="H4312" s="123"/>
      <c r="I4312" s="123"/>
      <c r="J4312" s="123"/>
      <c r="K4312" s="123"/>
      <c r="L4312" s="123"/>
      <c r="M4312" s="123"/>
      <c r="N4312" s="126"/>
    </row>
    <row r="4313" spans="1:15" s="3" customFormat="1" ht="9.9" customHeight="1">
      <c r="A4313" s="125"/>
      <c r="B4313" s="123"/>
      <c r="C4313" s="123"/>
      <c r="D4313" s="123"/>
      <c r="E4313" s="123"/>
      <c r="F4313" s="169"/>
      <c r="G4313" s="169"/>
      <c r="H4313" s="123"/>
      <c r="I4313" s="123"/>
      <c r="J4313" s="123"/>
      <c r="K4313" s="123"/>
      <c r="L4313" s="123"/>
      <c r="M4313" s="123"/>
      <c r="N4313" s="126"/>
    </row>
    <row r="4314" spans="1:15" s="3" customFormat="1" ht="25.2">
      <c r="A4314" s="125" t="s">
        <v>1891</v>
      </c>
      <c r="B4314" s="123"/>
      <c r="C4314" s="123"/>
      <c r="D4314" s="123"/>
      <c r="E4314" s="123"/>
      <c r="F4314" s="167" t="s">
        <v>1892</v>
      </c>
      <c r="G4314" s="123"/>
      <c r="H4314" s="123"/>
      <c r="I4314" s="123"/>
      <c r="J4314" s="123"/>
      <c r="K4314" s="123"/>
      <c r="L4314" s="123"/>
      <c r="M4314" s="123"/>
      <c r="N4314" s="126"/>
    </row>
    <row r="4315" spans="1:15" s="4" customFormat="1" ht="25.2">
      <c r="A4315" s="125" t="s">
        <v>1893</v>
      </c>
      <c r="B4315" s="123"/>
      <c r="C4315" s="123"/>
      <c r="D4315" s="123"/>
      <c r="E4315" s="123"/>
      <c r="F4315" s="167" t="s">
        <v>1894</v>
      </c>
      <c r="G4315" s="123"/>
      <c r="H4315" s="123"/>
      <c r="I4315" s="123"/>
      <c r="J4315" s="123"/>
      <c r="K4315" s="123"/>
      <c r="L4315" s="123"/>
      <c r="M4315" s="123"/>
      <c r="N4315" s="126"/>
    </row>
    <row r="4316" spans="1:15" s="3" customFormat="1" ht="9.9" customHeight="1">
      <c r="A4316" s="125"/>
      <c r="B4316" s="123"/>
      <c r="C4316" s="123"/>
      <c r="D4316" s="123"/>
      <c r="E4316" s="123"/>
      <c r="F4316" s="167"/>
      <c r="G4316" s="123"/>
      <c r="H4316" s="123"/>
      <c r="I4316" s="123"/>
      <c r="J4316" s="123"/>
      <c r="K4316" s="123"/>
      <c r="L4316" s="123"/>
      <c r="M4316" s="123"/>
      <c r="N4316" s="126"/>
    </row>
    <row r="4317" spans="1:15" s="3" customFormat="1" ht="25.2">
      <c r="A4317" s="125" t="s">
        <v>1895</v>
      </c>
      <c r="B4317" s="123"/>
      <c r="C4317" s="123"/>
      <c r="D4317" s="123"/>
      <c r="E4317" s="123"/>
      <c r="F4317" s="167" t="s">
        <v>1896</v>
      </c>
      <c r="G4317" s="167" t="str">
        <f>PL!$V$8</f>
        <v>PGU-DE-0139-001</v>
      </c>
      <c r="H4317" s="123"/>
      <c r="I4317" s="123"/>
      <c r="J4317" s="123"/>
      <c r="K4317" s="123"/>
      <c r="L4317" s="123"/>
      <c r="M4317" s="123"/>
      <c r="N4317" s="126"/>
    </row>
    <row r="4318" spans="1:15" s="3" customFormat="1" ht="25.2">
      <c r="A4318" s="125" t="s">
        <v>1897</v>
      </c>
      <c r="B4318" s="123"/>
      <c r="C4318" s="123"/>
      <c r="D4318" s="123"/>
      <c r="E4318" s="123"/>
      <c r="F4318" s="167"/>
      <c r="G4318" s="123"/>
      <c r="H4318" s="123"/>
      <c r="I4318" s="123"/>
      <c r="J4318" s="123"/>
      <c r="K4318" s="123"/>
      <c r="L4318" s="123"/>
      <c r="M4318" s="123"/>
      <c r="N4318" s="126"/>
    </row>
    <row r="4319" spans="1:15" s="3" customFormat="1" ht="9.9" customHeight="1">
      <c r="A4319" s="125"/>
      <c r="B4319" s="123"/>
      <c r="C4319" s="123"/>
      <c r="D4319" s="123"/>
      <c r="E4319" s="123"/>
      <c r="F4319" s="167"/>
      <c r="G4319" s="123"/>
      <c r="H4319" s="123"/>
      <c r="I4319" s="123"/>
      <c r="J4319" s="123"/>
      <c r="K4319" s="123"/>
      <c r="L4319" s="123"/>
      <c r="M4319" s="123"/>
      <c r="N4319" s="126"/>
    </row>
    <row r="4320" spans="1:15" s="3" customFormat="1" ht="31.2" customHeight="1">
      <c r="A4320" s="127" t="s">
        <v>1898</v>
      </c>
      <c r="B4320" s="170"/>
      <c r="C4320" s="170"/>
      <c r="D4320" s="170"/>
      <c r="E4320" s="170"/>
      <c r="F4320" s="171" t="s">
        <v>1885</v>
      </c>
      <c r="G4320" s="597" t="e">
        <f>VLOOKUP(G4323, 'Detail PL'!$B$14:$Q$799,2)</f>
        <v>#N/A</v>
      </c>
      <c r="H4320" s="597"/>
      <c r="I4320" s="597"/>
      <c r="J4320" s="597"/>
      <c r="K4320" s="597"/>
      <c r="L4320" s="597"/>
      <c r="M4320" s="597"/>
      <c r="N4320" s="128"/>
    </row>
    <row r="4321" spans="1:14" s="3" customFormat="1" ht="25.2">
      <c r="A4321" s="127" t="s">
        <v>1899</v>
      </c>
      <c r="B4321" s="170"/>
      <c r="C4321" s="170"/>
      <c r="D4321" s="170"/>
      <c r="E4321" s="170"/>
      <c r="F4321" s="171"/>
      <c r="G4321" s="170"/>
      <c r="H4321" s="170"/>
      <c r="I4321" s="170"/>
      <c r="J4321" s="170"/>
      <c r="K4321" s="170"/>
      <c r="L4321" s="170"/>
      <c r="M4321" s="170"/>
      <c r="N4321" s="128"/>
    </row>
    <row r="4322" spans="1:14" s="3" customFormat="1" ht="9.9" customHeight="1">
      <c r="A4322" s="125"/>
      <c r="B4322" s="123"/>
      <c r="C4322" s="123"/>
      <c r="D4322" s="123"/>
      <c r="E4322" s="123"/>
      <c r="F4322" s="167"/>
      <c r="G4322" s="123"/>
      <c r="H4322" s="123"/>
      <c r="I4322" s="123"/>
      <c r="J4322" s="123"/>
      <c r="K4322" s="123"/>
      <c r="L4322" s="123"/>
      <c r="M4322" s="123"/>
      <c r="N4322" s="126"/>
    </row>
    <row r="4323" spans="1:14" s="3" customFormat="1" ht="25.2">
      <c r="A4323" s="125" t="s">
        <v>1900</v>
      </c>
      <c r="B4323" s="123"/>
      <c r="C4323" s="123"/>
      <c r="D4323" s="123"/>
      <c r="E4323" s="123"/>
      <c r="F4323" s="171" t="s">
        <v>1901</v>
      </c>
      <c r="G4323" s="604">
        <f t="shared" ref="G4323" si="121">G4288+1</f>
        <v>124</v>
      </c>
      <c r="H4323" s="604"/>
      <c r="I4323" s="604"/>
      <c r="J4323" s="604"/>
      <c r="K4323" s="604"/>
      <c r="L4323" s="123"/>
      <c r="M4323" s="123"/>
      <c r="N4323" s="126"/>
    </row>
    <row r="4324" spans="1:14" s="4" customFormat="1" ht="25.2">
      <c r="A4324" s="125" t="s">
        <v>1903</v>
      </c>
      <c r="B4324" s="123"/>
      <c r="C4324" s="123"/>
      <c r="D4324" s="123"/>
      <c r="E4324" s="123"/>
      <c r="F4324" s="167"/>
      <c r="G4324" s="167"/>
      <c r="H4324" s="123"/>
      <c r="I4324" s="123"/>
      <c r="J4324" s="123"/>
      <c r="K4324" s="123"/>
      <c r="L4324" s="123"/>
      <c r="M4324" s="123"/>
      <c r="N4324" s="126"/>
    </row>
    <row r="4325" spans="1:14" s="3" customFormat="1" ht="9.9" customHeight="1">
      <c r="A4325" s="125"/>
      <c r="B4325" s="123"/>
      <c r="C4325" s="123"/>
      <c r="D4325" s="123"/>
      <c r="E4325" s="123"/>
      <c r="F4325" s="167"/>
      <c r="G4325" s="167"/>
      <c r="H4325" s="123"/>
      <c r="I4325" s="123"/>
      <c r="J4325" s="123"/>
      <c r="K4325" s="123"/>
      <c r="L4325" s="123"/>
      <c r="M4325" s="123"/>
      <c r="N4325" s="126"/>
    </row>
    <row r="4326" spans="1:14" s="3" customFormat="1" ht="25.2">
      <c r="A4326" s="125" t="s">
        <v>1904</v>
      </c>
      <c r="B4326" s="123"/>
      <c r="C4326" s="123"/>
      <c r="D4326" s="123"/>
      <c r="E4326" s="123"/>
      <c r="F4326" s="167" t="s">
        <v>1896</v>
      </c>
      <c r="G4326" s="204" t="e">
        <f>VLOOKUP(G4323, 'Detail PL'!$B$14:$Q$799, 10)</f>
        <v>#N/A</v>
      </c>
      <c r="H4326" s="204" t="s">
        <v>1905</v>
      </c>
      <c r="I4326" s="204"/>
      <c r="J4326" s="204"/>
      <c r="K4326" s="123"/>
      <c r="L4326" s="123"/>
      <c r="M4326" s="123"/>
      <c r="N4326" s="126"/>
    </row>
    <row r="4327" spans="1:14" s="4" customFormat="1" ht="25.2">
      <c r="A4327" s="125" t="s">
        <v>1906</v>
      </c>
      <c r="B4327" s="123"/>
      <c r="C4327" s="123"/>
      <c r="D4327" s="123"/>
      <c r="E4327" s="123"/>
      <c r="F4327" s="167"/>
      <c r="G4327" s="167"/>
      <c r="H4327" s="167"/>
      <c r="I4327" s="123"/>
      <c r="J4327" s="123"/>
      <c r="K4327" s="123"/>
      <c r="L4327" s="123"/>
      <c r="M4327" s="123"/>
      <c r="N4327" s="126"/>
    </row>
    <row r="4328" spans="1:14" s="3" customFormat="1" ht="9.9" customHeight="1">
      <c r="A4328" s="125"/>
      <c r="B4328" s="123"/>
      <c r="C4328" s="123"/>
      <c r="D4328" s="123"/>
      <c r="E4328" s="123"/>
      <c r="F4328" s="167"/>
      <c r="G4328" s="167"/>
      <c r="H4328" s="167"/>
      <c r="I4328" s="123"/>
      <c r="J4328" s="123"/>
      <c r="K4328" s="123"/>
      <c r="L4328" s="123"/>
      <c r="M4328" s="123"/>
      <c r="N4328" s="126"/>
    </row>
    <row r="4329" spans="1:14" s="3" customFormat="1" ht="25.2">
      <c r="A4329" s="125" t="s">
        <v>1907</v>
      </c>
      <c r="B4329" s="123"/>
      <c r="C4329" s="123"/>
      <c r="D4329" s="123"/>
      <c r="E4329" s="123"/>
      <c r="F4329" s="167" t="s">
        <v>1896</v>
      </c>
      <c r="G4329" s="204" t="e">
        <f>VLOOKUP(G4323, 'Detail PL'!$B$14:$Q$799, 11)</f>
        <v>#N/A</v>
      </c>
      <c r="H4329" s="204" t="s">
        <v>1905</v>
      </c>
      <c r="I4329" s="204"/>
      <c r="J4329" s="204"/>
      <c r="K4329" s="123"/>
      <c r="L4329" s="123"/>
      <c r="M4329" s="123"/>
      <c r="N4329" s="126"/>
    </row>
    <row r="4330" spans="1:14" s="4" customFormat="1" ht="25.2">
      <c r="A4330" s="125" t="s">
        <v>1908</v>
      </c>
      <c r="B4330" s="123"/>
      <c r="C4330" s="123"/>
      <c r="D4330" s="123"/>
      <c r="E4330" s="123"/>
      <c r="F4330" s="167"/>
      <c r="G4330" s="167"/>
      <c r="H4330" s="123"/>
      <c r="I4330" s="123"/>
      <c r="J4330" s="123"/>
      <c r="K4330" s="123"/>
      <c r="L4330" s="123"/>
      <c r="M4330" s="123"/>
      <c r="N4330" s="126"/>
    </row>
    <row r="4331" spans="1:14" s="3" customFormat="1" ht="9.9" customHeight="1">
      <c r="A4331" s="125"/>
      <c r="B4331" s="123"/>
      <c r="C4331" s="123"/>
      <c r="D4331" s="123"/>
      <c r="E4331" s="123"/>
      <c r="F4331" s="167"/>
      <c r="G4331" s="167"/>
      <c r="H4331" s="123"/>
      <c r="I4331" s="123"/>
      <c r="J4331" s="123"/>
      <c r="K4331" s="123"/>
      <c r="L4331" s="123"/>
      <c r="M4331" s="123"/>
      <c r="N4331" s="126"/>
    </row>
    <row r="4332" spans="1:14" s="3" customFormat="1" ht="25.2">
      <c r="A4332" s="129" t="s">
        <v>1909</v>
      </c>
      <c r="B4332" s="123"/>
      <c r="C4332" s="123"/>
      <c r="D4332" s="123"/>
      <c r="E4332" s="123"/>
      <c r="F4332" s="167" t="s">
        <v>1896</v>
      </c>
      <c r="G4332" s="204" t="e">
        <f>VLOOKUP(G4323, 'Detail PL'!$B$14:$Q$799, 9)</f>
        <v>#N/A</v>
      </c>
      <c r="H4332" s="205" t="s">
        <v>1910</v>
      </c>
      <c r="I4332" s="203"/>
      <c r="J4332" s="203"/>
      <c r="K4332" s="172"/>
      <c r="L4332" s="123"/>
      <c r="M4332" s="123"/>
      <c r="N4332" s="126"/>
    </row>
    <row r="4333" spans="1:14" s="4" customFormat="1" ht="25.2">
      <c r="A4333" s="125" t="s">
        <v>1911</v>
      </c>
      <c r="B4333" s="123"/>
      <c r="C4333" s="123"/>
      <c r="D4333" s="123"/>
      <c r="E4333" s="123"/>
      <c r="F4333" s="167"/>
      <c r="G4333" s="167"/>
      <c r="H4333" s="123"/>
      <c r="I4333" s="123"/>
      <c r="J4333" s="123"/>
      <c r="K4333" s="123"/>
      <c r="L4333" s="123"/>
      <c r="M4333" s="123"/>
      <c r="N4333" s="126"/>
    </row>
    <row r="4334" spans="1:14" s="3" customFormat="1" ht="9.9" customHeight="1">
      <c r="A4334" s="125"/>
      <c r="B4334" s="123"/>
      <c r="C4334" s="123"/>
      <c r="D4334" s="123"/>
      <c r="E4334" s="123"/>
      <c r="F4334" s="167"/>
      <c r="G4334" s="167"/>
      <c r="H4334" s="123"/>
      <c r="I4334" s="123"/>
      <c r="J4334" s="123"/>
      <c r="K4334" s="123"/>
      <c r="L4334" s="123"/>
      <c r="M4334" s="123"/>
      <c r="N4334" s="126"/>
    </row>
    <row r="4335" spans="1:14" s="3" customFormat="1" ht="42" customHeight="1">
      <c r="A4335" s="125" t="s">
        <v>1912</v>
      </c>
      <c r="B4335" s="123"/>
      <c r="C4335" s="123"/>
      <c r="D4335" s="123"/>
      <c r="E4335" s="123"/>
      <c r="F4335" s="166" t="s">
        <v>1913</v>
      </c>
      <c r="G4335" s="595" t="s">
        <v>1914</v>
      </c>
      <c r="H4335" s="595"/>
      <c r="I4335" s="595"/>
      <c r="J4335" s="595"/>
      <c r="K4335" s="595"/>
      <c r="L4335" s="595"/>
      <c r="M4335" s="595"/>
      <c r="N4335" s="596"/>
    </row>
    <row r="4336" spans="1:14" s="4" customFormat="1" ht="25.8" thickBot="1">
      <c r="A4336" s="125" t="s">
        <v>1915</v>
      </c>
      <c r="B4336" s="123"/>
      <c r="C4336" s="123"/>
      <c r="D4336" s="123"/>
      <c r="E4336" s="123"/>
      <c r="F4336" s="167"/>
      <c r="G4336" s="167"/>
      <c r="H4336" s="123"/>
      <c r="I4336" s="123"/>
      <c r="J4336" s="123"/>
      <c r="K4336" s="123"/>
      <c r="L4336" s="123"/>
      <c r="M4336" s="123"/>
      <c r="N4336" s="126"/>
    </row>
    <row r="4337" spans="1:15" ht="21" customHeight="1">
      <c r="A4337" s="598" t="s">
        <v>1916</v>
      </c>
      <c r="B4337" s="599"/>
      <c r="C4337" s="599"/>
      <c r="D4337" s="599"/>
      <c r="E4337" s="599"/>
      <c r="F4337" s="599"/>
      <c r="G4337" s="599"/>
      <c r="H4337" s="599"/>
      <c r="I4337" s="599"/>
      <c r="J4337" s="599"/>
      <c r="K4337" s="599"/>
      <c r="L4337" s="599"/>
      <c r="M4337" s="599"/>
      <c r="N4337" s="600"/>
    </row>
    <row r="4338" spans="1:15" ht="25.5" customHeight="1" thickBot="1">
      <c r="A4338" s="601"/>
      <c r="B4338" s="602"/>
      <c r="C4338" s="602"/>
      <c r="D4338" s="602"/>
      <c r="E4338" s="602"/>
      <c r="F4338" s="602"/>
      <c r="G4338" s="602"/>
      <c r="H4338" s="602"/>
      <c r="I4338" s="602"/>
      <c r="J4338" s="602"/>
      <c r="K4338" s="602"/>
      <c r="L4338" s="602"/>
      <c r="M4338" s="602"/>
      <c r="N4338" s="603"/>
    </row>
    <row r="4339" spans="1:15" ht="25.5" customHeight="1">
      <c r="E4339" s="206"/>
      <c r="F4339" s="206"/>
      <c r="G4339" s="206"/>
      <c r="H4339" s="206"/>
      <c r="I4339" s="206"/>
      <c r="J4339" s="206"/>
      <c r="K4339" s="206"/>
    </row>
    <row r="4340" spans="1:15" ht="21.6" thickBot="1"/>
    <row r="4341" spans="1:15" ht="95.25" customHeight="1" thickBot="1">
      <c r="A4341" s="592" t="s">
        <v>1883</v>
      </c>
      <c r="B4341" s="593"/>
      <c r="C4341" s="593"/>
      <c r="D4341" s="593"/>
      <c r="E4341" s="593"/>
      <c r="F4341" s="593"/>
      <c r="G4341" s="593"/>
      <c r="H4341" s="593"/>
      <c r="I4341" s="593"/>
      <c r="J4341" s="593"/>
      <c r="K4341" s="593"/>
      <c r="L4341" s="593"/>
      <c r="M4341" s="593"/>
      <c r="N4341" s="594"/>
    </row>
    <row r="4342" spans="1:15" s="3" customFormat="1" ht="37.5" customHeight="1">
      <c r="A4342" s="134" t="s">
        <v>1884</v>
      </c>
      <c r="B4342" s="166"/>
      <c r="C4342" s="166"/>
      <c r="D4342" s="123"/>
      <c r="E4342" s="123"/>
      <c r="F4342" s="167" t="s">
        <v>1885</v>
      </c>
      <c r="G4342" s="167" t="s">
        <v>1886</v>
      </c>
      <c r="H4342" s="167"/>
      <c r="I4342" s="167"/>
      <c r="J4342" s="167"/>
      <c r="K4342" s="167"/>
      <c r="L4342" s="167"/>
      <c r="M4342" s="167"/>
      <c r="N4342" s="152"/>
      <c r="O4342" s="201"/>
    </row>
    <row r="4343" spans="1:15" s="4" customFormat="1" ht="25.2">
      <c r="A4343" s="125" t="s">
        <v>1887</v>
      </c>
      <c r="B4343" s="123"/>
      <c r="C4343" s="123"/>
      <c r="D4343" s="123"/>
      <c r="E4343" s="123"/>
      <c r="F4343" s="167"/>
      <c r="G4343" s="167" t="s">
        <v>1888</v>
      </c>
      <c r="H4343" s="167"/>
      <c r="I4343" s="167"/>
      <c r="J4343" s="167"/>
      <c r="K4343" s="167"/>
      <c r="L4343" s="167"/>
      <c r="M4343" s="167"/>
      <c r="N4343" s="152"/>
    </row>
    <row r="4344" spans="1:15" s="3" customFormat="1" ht="9.9" customHeight="1">
      <c r="A4344" s="125"/>
      <c r="B4344" s="123"/>
      <c r="C4344" s="123"/>
      <c r="D4344" s="123"/>
      <c r="E4344" s="123"/>
      <c r="F4344" s="167"/>
      <c r="G4344" s="123"/>
      <c r="H4344" s="123"/>
      <c r="I4344" s="123"/>
      <c r="J4344" s="123"/>
      <c r="K4344" s="123"/>
      <c r="L4344" s="123"/>
      <c r="M4344" s="123"/>
      <c r="N4344" s="126"/>
    </row>
    <row r="4345" spans="1:15" s="3" customFormat="1" ht="42.75" customHeight="1">
      <c r="A4345" s="125" t="s">
        <v>1889</v>
      </c>
      <c r="B4345" s="123"/>
      <c r="C4345" s="123"/>
      <c r="D4345" s="123"/>
      <c r="E4345" s="123"/>
      <c r="F4345" s="167" t="s">
        <v>1885</v>
      </c>
      <c r="G4345" s="167" t="str">
        <f>PL!$B$13</f>
        <v>Branch of JSC "Doosan Enerbility" in the Turkestan region</v>
      </c>
      <c r="H4345" s="123"/>
      <c r="I4345" s="123"/>
      <c r="J4345" s="123"/>
      <c r="K4345" s="123"/>
      <c r="L4345" s="123"/>
      <c r="M4345" s="123"/>
      <c r="N4345" s="126"/>
    </row>
    <row r="4346" spans="1:15" s="3" customFormat="1" ht="24" customHeight="1">
      <c r="A4346" s="125" t="s">
        <v>1890</v>
      </c>
      <c r="B4346" s="123"/>
      <c r="C4346" s="123"/>
      <c r="D4346" s="123"/>
      <c r="E4346" s="123"/>
      <c r="F4346" s="168"/>
      <c r="G4346" s="167" t="str">
        <f>PL!$B$14</f>
        <v>321 Tauke Khan Avenue, Turkestan region, Turkestan, Kazakhstan, 161200</v>
      </c>
      <c r="H4346" s="123"/>
      <c r="I4346" s="123"/>
      <c r="J4346" s="123"/>
      <c r="K4346" s="123"/>
      <c r="L4346" s="123"/>
      <c r="M4346" s="123"/>
      <c r="N4346" s="126"/>
    </row>
    <row r="4347" spans="1:15" s="4" customFormat="1" ht="25.2">
      <c r="A4347" s="125"/>
      <c r="B4347" s="123"/>
      <c r="C4347" s="123"/>
      <c r="D4347" s="123"/>
      <c r="E4347" s="123"/>
      <c r="F4347" s="168"/>
      <c r="G4347" s="167" t="str">
        <f>PL!$B$15</f>
        <v>BIN: 230741006561</v>
      </c>
      <c r="H4347" s="123"/>
      <c r="I4347" s="123"/>
      <c r="J4347" s="123"/>
      <c r="K4347" s="123"/>
      <c r="L4347" s="123"/>
      <c r="M4347" s="123"/>
      <c r="N4347" s="126"/>
    </row>
    <row r="4348" spans="1:15" s="3" customFormat="1" ht="9.9" customHeight="1">
      <c r="A4348" s="125"/>
      <c r="B4348" s="123"/>
      <c r="C4348" s="123"/>
      <c r="D4348" s="123"/>
      <c r="E4348" s="123"/>
      <c r="F4348" s="169"/>
      <c r="G4348" s="169"/>
      <c r="H4348" s="123"/>
      <c r="I4348" s="123"/>
      <c r="J4348" s="123"/>
      <c r="K4348" s="123"/>
      <c r="L4348" s="123"/>
      <c r="M4348" s="123"/>
      <c r="N4348" s="126"/>
    </row>
    <row r="4349" spans="1:15" s="3" customFormat="1" ht="25.2">
      <c r="A4349" s="125" t="s">
        <v>1891</v>
      </c>
      <c r="B4349" s="123"/>
      <c r="C4349" s="123"/>
      <c r="D4349" s="123"/>
      <c r="E4349" s="123"/>
      <c r="F4349" s="167" t="s">
        <v>1892</v>
      </c>
      <c r="G4349" s="123"/>
      <c r="H4349" s="123"/>
      <c r="I4349" s="123"/>
      <c r="J4349" s="123"/>
      <c r="K4349" s="123"/>
      <c r="L4349" s="123"/>
      <c r="M4349" s="123"/>
      <c r="N4349" s="126"/>
    </row>
    <row r="4350" spans="1:15" s="4" customFormat="1" ht="25.2">
      <c r="A4350" s="125" t="s">
        <v>1893</v>
      </c>
      <c r="B4350" s="123"/>
      <c r="C4350" s="123"/>
      <c r="D4350" s="123"/>
      <c r="E4350" s="123"/>
      <c r="F4350" s="167" t="s">
        <v>1894</v>
      </c>
      <c r="G4350" s="123"/>
      <c r="H4350" s="123"/>
      <c r="I4350" s="123"/>
      <c r="J4350" s="123"/>
      <c r="K4350" s="123"/>
      <c r="L4350" s="123"/>
      <c r="M4350" s="123"/>
      <c r="N4350" s="126"/>
    </row>
    <row r="4351" spans="1:15" s="3" customFormat="1" ht="9.9" customHeight="1">
      <c r="A4351" s="125"/>
      <c r="B4351" s="123"/>
      <c r="C4351" s="123"/>
      <c r="D4351" s="123"/>
      <c r="E4351" s="123"/>
      <c r="F4351" s="167"/>
      <c r="G4351" s="123"/>
      <c r="H4351" s="123"/>
      <c r="I4351" s="123"/>
      <c r="J4351" s="123"/>
      <c r="K4351" s="123"/>
      <c r="L4351" s="123"/>
      <c r="M4351" s="123"/>
      <c r="N4351" s="126"/>
    </row>
    <row r="4352" spans="1:15" s="3" customFormat="1" ht="25.2">
      <c r="A4352" s="125" t="s">
        <v>1895</v>
      </c>
      <c r="B4352" s="123"/>
      <c r="C4352" s="123"/>
      <c r="D4352" s="123"/>
      <c r="E4352" s="123"/>
      <c r="F4352" s="167" t="s">
        <v>1896</v>
      </c>
      <c r="G4352" s="167" t="str">
        <f>PL!$V$8</f>
        <v>PGU-DE-0139-001</v>
      </c>
      <c r="H4352" s="123"/>
      <c r="I4352" s="123"/>
      <c r="J4352" s="123"/>
      <c r="K4352" s="123"/>
      <c r="L4352" s="123"/>
      <c r="M4352" s="123"/>
      <c r="N4352" s="126"/>
    </row>
    <row r="4353" spans="1:14" s="3" customFormat="1" ht="25.2">
      <c r="A4353" s="125" t="s">
        <v>1897</v>
      </c>
      <c r="B4353" s="123"/>
      <c r="C4353" s="123"/>
      <c r="D4353" s="123"/>
      <c r="E4353" s="123"/>
      <c r="F4353" s="167"/>
      <c r="G4353" s="123"/>
      <c r="H4353" s="123"/>
      <c r="I4353" s="123"/>
      <c r="J4353" s="123"/>
      <c r="K4353" s="123"/>
      <c r="L4353" s="123"/>
      <c r="M4353" s="123"/>
      <c r="N4353" s="126"/>
    </row>
    <row r="4354" spans="1:14" s="3" customFormat="1" ht="9.9" customHeight="1">
      <c r="A4354" s="125"/>
      <c r="B4354" s="123"/>
      <c r="C4354" s="123"/>
      <c r="D4354" s="123"/>
      <c r="E4354" s="123"/>
      <c r="F4354" s="167"/>
      <c r="G4354" s="123"/>
      <c r="H4354" s="123"/>
      <c r="I4354" s="123"/>
      <c r="J4354" s="123"/>
      <c r="K4354" s="123"/>
      <c r="L4354" s="123"/>
      <c r="M4354" s="123"/>
      <c r="N4354" s="126"/>
    </row>
    <row r="4355" spans="1:14" s="3" customFormat="1" ht="31.2" customHeight="1">
      <c r="A4355" s="127" t="s">
        <v>1898</v>
      </c>
      <c r="B4355" s="170"/>
      <c r="C4355" s="170"/>
      <c r="D4355" s="170"/>
      <c r="E4355" s="170"/>
      <c r="F4355" s="171" t="s">
        <v>1885</v>
      </c>
      <c r="G4355" s="597" t="e">
        <f>VLOOKUP(G4358, 'Detail PL'!$B$14:$Q$799,2)</f>
        <v>#N/A</v>
      </c>
      <c r="H4355" s="597"/>
      <c r="I4355" s="597"/>
      <c r="J4355" s="597"/>
      <c r="K4355" s="597"/>
      <c r="L4355" s="597"/>
      <c r="M4355" s="597"/>
      <c r="N4355" s="128"/>
    </row>
    <row r="4356" spans="1:14" s="3" customFormat="1" ht="25.2">
      <c r="A4356" s="127" t="s">
        <v>1899</v>
      </c>
      <c r="B4356" s="170"/>
      <c r="C4356" s="170"/>
      <c r="D4356" s="170"/>
      <c r="E4356" s="170"/>
      <c r="F4356" s="171"/>
      <c r="G4356" s="170"/>
      <c r="H4356" s="170"/>
      <c r="I4356" s="170"/>
      <c r="J4356" s="170"/>
      <c r="K4356" s="170"/>
      <c r="L4356" s="170"/>
      <c r="M4356" s="170"/>
      <c r="N4356" s="128"/>
    </row>
    <row r="4357" spans="1:14" s="3" customFormat="1" ht="9.9" customHeight="1">
      <c r="A4357" s="125"/>
      <c r="B4357" s="123"/>
      <c r="C4357" s="123"/>
      <c r="D4357" s="123"/>
      <c r="E4357" s="123"/>
      <c r="F4357" s="167"/>
      <c r="G4357" s="123"/>
      <c r="H4357" s="123"/>
      <c r="I4357" s="123"/>
      <c r="J4357" s="123"/>
      <c r="K4357" s="123"/>
      <c r="L4357" s="123"/>
      <c r="M4357" s="123"/>
      <c r="N4357" s="126"/>
    </row>
    <row r="4358" spans="1:14" s="3" customFormat="1" ht="25.2">
      <c r="A4358" s="125" t="s">
        <v>1900</v>
      </c>
      <c r="B4358" s="123"/>
      <c r="C4358" s="123"/>
      <c r="D4358" s="123"/>
      <c r="E4358" s="123"/>
      <c r="F4358" s="171" t="s">
        <v>1901</v>
      </c>
      <c r="G4358" s="604">
        <f t="shared" ref="G4358" si="122">G4323+1</f>
        <v>125</v>
      </c>
      <c r="H4358" s="604"/>
      <c r="I4358" s="604"/>
      <c r="J4358" s="604"/>
      <c r="K4358" s="604"/>
      <c r="L4358" s="123"/>
      <c r="M4358" s="123"/>
      <c r="N4358" s="126"/>
    </row>
    <row r="4359" spans="1:14" s="4" customFormat="1" ht="25.2">
      <c r="A4359" s="125" t="s">
        <v>1903</v>
      </c>
      <c r="B4359" s="123"/>
      <c r="C4359" s="123"/>
      <c r="D4359" s="123"/>
      <c r="E4359" s="123"/>
      <c r="F4359" s="167"/>
      <c r="G4359" s="167"/>
      <c r="H4359" s="123"/>
      <c r="I4359" s="123"/>
      <c r="J4359" s="123"/>
      <c r="K4359" s="123"/>
      <c r="L4359" s="123"/>
      <c r="M4359" s="123"/>
      <c r="N4359" s="126"/>
    </row>
    <row r="4360" spans="1:14" s="3" customFormat="1" ht="9.9" customHeight="1">
      <c r="A4360" s="125"/>
      <c r="B4360" s="123"/>
      <c r="C4360" s="123"/>
      <c r="D4360" s="123"/>
      <c r="E4360" s="123"/>
      <c r="F4360" s="167"/>
      <c r="G4360" s="167"/>
      <c r="H4360" s="123"/>
      <c r="I4360" s="123"/>
      <c r="J4360" s="123"/>
      <c r="K4360" s="123"/>
      <c r="L4360" s="123"/>
      <c r="M4360" s="123"/>
      <c r="N4360" s="126"/>
    </row>
    <row r="4361" spans="1:14" s="3" customFormat="1" ht="25.2">
      <c r="A4361" s="125" t="s">
        <v>1904</v>
      </c>
      <c r="B4361" s="123"/>
      <c r="C4361" s="123"/>
      <c r="D4361" s="123"/>
      <c r="E4361" s="123"/>
      <c r="F4361" s="167" t="s">
        <v>1896</v>
      </c>
      <c r="G4361" s="204" t="e">
        <f>VLOOKUP(G4358, 'Detail PL'!$B$14:$Q$799, 10)</f>
        <v>#N/A</v>
      </c>
      <c r="H4361" s="204" t="s">
        <v>1905</v>
      </c>
      <c r="I4361" s="204"/>
      <c r="J4361" s="204"/>
      <c r="K4361" s="123"/>
      <c r="L4361" s="123"/>
      <c r="M4361" s="123"/>
      <c r="N4361" s="126"/>
    </row>
    <row r="4362" spans="1:14" s="4" customFormat="1" ht="25.2">
      <c r="A4362" s="125" t="s">
        <v>1906</v>
      </c>
      <c r="B4362" s="123"/>
      <c r="C4362" s="123"/>
      <c r="D4362" s="123"/>
      <c r="E4362" s="123"/>
      <c r="F4362" s="167"/>
      <c r="G4362" s="167"/>
      <c r="H4362" s="167"/>
      <c r="I4362" s="123"/>
      <c r="J4362" s="123"/>
      <c r="K4362" s="123"/>
      <c r="L4362" s="123"/>
      <c r="M4362" s="123"/>
      <c r="N4362" s="126"/>
    </row>
    <row r="4363" spans="1:14" s="3" customFormat="1" ht="9.9" customHeight="1">
      <c r="A4363" s="125"/>
      <c r="B4363" s="123"/>
      <c r="C4363" s="123"/>
      <c r="D4363" s="123"/>
      <c r="E4363" s="123"/>
      <c r="F4363" s="167"/>
      <c r="G4363" s="167"/>
      <c r="H4363" s="167"/>
      <c r="I4363" s="123"/>
      <c r="J4363" s="123"/>
      <c r="K4363" s="123"/>
      <c r="L4363" s="123"/>
      <c r="M4363" s="123"/>
      <c r="N4363" s="126"/>
    </row>
    <row r="4364" spans="1:14" s="3" customFormat="1" ht="25.2">
      <c r="A4364" s="125" t="s">
        <v>1907</v>
      </c>
      <c r="B4364" s="123"/>
      <c r="C4364" s="123"/>
      <c r="D4364" s="123"/>
      <c r="E4364" s="123"/>
      <c r="F4364" s="167" t="s">
        <v>1896</v>
      </c>
      <c r="G4364" s="204" t="e">
        <f>VLOOKUP(G4358, 'Detail PL'!$B$14:$Q$799, 11)</f>
        <v>#N/A</v>
      </c>
      <c r="H4364" s="204" t="s">
        <v>1905</v>
      </c>
      <c r="I4364" s="204"/>
      <c r="J4364" s="204"/>
      <c r="K4364" s="123"/>
      <c r="L4364" s="123"/>
      <c r="M4364" s="123"/>
      <c r="N4364" s="126"/>
    </row>
    <row r="4365" spans="1:14" s="4" customFormat="1" ht="25.2">
      <c r="A4365" s="125" t="s">
        <v>1908</v>
      </c>
      <c r="B4365" s="123"/>
      <c r="C4365" s="123"/>
      <c r="D4365" s="123"/>
      <c r="E4365" s="123"/>
      <c r="F4365" s="167"/>
      <c r="G4365" s="167"/>
      <c r="H4365" s="123"/>
      <c r="I4365" s="123"/>
      <c r="J4365" s="123"/>
      <c r="K4365" s="123"/>
      <c r="L4365" s="123"/>
      <c r="M4365" s="123"/>
      <c r="N4365" s="126"/>
    </row>
    <row r="4366" spans="1:14" s="3" customFormat="1" ht="9.9" customHeight="1">
      <c r="A4366" s="125"/>
      <c r="B4366" s="123"/>
      <c r="C4366" s="123"/>
      <c r="D4366" s="123"/>
      <c r="E4366" s="123"/>
      <c r="F4366" s="167"/>
      <c r="G4366" s="167"/>
      <c r="H4366" s="123"/>
      <c r="I4366" s="123"/>
      <c r="J4366" s="123"/>
      <c r="K4366" s="123"/>
      <c r="L4366" s="123"/>
      <c r="M4366" s="123"/>
      <c r="N4366" s="126"/>
    </row>
    <row r="4367" spans="1:14" s="3" customFormat="1" ht="25.2">
      <c r="A4367" s="129" t="s">
        <v>1909</v>
      </c>
      <c r="B4367" s="123"/>
      <c r="C4367" s="123"/>
      <c r="D4367" s="123"/>
      <c r="E4367" s="123"/>
      <c r="F4367" s="167" t="s">
        <v>1896</v>
      </c>
      <c r="G4367" s="204" t="e">
        <f>VLOOKUP(G4358, 'Detail PL'!$B$14:$Q$799, 9)</f>
        <v>#N/A</v>
      </c>
      <c r="H4367" s="205" t="s">
        <v>1910</v>
      </c>
      <c r="I4367" s="203"/>
      <c r="J4367" s="203"/>
      <c r="K4367" s="172"/>
      <c r="L4367" s="123"/>
      <c r="M4367" s="123"/>
      <c r="N4367" s="126"/>
    </row>
    <row r="4368" spans="1:14" s="4" customFormat="1" ht="25.2">
      <c r="A4368" s="125" t="s">
        <v>1911</v>
      </c>
      <c r="B4368" s="123"/>
      <c r="C4368" s="123"/>
      <c r="D4368" s="123"/>
      <c r="E4368" s="123"/>
      <c r="F4368" s="167"/>
      <c r="G4368" s="167"/>
      <c r="H4368" s="123"/>
      <c r="I4368" s="123"/>
      <c r="J4368" s="123"/>
      <c r="K4368" s="123"/>
      <c r="L4368" s="123"/>
      <c r="M4368" s="123"/>
      <c r="N4368" s="126"/>
    </row>
    <row r="4369" spans="1:15" s="3" customFormat="1" ht="9.9" customHeight="1">
      <c r="A4369" s="125"/>
      <c r="B4369" s="123"/>
      <c r="C4369" s="123"/>
      <c r="D4369" s="123"/>
      <c r="E4369" s="123"/>
      <c r="F4369" s="167"/>
      <c r="G4369" s="167"/>
      <c r="H4369" s="123"/>
      <c r="I4369" s="123"/>
      <c r="J4369" s="123"/>
      <c r="K4369" s="123"/>
      <c r="L4369" s="123"/>
      <c r="M4369" s="123"/>
      <c r="N4369" s="126"/>
    </row>
    <row r="4370" spans="1:15" s="3" customFormat="1" ht="42" customHeight="1">
      <c r="A4370" s="125" t="s">
        <v>1912</v>
      </c>
      <c r="B4370" s="123"/>
      <c r="C4370" s="123"/>
      <c r="D4370" s="123"/>
      <c r="E4370" s="123"/>
      <c r="F4370" s="166" t="s">
        <v>1913</v>
      </c>
      <c r="G4370" s="595" t="s">
        <v>1914</v>
      </c>
      <c r="H4370" s="595"/>
      <c r="I4370" s="595"/>
      <c r="J4370" s="595"/>
      <c r="K4370" s="595"/>
      <c r="L4370" s="595"/>
      <c r="M4370" s="595"/>
      <c r="N4370" s="596"/>
    </row>
    <row r="4371" spans="1:15" s="4" customFormat="1" ht="25.8" thickBot="1">
      <c r="A4371" s="125" t="s">
        <v>1915</v>
      </c>
      <c r="B4371" s="123"/>
      <c r="C4371" s="123"/>
      <c r="D4371" s="123"/>
      <c r="E4371" s="123"/>
      <c r="F4371" s="167"/>
      <c r="G4371" s="167"/>
      <c r="H4371" s="123"/>
      <c r="I4371" s="123"/>
      <c r="J4371" s="123"/>
      <c r="K4371" s="123"/>
      <c r="L4371" s="123"/>
      <c r="M4371" s="123"/>
      <c r="N4371" s="126"/>
    </row>
    <row r="4372" spans="1:15" ht="21" customHeight="1">
      <c r="A4372" s="598" t="s">
        <v>1916</v>
      </c>
      <c r="B4372" s="599"/>
      <c r="C4372" s="599"/>
      <c r="D4372" s="599"/>
      <c r="E4372" s="599"/>
      <c r="F4372" s="599"/>
      <c r="G4372" s="599"/>
      <c r="H4372" s="599"/>
      <c r="I4372" s="599"/>
      <c r="J4372" s="599"/>
      <c r="K4372" s="599"/>
      <c r="L4372" s="599"/>
      <c r="M4372" s="599"/>
      <c r="N4372" s="600"/>
    </row>
    <row r="4373" spans="1:15" ht="25.5" customHeight="1" thickBot="1">
      <c r="A4373" s="601"/>
      <c r="B4373" s="602"/>
      <c r="C4373" s="602"/>
      <c r="D4373" s="602"/>
      <c r="E4373" s="602"/>
      <c r="F4373" s="602"/>
      <c r="G4373" s="602"/>
      <c r="H4373" s="602"/>
      <c r="I4373" s="602"/>
      <c r="J4373" s="602"/>
      <c r="K4373" s="602"/>
      <c r="L4373" s="602"/>
      <c r="M4373" s="602"/>
      <c r="N4373" s="603"/>
    </row>
    <row r="4374" spans="1:15" ht="25.5" customHeight="1">
      <c r="E4374" s="206"/>
      <c r="F4374" s="206"/>
      <c r="G4374" s="206"/>
      <c r="H4374" s="206"/>
      <c r="I4374" s="206"/>
      <c r="J4374" s="206"/>
      <c r="K4374" s="206"/>
    </row>
    <row r="4375" spans="1:15" ht="21.6" thickBot="1"/>
    <row r="4376" spans="1:15" ht="95.25" customHeight="1" thickBot="1">
      <c r="A4376" s="592" t="s">
        <v>1883</v>
      </c>
      <c r="B4376" s="593"/>
      <c r="C4376" s="593"/>
      <c r="D4376" s="593"/>
      <c r="E4376" s="593"/>
      <c r="F4376" s="593"/>
      <c r="G4376" s="593"/>
      <c r="H4376" s="593"/>
      <c r="I4376" s="593"/>
      <c r="J4376" s="593"/>
      <c r="K4376" s="593"/>
      <c r="L4376" s="593"/>
      <c r="M4376" s="593"/>
      <c r="N4376" s="594"/>
    </row>
    <row r="4377" spans="1:15" s="3" customFormat="1" ht="37.5" customHeight="1">
      <c r="A4377" s="134" t="s">
        <v>1884</v>
      </c>
      <c r="B4377" s="166"/>
      <c r="C4377" s="166"/>
      <c r="D4377" s="123"/>
      <c r="E4377" s="123"/>
      <c r="F4377" s="167" t="s">
        <v>1885</v>
      </c>
      <c r="G4377" s="167" t="s">
        <v>1886</v>
      </c>
      <c r="H4377" s="167"/>
      <c r="I4377" s="167"/>
      <c r="J4377" s="167"/>
      <c r="K4377" s="167"/>
      <c r="L4377" s="167"/>
      <c r="M4377" s="167"/>
      <c r="N4377" s="152"/>
      <c r="O4377" s="201"/>
    </row>
    <row r="4378" spans="1:15" s="4" customFormat="1" ht="25.2">
      <c r="A4378" s="125" t="s">
        <v>1887</v>
      </c>
      <c r="B4378" s="123"/>
      <c r="C4378" s="123"/>
      <c r="D4378" s="123"/>
      <c r="E4378" s="123"/>
      <c r="F4378" s="167"/>
      <c r="G4378" s="167" t="s">
        <v>1888</v>
      </c>
      <c r="H4378" s="167"/>
      <c r="I4378" s="167"/>
      <c r="J4378" s="167"/>
      <c r="K4378" s="167"/>
      <c r="L4378" s="167"/>
      <c r="M4378" s="167"/>
      <c r="N4378" s="152"/>
    </row>
    <row r="4379" spans="1:15" s="3" customFormat="1" ht="9.9" customHeight="1">
      <c r="A4379" s="125"/>
      <c r="B4379" s="123"/>
      <c r="C4379" s="123"/>
      <c r="D4379" s="123"/>
      <c r="E4379" s="123"/>
      <c r="F4379" s="167"/>
      <c r="G4379" s="123"/>
      <c r="H4379" s="123"/>
      <c r="I4379" s="123"/>
      <c r="J4379" s="123"/>
      <c r="K4379" s="123"/>
      <c r="L4379" s="123"/>
      <c r="M4379" s="123"/>
      <c r="N4379" s="126"/>
    </row>
    <row r="4380" spans="1:15" s="3" customFormat="1" ht="42.75" customHeight="1">
      <c r="A4380" s="125" t="s">
        <v>1889</v>
      </c>
      <c r="B4380" s="123"/>
      <c r="C4380" s="123"/>
      <c r="D4380" s="123"/>
      <c r="E4380" s="123"/>
      <c r="F4380" s="167" t="s">
        <v>1885</v>
      </c>
      <c r="G4380" s="167" t="str">
        <f>PL!$B$13</f>
        <v>Branch of JSC "Doosan Enerbility" in the Turkestan region</v>
      </c>
      <c r="H4380" s="123"/>
      <c r="I4380" s="123"/>
      <c r="J4380" s="123"/>
      <c r="K4380" s="123"/>
      <c r="L4380" s="123"/>
      <c r="M4380" s="123"/>
      <c r="N4380" s="126"/>
    </row>
    <row r="4381" spans="1:15" s="3" customFormat="1" ht="24" customHeight="1">
      <c r="A4381" s="125" t="s">
        <v>1890</v>
      </c>
      <c r="B4381" s="123"/>
      <c r="C4381" s="123"/>
      <c r="D4381" s="123"/>
      <c r="E4381" s="123"/>
      <c r="F4381" s="168"/>
      <c r="G4381" s="167" t="str">
        <f>PL!$B$14</f>
        <v>321 Tauke Khan Avenue, Turkestan region, Turkestan, Kazakhstan, 161200</v>
      </c>
      <c r="H4381" s="123"/>
      <c r="I4381" s="123"/>
      <c r="J4381" s="123"/>
      <c r="K4381" s="123"/>
      <c r="L4381" s="123"/>
      <c r="M4381" s="123"/>
      <c r="N4381" s="126"/>
    </row>
    <row r="4382" spans="1:15" s="4" customFormat="1" ht="25.2">
      <c r="A4382" s="125"/>
      <c r="B4382" s="123"/>
      <c r="C4382" s="123"/>
      <c r="D4382" s="123"/>
      <c r="E4382" s="123"/>
      <c r="F4382" s="168"/>
      <c r="G4382" s="167" t="str">
        <f>PL!$B$15</f>
        <v>BIN: 230741006561</v>
      </c>
      <c r="H4382" s="123"/>
      <c r="I4382" s="123"/>
      <c r="J4382" s="123"/>
      <c r="K4382" s="123"/>
      <c r="L4382" s="123"/>
      <c r="M4382" s="123"/>
      <c r="N4382" s="126"/>
    </row>
    <row r="4383" spans="1:15" s="3" customFormat="1" ht="9.9" customHeight="1">
      <c r="A4383" s="125"/>
      <c r="B4383" s="123"/>
      <c r="C4383" s="123"/>
      <c r="D4383" s="123"/>
      <c r="E4383" s="123"/>
      <c r="F4383" s="169"/>
      <c r="G4383" s="169"/>
      <c r="H4383" s="123"/>
      <c r="I4383" s="123"/>
      <c r="J4383" s="123"/>
      <c r="K4383" s="123"/>
      <c r="L4383" s="123"/>
      <c r="M4383" s="123"/>
      <c r="N4383" s="126"/>
    </row>
    <row r="4384" spans="1:15" s="3" customFormat="1" ht="25.2">
      <c r="A4384" s="125" t="s">
        <v>1891</v>
      </c>
      <c r="B4384" s="123"/>
      <c r="C4384" s="123"/>
      <c r="D4384" s="123"/>
      <c r="E4384" s="123"/>
      <c r="F4384" s="167" t="s">
        <v>1892</v>
      </c>
      <c r="G4384" s="123"/>
      <c r="H4384" s="123"/>
      <c r="I4384" s="123"/>
      <c r="J4384" s="123"/>
      <c r="K4384" s="123"/>
      <c r="L4384" s="123"/>
      <c r="M4384" s="123"/>
      <c r="N4384" s="126"/>
    </row>
    <row r="4385" spans="1:14" s="4" customFormat="1" ht="25.2">
      <c r="A4385" s="125" t="s">
        <v>1893</v>
      </c>
      <c r="B4385" s="123"/>
      <c r="C4385" s="123"/>
      <c r="D4385" s="123"/>
      <c r="E4385" s="123"/>
      <c r="F4385" s="167" t="s">
        <v>1894</v>
      </c>
      <c r="G4385" s="123"/>
      <c r="H4385" s="123"/>
      <c r="I4385" s="123"/>
      <c r="J4385" s="123"/>
      <c r="K4385" s="123"/>
      <c r="L4385" s="123"/>
      <c r="M4385" s="123"/>
      <c r="N4385" s="126"/>
    </row>
    <row r="4386" spans="1:14" s="3" customFormat="1" ht="9.9" customHeight="1">
      <c r="A4386" s="125"/>
      <c r="B4386" s="123"/>
      <c r="C4386" s="123"/>
      <c r="D4386" s="123"/>
      <c r="E4386" s="123"/>
      <c r="F4386" s="167"/>
      <c r="G4386" s="123"/>
      <c r="H4386" s="123"/>
      <c r="I4386" s="123"/>
      <c r="J4386" s="123"/>
      <c r="K4386" s="123"/>
      <c r="L4386" s="123"/>
      <c r="M4386" s="123"/>
      <c r="N4386" s="126"/>
    </row>
    <row r="4387" spans="1:14" s="3" customFormat="1" ht="25.2">
      <c r="A4387" s="125" t="s">
        <v>1895</v>
      </c>
      <c r="B4387" s="123"/>
      <c r="C4387" s="123"/>
      <c r="D4387" s="123"/>
      <c r="E4387" s="123"/>
      <c r="F4387" s="167" t="s">
        <v>1896</v>
      </c>
      <c r="G4387" s="167" t="str">
        <f>PL!$V$8</f>
        <v>PGU-DE-0139-001</v>
      </c>
      <c r="H4387" s="123"/>
      <c r="I4387" s="123"/>
      <c r="J4387" s="123"/>
      <c r="K4387" s="123"/>
      <c r="L4387" s="123"/>
      <c r="M4387" s="123"/>
      <c r="N4387" s="126"/>
    </row>
    <row r="4388" spans="1:14" s="3" customFormat="1" ht="25.2">
      <c r="A4388" s="125" t="s">
        <v>1897</v>
      </c>
      <c r="B4388" s="123"/>
      <c r="C4388" s="123"/>
      <c r="D4388" s="123"/>
      <c r="E4388" s="123"/>
      <c r="F4388" s="167"/>
      <c r="G4388" s="123"/>
      <c r="H4388" s="123"/>
      <c r="I4388" s="123"/>
      <c r="J4388" s="123"/>
      <c r="K4388" s="123"/>
      <c r="L4388" s="123"/>
      <c r="M4388" s="123"/>
      <c r="N4388" s="126"/>
    </row>
    <row r="4389" spans="1:14" s="3" customFormat="1" ht="9.9" customHeight="1">
      <c r="A4389" s="125"/>
      <c r="B4389" s="123"/>
      <c r="C4389" s="123"/>
      <c r="D4389" s="123"/>
      <c r="E4389" s="123"/>
      <c r="F4389" s="167"/>
      <c r="G4389" s="123"/>
      <c r="H4389" s="123"/>
      <c r="I4389" s="123"/>
      <c r="J4389" s="123"/>
      <c r="K4389" s="123"/>
      <c r="L4389" s="123"/>
      <c r="M4389" s="123"/>
      <c r="N4389" s="126"/>
    </row>
    <row r="4390" spans="1:14" s="3" customFormat="1" ht="31.2" customHeight="1">
      <c r="A4390" s="127" t="s">
        <v>1898</v>
      </c>
      <c r="B4390" s="170"/>
      <c r="C4390" s="170"/>
      <c r="D4390" s="170"/>
      <c r="E4390" s="170"/>
      <c r="F4390" s="171" t="s">
        <v>1885</v>
      </c>
      <c r="G4390" s="597" t="e">
        <f>VLOOKUP(G4393, 'Detail PL'!$B$14:$Q$799,2)</f>
        <v>#N/A</v>
      </c>
      <c r="H4390" s="597"/>
      <c r="I4390" s="597"/>
      <c r="J4390" s="597"/>
      <c r="K4390" s="597"/>
      <c r="L4390" s="597"/>
      <c r="M4390" s="597"/>
      <c r="N4390" s="128"/>
    </row>
    <row r="4391" spans="1:14" s="3" customFormat="1" ht="25.2">
      <c r="A4391" s="127" t="s">
        <v>1899</v>
      </c>
      <c r="B4391" s="170"/>
      <c r="C4391" s="170"/>
      <c r="D4391" s="170"/>
      <c r="E4391" s="170"/>
      <c r="F4391" s="171"/>
      <c r="G4391" s="170"/>
      <c r="H4391" s="170"/>
      <c r="I4391" s="170"/>
      <c r="J4391" s="170"/>
      <c r="K4391" s="170"/>
      <c r="L4391" s="170"/>
      <c r="M4391" s="170"/>
      <c r="N4391" s="128"/>
    </row>
    <row r="4392" spans="1:14" s="3" customFormat="1" ht="9.9" customHeight="1">
      <c r="A4392" s="125"/>
      <c r="B4392" s="123"/>
      <c r="C4392" s="123"/>
      <c r="D4392" s="123"/>
      <c r="E4392" s="123"/>
      <c r="F4392" s="167"/>
      <c r="G4392" s="123"/>
      <c r="H4392" s="123"/>
      <c r="I4392" s="123"/>
      <c r="J4392" s="123"/>
      <c r="K4392" s="123"/>
      <c r="L4392" s="123"/>
      <c r="M4392" s="123"/>
      <c r="N4392" s="126"/>
    </row>
    <row r="4393" spans="1:14" s="3" customFormat="1" ht="25.2">
      <c r="A4393" s="125" t="s">
        <v>1900</v>
      </c>
      <c r="B4393" s="123"/>
      <c r="C4393" s="123"/>
      <c r="D4393" s="123"/>
      <c r="E4393" s="123"/>
      <c r="F4393" s="171" t="s">
        <v>1901</v>
      </c>
      <c r="G4393" s="604">
        <f t="shared" ref="G4393" si="123">G4358+1</f>
        <v>126</v>
      </c>
      <c r="H4393" s="604"/>
      <c r="I4393" s="604"/>
      <c r="J4393" s="604"/>
      <c r="K4393" s="604"/>
      <c r="L4393" s="123"/>
      <c r="M4393" s="123"/>
      <c r="N4393" s="126"/>
    </row>
    <row r="4394" spans="1:14" s="4" customFormat="1" ht="25.2">
      <c r="A4394" s="125" t="s">
        <v>1903</v>
      </c>
      <c r="B4394" s="123"/>
      <c r="C4394" s="123"/>
      <c r="D4394" s="123"/>
      <c r="E4394" s="123"/>
      <c r="F4394" s="167"/>
      <c r="G4394" s="167"/>
      <c r="H4394" s="123"/>
      <c r="I4394" s="123"/>
      <c r="J4394" s="123"/>
      <c r="K4394" s="123"/>
      <c r="L4394" s="123"/>
      <c r="M4394" s="123"/>
      <c r="N4394" s="126"/>
    </row>
    <row r="4395" spans="1:14" s="3" customFormat="1" ht="9.9" customHeight="1">
      <c r="A4395" s="125"/>
      <c r="B4395" s="123"/>
      <c r="C4395" s="123"/>
      <c r="D4395" s="123"/>
      <c r="E4395" s="123"/>
      <c r="F4395" s="167"/>
      <c r="G4395" s="167"/>
      <c r="H4395" s="123"/>
      <c r="I4395" s="123"/>
      <c r="J4395" s="123"/>
      <c r="K4395" s="123"/>
      <c r="L4395" s="123"/>
      <c r="M4395" s="123"/>
      <c r="N4395" s="126"/>
    </row>
    <row r="4396" spans="1:14" s="3" customFormat="1" ht="25.2">
      <c r="A4396" s="125" t="s">
        <v>1904</v>
      </c>
      <c r="B4396" s="123"/>
      <c r="C4396" s="123"/>
      <c r="D4396" s="123"/>
      <c r="E4396" s="123"/>
      <c r="F4396" s="167" t="s">
        <v>1896</v>
      </c>
      <c r="G4396" s="204" t="e">
        <f>VLOOKUP(G4393, 'Detail PL'!$B$14:$Q$799, 10)</f>
        <v>#N/A</v>
      </c>
      <c r="H4396" s="204" t="s">
        <v>1905</v>
      </c>
      <c r="I4396" s="204"/>
      <c r="J4396" s="204"/>
      <c r="K4396" s="123"/>
      <c r="L4396" s="123"/>
      <c r="M4396" s="123"/>
      <c r="N4396" s="126"/>
    </row>
    <row r="4397" spans="1:14" s="4" customFormat="1" ht="25.2">
      <c r="A4397" s="125" t="s">
        <v>1906</v>
      </c>
      <c r="B4397" s="123"/>
      <c r="C4397" s="123"/>
      <c r="D4397" s="123"/>
      <c r="E4397" s="123"/>
      <c r="F4397" s="167"/>
      <c r="G4397" s="167"/>
      <c r="H4397" s="167"/>
      <c r="I4397" s="123"/>
      <c r="J4397" s="123"/>
      <c r="K4397" s="123"/>
      <c r="L4397" s="123"/>
      <c r="M4397" s="123"/>
      <c r="N4397" s="126"/>
    </row>
    <row r="4398" spans="1:14" s="3" customFormat="1" ht="9.9" customHeight="1">
      <c r="A4398" s="125"/>
      <c r="B4398" s="123"/>
      <c r="C4398" s="123"/>
      <c r="D4398" s="123"/>
      <c r="E4398" s="123"/>
      <c r="F4398" s="167"/>
      <c r="G4398" s="167"/>
      <c r="H4398" s="167"/>
      <c r="I4398" s="123"/>
      <c r="J4398" s="123"/>
      <c r="K4398" s="123"/>
      <c r="L4398" s="123"/>
      <c r="M4398" s="123"/>
      <c r="N4398" s="126"/>
    </row>
    <row r="4399" spans="1:14" s="3" customFormat="1" ht="25.2">
      <c r="A4399" s="125" t="s">
        <v>1907</v>
      </c>
      <c r="B4399" s="123"/>
      <c r="C4399" s="123"/>
      <c r="D4399" s="123"/>
      <c r="E4399" s="123"/>
      <c r="F4399" s="167" t="s">
        <v>1896</v>
      </c>
      <c r="G4399" s="204" t="e">
        <f>VLOOKUP(G4393, 'Detail PL'!$B$14:$Q$799, 11)</f>
        <v>#N/A</v>
      </c>
      <c r="H4399" s="204" t="s">
        <v>1905</v>
      </c>
      <c r="I4399" s="204"/>
      <c r="J4399" s="204"/>
      <c r="K4399" s="123"/>
      <c r="L4399" s="123"/>
      <c r="M4399" s="123"/>
      <c r="N4399" s="126"/>
    </row>
    <row r="4400" spans="1:14" s="4" customFormat="1" ht="25.2">
      <c r="A4400" s="125" t="s">
        <v>1908</v>
      </c>
      <c r="B4400" s="123"/>
      <c r="C4400" s="123"/>
      <c r="D4400" s="123"/>
      <c r="E4400" s="123"/>
      <c r="F4400" s="167"/>
      <c r="G4400" s="167"/>
      <c r="H4400" s="123"/>
      <c r="I4400" s="123"/>
      <c r="J4400" s="123"/>
      <c r="K4400" s="123"/>
      <c r="L4400" s="123"/>
      <c r="M4400" s="123"/>
      <c r="N4400" s="126"/>
    </row>
    <row r="4401" spans="1:15" s="3" customFormat="1" ht="9.9" customHeight="1">
      <c r="A4401" s="125"/>
      <c r="B4401" s="123"/>
      <c r="C4401" s="123"/>
      <c r="D4401" s="123"/>
      <c r="E4401" s="123"/>
      <c r="F4401" s="167"/>
      <c r="G4401" s="167"/>
      <c r="H4401" s="123"/>
      <c r="I4401" s="123"/>
      <c r="J4401" s="123"/>
      <c r="K4401" s="123"/>
      <c r="L4401" s="123"/>
      <c r="M4401" s="123"/>
      <c r="N4401" s="126"/>
    </row>
    <row r="4402" spans="1:15" s="3" customFormat="1" ht="25.2">
      <c r="A4402" s="129" t="s">
        <v>1909</v>
      </c>
      <c r="B4402" s="123"/>
      <c r="C4402" s="123"/>
      <c r="D4402" s="123"/>
      <c r="E4402" s="123"/>
      <c r="F4402" s="167" t="s">
        <v>1896</v>
      </c>
      <c r="G4402" s="204" t="e">
        <f>VLOOKUP(G4393, 'Detail PL'!$B$14:$Q$799, 9)</f>
        <v>#N/A</v>
      </c>
      <c r="H4402" s="205" t="s">
        <v>1910</v>
      </c>
      <c r="I4402" s="203"/>
      <c r="J4402" s="203"/>
      <c r="K4402" s="172"/>
      <c r="L4402" s="123"/>
      <c r="M4402" s="123"/>
      <c r="N4402" s="126"/>
    </row>
    <row r="4403" spans="1:15" s="4" customFormat="1" ht="25.2">
      <c r="A4403" s="125" t="s">
        <v>1911</v>
      </c>
      <c r="B4403" s="123"/>
      <c r="C4403" s="123"/>
      <c r="D4403" s="123"/>
      <c r="E4403" s="123"/>
      <c r="F4403" s="167"/>
      <c r="G4403" s="167"/>
      <c r="H4403" s="123"/>
      <c r="I4403" s="123"/>
      <c r="J4403" s="123"/>
      <c r="K4403" s="123"/>
      <c r="L4403" s="123"/>
      <c r="M4403" s="123"/>
      <c r="N4403" s="126"/>
    </row>
    <row r="4404" spans="1:15" s="3" customFormat="1" ht="9.9" customHeight="1">
      <c r="A4404" s="125"/>
      <c r="B4404" s="123"/>
      <c r="C4404" s="123"/>
      <c r="D4404" s="123"/>
      <c r="E4404" s="123"/>
      <c r="F4404" s="167"/>
      <c r="G4404" s="167"/>
      <c r="H4404" s="123"/>
      <c r="I4404" s="123"/>
      <c r="J4404" s="123"/>
      <c r="K4404" s="123"/>
      <c r="L4404" s="123"/>
      <c r="M4404" s="123"/>
      <c r="N4404" s="126"/>
    </row>
    <row r="4405" spans="1:15" s="3" customFormat="1" ht="42" customHeight="1">
      <c r="A4405" s="125" t="s">
        <v>1912</v>
      </c>
      <c r="B4405" s="123"/>
      <c r="C4405" s="123"/>
      <c r="D4405" s="123"/>
      <c r="E4405" s="123"/>
      <c r="F4405" s="166" t="s">
        <v>1913</v>
      </c>
      <c r="G4405" s="595" t="s">
        <v>1914</v>
      </c>
      <c r="H4405" s="595"/>
      <c r="I4405" s="595"/>
      <c r="J4405" s="595"/>
      <c r="K4405" s="595"/>
      <c r="L4405" s="595"/>
      <c r="M4405" s="595"/>
      <c r="N4405" s="596"/>
    </row>
    <row r="4406" spans="1:15" s="4" customFormat="1" ht="25.8" thickBot="1">
      <c r="A4406" s="125" t="s">
        <v>1915</v>
      </c>
      <c r="B4406" s="123"/>
      <c r="C4406" s="123"/>
      <c r="D4406" s="123"/>
      <c r="E4406" s="123"/>
      <c r="F4406" s="167"/>
      <c r="G4406" s="167"/>
      <c r="H4406" s="123"/>
      <c r="I4406" s="123"/>
      <c r="J4406" s="123"/>
      <c r="K4406" s="123"/>
      <c r="L4406" s="123"/>
      <c r="M4406" s="123"/>
      <c r="N4406" s="126"/>
    </row>
    <row r="4407" spans="1:15" ht="21" customHeight="1">
      <c r="A4407" s="598" t="s">
        <v>1916</v>
      </c>
      <c r="B4407" s="599"/>
      <c r="C4407" s="599"/>
      <c r="D4407" s="599"/>
      <c r="E4407" s="599"/>
      <c r="F4407" s="599"/>
      <c r="G4407" s="599"/>
      <c r="H4407" s="599"/>
      <c r="I4407" s="599"/>
      <c r="J4407" s="599"/>
      <c r="K4407" s="599"/>
      <c r="L4407" s="599"/>
      <c r="M4407" s="599"/>
      <c r="N4407" s="600"/>
    </row>
    <row r="4408" spans="1:15" ht="25.5" customHeight="1" thickBot="1">
      <c r="A4408" s="601"/>
      <c r="B4408" s="602"/>
      <c r="C4408" s="602"/>
      <c r="D4408" s="602"/>
      <c r="E4408" s="602"/>
      <c r="F4408" s="602"/>
      <c r="G4408" s="602"/>
      <c r="H4408" s="602"/>
      <c r="I4408" s="602"/>
      <c r="J4408" s="602"/>
      <c r="K4408" s="602"/>
      <c r="L4408" s="602"/>
      <c r="M4408" s="602"/>
      <c r="N4408" s="603"/>
    </row>
    <row r="4409" spans="1:15" ht="25.5" customHeight="1">
      <c r="E4409" s="206"/>
      <c r="F4409" s="206"/>
      <c r="G4409" s="206"/>
      <c r="H4409" s="206"/>
      <c r="I4409" s="206"/>
      <c r="J4409" s="206"/>
      <c r="K4409" s="206"/>
    </row>
    <row r="4410" spans="1:15" ht="21.6" thickBot="1"/>
    <row r="4411" spans="1:15" ht="95.25" customHeight="1" thickBot="1">
      <c r="A4411" s="592" t="s">
        <v>1883</v>
      </c>
      <c r="B4411" s="593"/>
      <c r="C4411" s="593"/>
      <c r="D4411" s="593"/>
      <c r="E4411" s="593"/>
      <c r="F4411" s="593"/>
      <c r="G4411" s="593"/>
      <c r="H4411" s="593"/>
      <c r="I4411" s="593"/>
      <c r="J4411" s="593"/>
      <c r="K4411" s="593"/>
      <c r="L4411" s="593"/>
      <c r="M4411" s="593"/>
      <c r="N4411" s="594"/>
    </row>
    <row r="4412" spans="1:15" s="3" customFormat="1" ht="37.5" customHeight="1">
      <c r="A4412" s="134" t="s">
        <v>1884</v>
      </c>
      <c r="B4412" s="166"/>
      <c r="C4412" s="166"/>
      <c r="D4412" s="123"/>
      <c r="E4412" s="123"/>
      <c r="F4412" s="167" t="s">
        <v>1885</v>
      </c>
      <c r="G4412" s="167" t="s">
        <v>1886</v>
      </c>
      <c r="H4412" s="167"/>
      <c r="I4412" s="167"/>
      <c r="J4412" s="167"/>
      <c r="K4412" s="167"/>
      <c r="L4412" s="167"/>
      <c r="M4412" s="167"/>
      <c r="N4412" s="152"/>
      <c r="O4412" s="201"/>
    </row>
    <row r="4413" spans="1:15" s="4" customFormat="1" ht="25.2">
      <c r="A4413" s="125" t="s">
        <v>1887</v>
      </c>
      <c r="B4413" s="123"/>
      <c r="C4413" s="123"/>
      <c r="D4413" s="123"/>
      <c r="E4413" s="123"/>
      <c r="F4413" s="167"/>
      <c r="G4413" s="167" t="s">
        <v>1888</v>
      </c>
      <c r="H4413" s="167"/>
      <c r="I4413" s="167"/>
      <c r="J4413" s="167"/>
      <c r="K4413" s="167"/>
      <c r="L4413" s="167"/>
      <c r="M4413" s="167"/>
      <c r="N4413" s="152"/>
    </row>
    <row r="4414" spans="1:15" s="3" customFormat="1" ht="9.9" customHeight="1">
      <c r="A4414" s="125"/>
      <c r="B4414" s="123"/>
      <c r="C4414" s="123"/>
      <c r="D4414" s="123"/>
      <c r="E4414" s="123"/>
      <c r="F4414" s="167"/>
      <c r="G4414" s="123"/>
      <c r="H4414" s="123"/>
      <c r="I4414" s="123"/>
      <c r="J4414" s="123"/>
      <c r="K4414" s="123"/>
      <c r="L4414" s="123"/>
      <c r="M4414" s="123"/>
      <c r="N4414" s="126"/>
    </row>
    <row r="4415" spans="1:15" s="3" customFormat="1" ht="42.75" customHeight="1">
      <c r="A4415" s="125" t="s">
        <v>1889</v>
      </c>
      <c r="B4415" s="123"/>
      <c r="C4415" s="123"/>
      <c r="D4415" s="123"/>
      <c r="E4415" s="123"/>
      <c r="F4415" s="167" t="s">
        <v>1885</v>
      </c>
      <c r="G4415" s="167" t="str">
        <f>PL!$B$13</f>
        <v>Branch of JSC "Doosan Enerbility" in the Turkestan region</v>
      </c>
      <c r="H4415" s="123"/>
      <c r="I4415" s="123"/>
      <c r="J4415" s="123"/>
      <c r="K4415" s="123"/>
      <c r="L4415" s="123"/>
      <c r="M4415" s="123"/>
      <c r="N4415" s="126"/>
    </row>
    <row r="4416" spans="1:15" s="3" customFormat="1" ht="24" customHeight="1">
      <c r="A4416" s="125" t="s">
        <v>1890</v>
      </c>
      <c r="B4416" s="123"/>
      <c r="C4416" s="123"/>
      <c r="D4416" s="123"/>
      <c r="E4416" s="123"/>
      <c r="F4416" s="168"/>
      <c r="G4416" s="167" t="str">
        <f>PL!$B$14</f>
        <v>321 Tauke Khan Avenue, Turkestan region, Turkestan, Kazakhstan, 161200</v>
      </c>
      <c r="H4416" s="123"/>
      <c r="I4416" s="123"/>
      <c r="J4416" s="123"/>
      <c r="K4416" s="123"/>
      <c r="L4416" s="123"/>
      <c r="M4416" s="123"/>
      <c r="N4416" s="126"/>
    </row>
    <row r="4417" spans="1:14" s="4" customFormat="1" ht="25.2">
      <c r="A4417" s="125"/>
      <c r="B4417" s="123"/>
      <c r="C4417" s="123"/>
      <c r="D4417" s="123"/>
      <c r="E4417" s="123"/>
      <c r="F4417" s="168"/>
      <c r="G4417" s="167" t="str">
        <f>PL!$B$15</f>
        <v>BIN: 230741006561</v>
      </c>
      <c r="H4417" s="123"/>
      <c r="I4417" s="123"/>
      <c r="J4417" s="123"/>
      <c r="K4417" s="123"/>
      <c r="L4417" s="123"/>
      <c r="M4417" s="123"/>
      <c r="N4417" s="126"/>
    </row>
    <row r="4418" spans="1:14" s="3" customFormat="1" ht="9.9" customHeight="1">
      <c r="A4418" s="125"/>
      <c r="B4418" s="123"/>
      <c r="C4418" s="123"/>
      <c r="D4418" s="123"/>
      <c r="E4418" s="123"/>
      <c r="F4418" s="169"/>
      <c r="G4418" s="169"/>
      <c r="H4418" s="123"/>
      <c r="I4418" s="123"/>
      <c r="J4418" s="123"/>
      <c r="K4418" s="123"/>
      <c r="L4418" s="123"/>
      <c r="M4418" s="123"/>
      <c r="N4418" s="126"/>
    </row>
    <row r="4419" spans="1:14" s="3" customFormat="1" ht="25.2">
      <c r="A4419" s="125" t="s">
        <v>1891</v>
      </c>
      <c r="B4419" s="123"/>
      <c r="C4419" s="123"/>
      <c r="D4419" s="123"/>
      <c r="E4419" s="123"/>
      <c r="F4419" s="167" t="s">
        <v>1892</v>
      </c>
      <c r="G4419" s="123"/>
      <c r="H4419" s="123"/>
      <c r="I4419" s="123"/>
      <c r="J4419" s="123"/>
      <c r="K4419" s="123"/>
      <c r="L4419" s="123"/>
      <c r="M4419" s="123"/>
      <c r="N4419" s="126"/>
    </row>
    <row r="4420" spans="1:14" s="4" customFormat="1" ht="25.2">
      <c r="A4420" s="125" t="s">
        <v>1893</v>
      </c>
      <c r="B4420" s="123"/>
      <c r="C4420" s="123"/>
      <c r="D4420" s="123"/>
      <c r="E4420" s="123"/>
      <c r="F4420" s="167" t="s">
        <v>1894</v>
      </c>
      <c r="G4420" s="123"/>
      <c r="H4420" s="123"/>
      <c r="I4420" s="123"/>
      <c r="J4420" s="123"/>
      <c r="K4420" s="123"/>
      <c r="L4420" s="123"/>
      <c r="M4420" s="123"/>
      <c r="N4420" s="126"/>
    </row>
    <row r="4421" spans="1:14" s="3" customFormat="1" ht="9.9" customHeight="1">
      <c r="A4421" s="125"/>
      <c r="B4421" s="123"/>
      <c r="C4421" s="123"/>
      <c r="D4421" s="123"/>
      <c r="E4421" s="123"/>
      <c r="F4421" s="167"/>
      <c r="G4421" s="123"/>
      <c r="H4421" s="123"/>
      <c r="I4421" s="123"/>
      <c r="J4421" s="123"/>
      <c r="K4421" s="123"/>
      <c r="L4421" s="123"/>
      <c r="M4421" s="123"/>
      <c r="N4421" s="126"/>
    </row>
    <row r="4422" spans="1:14" s="3" customFormat="1" ht="25.2">
      <c r="A4422" s="125" t="s">
        <v>1895</v>
      </c>
      <c r="B4422" s="123"/>
      <c r="C4422" s="123"/>
      <c r="D4422" s="123"/>
      <c r="E4422" s="123"/>
      <c r="F4422" s="167" t="s">
        <v>1896</v>
      </c>
      <c r="G4422" s="167" t="str">
        <f>PL!$V$8</f>
        <v>PGU-DE-0139-001</v>
      </c>
      <c r="H4422" s="123"/>
      <c r="I4422" s="123"/>
      <c r="J4422" s="123"/>
      <c r="K4422" s="123"/>
      <c r="L4422" s="123"/>
      <c r="M4422" s="123"/>
      <c r="N4422" s="126"/>
    </row>
    <row r="4423" spans="1:14" s="3" customFormat="1" ht="25.2">
      <c r="A4423" s="125" t="s">
        <v>1897</v>
      </c>
      <c r="B4423" s="123"/>
      <c r="C4423" s="123"/>
      <c r="D4423" s="123"/>
      <c r="E4423" s="123"/>
      <c r="F4423" s="167"/>
      <c r="G4423" s="123"/>
      <c r="H4423" s="123"/>
      <c r="I4423" s="123"/>
      <c r="J4423" s="123"/>
      <c r="K4423" s="123"/>
      <c r="L4423" s="123"/>
      <c r="M4423" s="123"/>
      <c r="N4423" s="126"/>
    </row>
    <row r="4424" spans="1:14" s="3" customFormat="1" ht="9.9" customHeight="1">
      <c r="A4424" s="125"/>
      <c r="B4424" s="123"/>
      <c r="C4424" s="123"/>
      <c r="D4424" s="123"/>
      <c r="E4424" s="123"/>
      <c r="F4424" s="167"/>
      <c r="G4424" s="123"/>
      <c r="H4424" s="123"/>
      <c r="I4424" s="123"/>
      <c r="J4424" s="123"/>
      <c r="K4424" s="123"/>
      <c r="L4424" s="123"/>
      <c r="M4424" s="123"/>
      <c r="N4424" s="126"/>
    </row>
    <row r="4425" spans="1:14" s="3" customFormat="1" ht="31.2" customHeight="1">
      <c r="A4425" s="127" t="s">
        <v>1898</v>
      </c>
      <c r="B4425" s="170"/>
      <c r="C4425" s="170"/>
      <c r="D4425" s="170"/>
      <c r="E4425" s="170"/>
      <c r="F4425" s="171" t="s">
        <v>1885</v>
      </c>
      <c r="G4425" s="597" t="e">
        <f>VLOOKUP(G4428, 'Detail PL'!$B$14:$Q$799,2)</f>
        <v>#N/A</v>
      </c>
      <c r="H4425" s="597"/>
      <c r="I4425" s="597"/>
      <c r="J4425" s="597"/>
      <c r="K4425" s="597"/>
      <c r="L4425" s="597"/>
      <c r="M4425" s="597"/>
      <c r="N4425" s="128"/>
    </row>
    <row r="4426" spans="1:14" s="3" customFormat="1" ht="25.2">
      <c r="A4426" s="127" t="s">
        <v>1899</v>
      </c>
      <c r="B4426" s="170"/>
      <c r="C4426" s="170"/>
      <c r="D4426" s="170"/>
      <c r="E4426" s="170"/>
      <c r="F4426" s="171"/>
      <c r="G4426" s="170"/>
      <c r="H4426" s="170"/>
      <c r="I4426" s="170"/>
      <c r="J4426" s="170"/>
      <c r="K4426" s="170"/>
      <c r="L4426" s="170"/>
      <c r="M4426" s="170"/>
      <c r="N4426" s="128"/>
    </row>
    <row r="4427" spans="1:14" s="3" customFormat="1" ht="9.9" customHeight="1">
      <c r="A4427" s="125"/>
      <c r="B4427" s="123"/>
      <c r="C4427" s="123"/>
      <c r="D4427" s="123"/>
      <c r="E4427" s="123"/>
      <c r="F4427" s="167"/>
      <c r="G4427" s="123"/>
      <c r="H4427" s="123"/>
      <c r="I4427" s="123"/>
      <c r="J4427" s="123"/>
      <c r="K4427" s="123"/>
      <c r="L4427" s="123"/>
      <c r="M4427" s="123"/>
      <c r="N4427" s="126"/>
    </row>
    <row r="4428" spans="1:14" s="3" customFormat="1" ht="25.2">
      <c r="A4428" s="125" t="s">
        <v>1900</v>
      </c>
      <c r="B4428" s="123"/>
      <c r="C4428" s="123"/>
      <c r="D4428" s="123"/>
      <c r="E4428" s="123"/>
      <c r="F4428" s="171" t="s">
        <v>1901</v>
      </c>
      <c r="G4428" s="604">
        <f t="shared" ref="G4428" si="124">G4393+1</f>
        <v>127</v>
      </c>
      <c r="H4428" s="604"/>
      <c r="I4428" s="604"/>
      <c r="J4428" s="604"/>
      <c r="K4428" s="604"/>
      <c r="L4428" s="123"/>
      <c r="M4428" s="123"/>
      <c r="N4428" s="126"/>
    </row>
    <row r="4429" spans="1:14" s="4" customFormat="1" ht="25.2">
      <c r="A4429" s="125" t="s">
        <v>1903</v>
      </c>
      <c r="B4429" s="123"/>
      <c r="C4429" s="123"/>
      <c r="D4429" s="123"/>
      <c r="E4429" s="123"/>
      <c r="F4429" s="167"/>
      <c r="G4429" s="167"/>
      <c r="H4429" s="123"/>
      <c r="I4429" s="123"/>
      <c r="J4429" s="123"/>
      <c r="K4429" s="123"/>
      <c r="L4429" s="123"/>
      <c r="M4429" s="123"/>
      <c r="N4429" s="126"/>
    </row>
    <row r="4430" spans="1:14" s="3" customFormat="1" ht="9.9" customHeight="1">
      <c r="A4430" s="125"/>
      <c r="B4430" s="123"/>
      <c r="C4430" s="123"/>
      <c r="D4430" s="123"/>
      <c r="E4430" s="123"/>
      <c r="F4430" s="167"/>
      <c r="G4430" s="167"/>
      <c r="H4430" s="123"/>
      <c r="I4430" s="123"/>
      <c r="J4430" s="123"/>
      <c r="K4430" s="123"/>
      <c r="L4430" s="123"/>
      <c r="M4430" s="123"/>
      <c r="N4430" s="126"/>
    </row>
    <row r="4431" spans="1:14" s="3" customFormat="1" ht="25.2">
      <c r="A4431" s="125" t="s">
        <v>1904</v>
      </c>
      <c r="B4431" s="123"/>
      <c r="C4431" s="123"/>
      <c r="D4431" s="123"/>
      <c r="E4431" s="123"/>
      <c r="F4431" s="167" t="s">
        <v>1896</v>
      </c>
      <c r="G4431" s="204" t="e">
        <f>VLOOKUP(G4428, 'Detail PL'!$B$14:$Q$799, 10)</f>
        <v>#N/A</v>
      </c>
      <c r="H4431" s="204" t="s">
        <v>1905</v>
      </c>
      <c r="I4431" s="204"/>
      <c r="J4431" s="204"/>
      <c r="K4431" s="123"/>
      <c r="L4431" s="123"/>
      <c r="M4431" s="123"/>
      <c r="N4431" s="126"/>
    </row>
    <row r="4432" spans="1:14" s="4" customFormat="1" ht="25.2">
      <c r="A4432" s="125" t="s">
        <v>1906</v>
      </c>
      <c r="B4432" s="123"/>
      <c r="C4432" s="123"/>
      <c r="D4432" s="123"/>
      <c r="E4432" s="123"/>
      <c r="F4432" s="167"/>
      <c r="G4432" s="167"/>
      <c r="H4432" s="167"/>
      <c r="I4432" s="123"/>
      <c r="J4432" s="123"/>
      <c r="K4432" s="123"/>
      <c r="L4432" s="123"/>
      <c r="M4432" s="123"/>
      <c r="N4432" s="126"/>
    </row>
    <row r="4433" spans="1:15" s="3" customFormat="1" ht="9.9" customHeight="1">
      <c r="A4433" s="125"/>
      <c r="B4433" s="123"/>
      <c r="C4433" s="123"/>
      <c r="D4433" s="123"/>
      <c r="E4433" s="123"/>
      <c r="F4433" s="167"/>
      <c r="G4433" s="167"/>
      <c r="H4433" s="167"/>
      <c r="I4433" s="123"/>
      <c r="J4433" s="123"/>
      <c r="K4433" s="123"/>
      <c r="L4433" s="123"/>
      <c r="M4433" s="123"/>
      <c r="N4433" s="126"/>
    </row>
    <row r="4434" spans="1:15" s="3" customFormat="1" ht="25.2">
      <c r="A4434" s="125" t="s">
        <v>1907</v>
      </c>
      <c r="B4434" s="123"/>
      <c r="C4434" s="123"/>
      <c r="D4434" s="123"/>
      <c r="E4434" s="123"/>
      <c r="F4434" s="167" t="s">
        <v>1896</v>
      </c>
      <c r="G4434" s="204" t="e">
        <f>VLOOKUP(G4428, 'Detail PL'!$B$14:$Q$799, 11)</f>
        <v>#N/A</v>
      </c>
      <c r="H4434" s="204" t="s">
        <v>1905</v>
      </c>
      <c r="I4434" s="204"/>
      <c r="J4434" s="204"/>
      <c r="K4434" s="123"/>
      <c r="L4434" s="123"/>
      <c r="M4434" s="123"/>
      <c r="N4434" s="126"/>
    </row>
    <row r="4435" spans="1:15" s="4" customFormat="1" ht="25.2">
      <c r="A4435" s="125" t="s">
        <v>1908</v>
      </c>
      <c r="B4435" s="123"/>
      <c r="C4435" s="123"/>
      <c r="D4435" s="123"/>
      <c r="E4435" s="123"/>
      <c r="F4435" s="167"/>
      <c r="G4435" s="167"/>
      <c r="H4435" s="123"/>
      <c r="I4435" s="123"/>
      <c r="J4435" s="123"/>
      <c r="K4435" s="123"/>
      <c r="L4435" s="123"/>
      <c r="M4435" s="123"/>
      <c r="N4435" s="126"/>
    </row>
    <row r="4436" spans="1:15" s="3" customFormat="1" ht="9.9" customHeight="1">
      <c r="A4436" s="125"/>
      <c r="B4436" s="123"/>
      <c r="C4436" s="123"/>
      <c r="D4436" s="123"/>
      <c r="E4436" s="123"/>
      <c r="F4436" s="167"/>
      <c r="G4436" s="167"/>
      <c r="H4436" s="123"/>
      <c r="I4436" s="123"/>
      <c r="J4436" s="123"/>
      <c r="K4436" s="123"/>
      <c r="L4436" s="123"/>
      <c r="M4436" s="123"/>
      <c r="N4436" s="126"/>
    </row>
    <row r="4437" spans="1:15" s="3" customFormat="1" ht="25.2">
      <c r="A4437" s="129" t="s">
        <v>1909</v>
      </c>
      <c r="B4437" s="123"/>
      <c r="C4437" s="123"/>
      <c r="D4437" s="123"/>
      <c r="E4437" s="123"/>
      <c r="F4437" s="167" t="s">
        <v>1896</v>
      </c>
      <c r="G4437" s="204" t="e">
        <f>VLOOKUP(G4428, 'Detail PL'!$B$14:$Q$799, 9)</f>
        <v>#N/A</v>
      </c>
      <c r="H4437" s="205" t="s">
        <v>1910</v>
      </c>
      <c r="I4437" s="203"/>
      <c r="J4437" s="203"/>
      <c r="K4437" s="172"/>
      <c r="L4437" s="123"/>
      <c r="M4437" s="123"/>
      <c r="N4437" s="126"/>
    </row>
    <row r="4438" spans="1:15" s="4" customFormat="1" ht="25.2">
      <c r="A4438" s="125" t="s">
        <v>1911</v>
      </c>
      <c r="B4438" s="123"/>
      <c r="C4438" s="123"/>
      <c r="D4438" s="123"/>
      <c r="E4438" s="123"/>
      <c r="F4438" s="167"/>
      <c r="G4438" s="167"/>
      <c r="H4438" s="123"/>
      <c r="I4438" s="123"/>
      <c r="J4438" s="123"/>
      <c r="K4438" s="123"/>
      <c r="L4438" s="123"/>
      <c r="M4438" s="123"/>
      <c r="N4438" s="126"/>
    </row>
    <row r="4439" spans="1:15" s="3" customFormat="1" ht="9.9" customHeight="1">
      <c r="A4439" s="125"/>
      <c r="B4439" s="123"/>
      <c r="C4439" s="123"/>
      <c r="D4439" s="123"/>
      <c r="E4439" s="123"/>
      <c r="F4439" s="167"/>
      <c r="G4439" s="167"/>
      <c r="H4439" s="123"/>
      <c r="I4439" s="123"/>
      <c r="J4439" s="123"/>
      <c r="K4439" s="123"/>
      <c r="L4439" s="123"/>
      <c r="M4439" s="123"/>
      <c r="N4439" s="126"/>
    </row>
    <row r="4440" spans="1:15" s="3" customFormat="1" ht="42" customHeight="1">
      <c r="A4440" s="125" t="s">
        <v>1912</v>
      </c>
      <c r="B4440" s="123"/>
      <c r="C4440" s="123"/>
      <c r="D4440" s="123"/>
      <c r="E4440" s="123"/>
      <c r="F4440" s="166" t="s">
        <v>1913</v>
      </c>
      <c r="G4440" s="595" t="s">
        <v>1914</v>
      </c>
      <c r="H4440" s="595"/>
      <c r="I4440" s="595"/>
      <c r="J4440" s="595"/>
      <c r="K4440" s="595"/>
      <c r="L4440" s="595"/>
      <c r="M4440" s="595"/>
      <c r="N4440" s="596"/>
    </row>
    <row r="4441" spans="1:15" s="4" customFormat="1" ht="25.8" thickBot="1">
      <c r="A4441" s="125" t="s">
        <v>1915</v>
      </c>
      <c r="B4441" s="123"/>
      <c r="C4441" s="123"/>
      <c r="D4441" s="123"/>
      <c r="E4441" s="123"/>
      <c r="F4441" s="167"/>
      <c r="G4441" s="167"/>
      <c r="H4441" s="123"/>
      <c r="I4441" s="123"/>
      <c r="J4441" s="123"/>
      <c r="K4441" s="123"/>
      <c r="L4441" s="123"/>
      <c r="M4441" s="123"/>
      <c r="N4441" s="126"/>
    </row>
    <row r="4442" spans="1:15" ht="21" customHeight="1">
      <c r="A4442" s="598" t="s">
        <v>1916</v>
      </c>
      <c r="B4442" s="599"/>
      <c r="C4442" s="599"/>
      <c r="D4442" s="599"/>
      <c r="E4442" s="599"/>
      <c r="F4442" s="599"/>
      <c r="G4442" s="599"/>
      <c r="H4442" s="599"/>
      <c r="I4442" s="599"/>
      <c r="J4442" s="599"/>
      <c r="K4442" s="599"/>
      <c r="L4442" s="599"/>
      <c r="M4442" s="599"/>
      <c r="N4442" s="600"/>
    </row>
    <row r="4443" spans="1:15" ht="25.5" customHeight="1" thickBot="1">
      <c r="A4443" s="601"/>
      <c r="B4443" s="602"/>
      <c r="C4443" s="602"/>
      <c r="D4443" s="602"/>
      <c r="E4443" s="602"/>
      <c r="F4443" s="602"/>
      <c r="G4443" s="602"/>
      <c r="H4443" s="602"/>
      <c r="I4443" s="602"/>
      <c r="J4443" s="602"/>
      <c r="K4443" s="602"/>
      <c r="L4443" s="602"/>
      <c r="M4443" s="602"/>
      <c r="N4443" s="603"/>
    </row>
    <row r="4444" spans="1:15" ht="25.5" customHeight="1">
      <c r="E4444" s="206"/>
      <c r="F4444" s="206"/>
      <c r="G4444" s="206"/>
      <c r="H4444" s="206"/>
      <c r="I4444" s="206"/>
      <c r="J4444" s="206"/>
      <c r="K4444" s="206"/>
    </row>
    <row r="4445" spans="1:15" ht="21.6" thickBot="1"/>
    <row r="4446" spans="1:15" ht="95.25" customHeight="1" thickBot="1">
      <c r="A4446" s="592" t="s">
        <v>1883</v>
      </c>
      <c r="B4446" s="593"/>
      <c r="C4446" s="593"/>
      <c r="D4446" s="593"/>
      <c r="E4446" s="593"/>
      <c r="F4446" s="593"/>
      <c r="G4446" s="593"/>
      <c r="H4446" s="593"/>
      <c r="I4446" s="593"/>
      <c r="J4446" s="593"/>
      <c r="K4446" s="593"/>
      <c r="L4446" s="593"/>
      <c r="M4446" s="593"/>
      <c r="N4446" s="594"/>
    </row>
    <row r="4447" spans="1:15" s="3" customFormat="1" ht="37.5" customHeight="1">
      <c r="A4447" s="134" t="s">
        <v>1884</v>
      </c>
      <c r="B4447" s="166"/>
      <c r="C4447" s="166"/>
      <c r="D4447" s="123"/>
      <c r="E4447" s="123"/>
      <c r="F4447" s="167" t="s">
        <v>1885</v>
      </c>
      <c r="G4447" s="167" t="s">
        <v>1886</v>
      </c>
      <c r="H4447" s="167"/>
      <c r="I4447" s="167"/>
      <c r="J4447" s="167"/>
      <c r="K4447" s="167"/>
      <c r="L4447" s="167"/>
      <c r="M4447" s="167"/>
      <c r="N4447" s="152"/>
      <c r="O4447" s="201"/>
    </row>
    <row r="4448" spans="1:15" s="4" customFormat="1" ht="25.2">
      <c r="A4448" s="125" t="s">
        <v>1887</v>
      </c>
      <c r="B4448" s="123"/>
      <c r="C4448" s="123"/>
      <c r="D4448" s="123"/>
      <c r="E4448" s="123"/>
      <c r="F4448" s="167"/>
      <c r="G4448" s="167" t="s">
        <v>1888</v>
      </c>
      <c r="H4448" s="167"/>
      <c r="I4448" s="167"/>
      <c r="J4448" s="167"/>
      <c r="K4448" s="167"/>
      <c r="L4448" s="167"/>
      <c r="M4448" s="167"/>
      <c r="N4448" s="152"/>
    </row>
    <row r="4449" spans="1:14" s="3" customFormat="1" ht="9.9" customHeight="1">
      <c r="A4449" s="125"/>
      <c r="B4449" s="123"/>
      <c r="C4449" s="123"/>
      <c r="D4449" s="123"/>
      <c r="E4449" s="123"/>
      <c r="F4449" s="167"/>
      <c r="G4449" s="123"/>
      <c r="H4449" s="123"/>
      <c r="I4449" s="123"/>
      <c r="J4449" s="123"/>
      <c r="K4449" s="123"/>
      <c r="L4449" s="123"/>
      <c r="M4449" s="123"/>
      <c r="N4449" s="126"/>
    </row>
    <row r="4450" spans="1:14" s="3" customFormat="1" ht="42.75" customHeight="1">
      <c r="A4450" s="125" t="s">
        <v>1889</v>
      </c>
      <c r="B4450" s="123"/>
      <c r="C4450" s="123"/>
      <c r="D4450" s="123"/>
      <c r="E4450" s="123"/>
      <c r="F4450" s="167" t="s">
        <v>1885</v>
      </c>
      <c r="G4450" s="167" t="str">
        <f>PL!$B$13</f>
        <v>Branch of JSC "Doosan Enerbility" in the Turkestan region</v>
      </c>
      <c r="H4450" s="123"/>
      <c r="I4450" s="123"/>
      <c r="J4450" s="123"/>
      <c r="K4450" s="123"/>
      <c r="L4450" s="123"/>
      <c r="M4450" s="123"/>
      <c r="N4450" s="126"/>
    </row>
    <row r="4451" spans="1:14" s="3" customFormat="1" ht="24" customHeight="1">
      <c r="A4451" s="125" t="s">
        <v>1890</v>
      </c>
      <c r="B4451" s="123"/>
      <c r="C4451" s="123"/>
      <c r="D4451" s="123"/>
      <c r="E4451" s="123"/>
      <c r="F4451" s="168"/>
      <c r="G4451" s="167" t="str">
        <f>PL!$B$14</f>
        <v>321 Tauke Khan Avenue, Turkestan region, Turkestan, Kazakhstan, 161200</v>
      </c>
      <c r="H4451" s="123"/>
      <c r="I4451" s="123"/>
      <c r="J4451" s="123"/>
      <c r="K4451" s="123"/>
      <c r="L4451" s="123"/>
      <c r="M4451" s="123"/>
      <c r="N4451" s="126"/>
    </row>
    <row r="4452" spans="1:14" s="4" customFormat="1" ht="25.2">
      <c r="A4452" s="125"/>
      <c r="B4452" s="123"/>
      <c r="C4452" s="123"/>
      <c r="D4452" s="123"/>
      <c r="E4452" s="123"/>
      <c r="F4452" s="168"/>
      <c r="G4452" s="167" t="str">
        <f>PL!$B$15</f>
        <v>BIN: 230741006561</v>
      </c>
      <c r="H4452" s="123"/>
      <c r="I4452" s="123"/>
      <c r="J4452" s="123"/>
      <c r="K4452" s="123"/>
      <c r="L4452" s="123"/>
      <c r="M4452" s="123"/>
      <c r="N4452" s="126"/>
    </row>
    <row r="4453" spans="1:14" s="3" customFormat="1" ht="9.9" customHeight="1">
      <c r="A4453" s="125"/>
      <c r="B4453" s="123"/>
      <c r="C4453" s="123"/>
      <c r="D4453" s="123"/>
      <c r="E4453" s="123"/>
      <c r="F4453" s="169"/>
      <c r="G4453" s="169"/>
      <c r="H4453" s="123"/>
      <c r="I4453" s="123"/>
      <c r="J4453" s="123"/>
      <c r="K4453" s="123"/>
      <c r="L4453" s="123"/>
      <c r="M4453" s="123"/>
      <c r="N4453" s="126"/>
    </row>
    <row r="4454" spans="1:14" s="3" customFormat="1" ht="25.2">
      <c r="A4454" s="125" t="s">
        <v>1891</v>
      </c>
      <c r="B4454" s="123"/>
      <c r="C4454" s="123"/>
      <c r="D4454" s="123"/>
      <c r="E4454" s="123"/>
      <c r="F4454" s="167" t="s">
        <v>1892</v>
      </c>
      <c r="G4454" s="123"/>
      <c r="H4454" s="123"/>
      <c r="I4454" s="123"/>
      <c r="J4454" s="123"/>
      <c r="K4454" s="123"/>
      <c r="L4454" s="123"/>
      <c r="M4454" s="123"/>
      <c r="N4454" s="126"/>
    </row>
    <row r="4455" spans="1:14" s="4" customFormat="1" ht="25.2">
      <c r="A4455" s="125" t="s">
        <v>1893</v>
      </c>
      <c r="B4455" s="123"/>
      <c r="C4455" s="123"/>
      <c r="D4455" s="123"/>
      <c r="E4455" s="123"/>
      <c r="F4455" s="167" t="s">
        <v>1894</v>
      </c>
      <c r="G4455" s="123"/>
      <c r="H4455" s="123"/>
      <c r="I4455" s="123"/>
      <c r="J4455" s="123"/>
      <c r="K4455" s="123"/>
      <c r="L4455" s="123"/>
      <c r="M4455" s="123"/>
      <c r="N4455" s="126"/>
    </row>
    <row r="4456" spans="1:14" s="3" customFormat="1" ht="9.9" customHeight="1">
      <c r="A4456" s="125"/>
      <c r="B4456" s="123"/>
      <c r="C4456" s="123"/>
      <c r="D4456" s="123"/>
      <c r="E4456" s="123"/>
      <c r="F4456" s="167"/>
      <c r="G4456" s="123"/>
      <c r="H4456" s="123"/>
      <c r="I4456" s="123"/>
      <c r="J4456" s="123"/>
      <c r="K4456" s="123"/>
      <c r="L4456" s="123"/>
      <c r="M4456" s="123"/>
      <c r="N4456" s="126"/>
    </row>
    <row r="4457" spans="1:14" s="3" customFormat="1" ht="25.2">
      <c r="A4457" s="125" t="s">
        <v>1895</v>
      </c>
      <c r="B4457" s="123"/>
      <c r="C4457" s="123"/>
      <c r="D4457" s="123"/>
      <c r="E4457" s="123"/>
      <c r="F4457" s="167" t="s">
        <v>1896</v>
      </c>
      <c r="G4457" s="167" t="str">
        <f>PL!$V$8</f>
        <v>PGU-DE-0139-001</v>
      </c>
      <c r="H4457" s="123"/>
      <c r="I4457" s="123"/>
      <c r="J4457" s="123"/>
      <c r="K4457" s="123"/>
      <c r="L4457" s="123"/>
      <c r="M4457" s="123"/>
      <c r="N4457" s="126"/>
    </row>
    <row r="4458" spans="1:14" s="3" customFormat="1" ht="25.2">
      <c r="A4458" s="125" t="s">
        <v>1897</v>
      </c>
      <c r="B4458" s="123"/>
      <c r="C4458" s="123"/>
      <c r="D4458" s="123"/>
      <c r="E4458" s="123"/>
      <c r="F4458" s="167"/>
      <c r="G4458" s="123"/>
      <c r="H4458" s="123"/>
      <c r="I4458" s="123"/>
      <c r="J4458" s="123"/>
      <c r="K4458" s="123"/>
      <c r="L4458" s="123"/>
      <c r="M4458" s="123"/>
      <c r="N4458" s="126"/>
    </row>
    <row r="4459" spans="1:14" s="3" customFormat="1" ht="9.9" customHeight="1">
      <c r="A4459" s="125"/>
      <c r="B4459" s="123"/>
      <c r="C4459" s="123"/>
      <c r="D4459" s="123"/>
      <c r="E4459" s="123"/>
      <c r="F4459" s="167"/>
      <c r="G4459" s="123"/>
      <c r="H4459" s="123"/>
      <c r="I4459" s="123"/>
      <c r="J4459" s="123"/>
      <c r="K4459" s="123"/>
      <c r="L4459" s="123"/>
      <c r="M4459" s="123"/>
      <c r="N4459" s="126"/>
    </row>
    <row r="4460" spans="1:14" s="3" customFormat="1" ht="31.2" customHeight="1">
      <c r="A4460" s="127" t="s">
        <v>1898</v>
      </c>
      <c r="B4460" s="170"/>
      <c r="C4460" s="170"/>
      <c r="D4460" s="170"/>
      <c r="E4460" s="170"/>
      <c r="F4460" s="171" t="s">
        <v>1885</v>
      </c>
      <c r="G4460" s="597" t="e">
        <f>VLOOKUP(G4463, 'Detail PL'!$B$14:$Q$799,2)</f>
        <v>#N/A</v>
      </c>
      <c r="H4460" s="597"/>
      <c r="I4460" s="597"/>
      <c r="J4460" s="597"/>
      <c r="K4460" s="597"/>
      <c r="L4460" s="597"/>
      <c r="M4460" s="597"/>
      <c r="N4460" s="128"/>
    </row>
    <row r="4461" spans="1:14" s="3" customFormat="1" ht="25.2">
      <c r="A4461" s="127" t="s">
        <v>1899</v>
      </c>
      <c r="B4461" s="170"/>
      <c r="C4461" s="170"/>
      <c r="D4461" s="170"/>
      <c r="E4461" s="170"/>
      <c r="F4461" s="171"/>
      <c r="G4461" s="170"/>
      <c r="H4461" s="170"/>
      <c r="I4461" s="170"/>
      <c r="J4461" s="170"/>
      <c r="K4461" s="170"/>
      <c r="L4461" s="170"/>
      <c r="M4461" s="170"/>
      <c r="N4461" s="128"/>
    </row>
    <row r="4462" spans="1:14" s="3" customFormat="1" ht="9.9" customHeight="1">
      <c r="A4462" s="125"/>
      <c r="B4462" s="123"/>
      <c r="C4462" s="123"/>
      <c r="D4462" s="123"/>
      <c r="E4462" s="123"/>
      <c r="F4462" s="167"/>
      <c r="G4462" s="123"/>
      <c r="H4462" s="123"/>
      <c r="I4462" s="123"/>
      <c r="J4462" s="123"/>
      <c r="K4462" s="123"/>
      <c r="L4462" s="123"/>
      <c r="M4462" s="123"/>
      <c r="N4462" s="126"/>
    </row>
    <row r="4463" spans="1:14" s="3" customFormat="1" ht="25.2">
      <c r="A4463" s="125" t="s">
        <v>1900</v>
      </c>
      <c r="B4463" s="123"/>
      <c r="C4463" s="123"/>
      <c r="D4463" s="123"/>
      <c r="E4463" s="123"/>
      <c r="F4463" s="171" t="s">
        <v>1901</v>
      </c>
      <c r="G4463" s="604">
        <f t="shared" ref="G4463" si="125">G4428+1</f>
        <v>128</v>
      </c>
      <c r="H4463" s="604"/>
      <c r="I4463" s="604"/>
      <c r="J4463" s="604"/>
      <c r="K4463" s="604"/>
      <c r="L4463" s="123"/>
      <c r="M4463" s="123"/>
      <c r="N4463" s="126"/>
    </row>
    <row r="4464" spans="1:14" s="4" customFormat="1" ht="25.2">
      <c r="A4464" s="125" t="s">
        <v>1903</v>
      </c>
      <c r="B4464" s="123"/>
      <c r="C4464" s="123"/>
      <c r="D4464" s="123"/>
      <c r="E4464" s="123"/>
      <c r="F4464" s="167"/>
      <c r="G4464" s="167"/>
      <c r="H4464" s="123"/>
      <c r="I4464" s="123"/>
      <c r="J4464" s="123"/>
      <c r="K4464" s="123"/>
      <c r="L4464" s="123"/>
      <c r="M4464" s="123"/>
      <c r="N4464" s="126"/>
    </row>
    <row r="4465" spans="1:14" s="3" customFormat="1" ht="9.9" customHeight="1">
      <c r="A4465" s="125"/>
      <c r="B4465" s="123"/>
      <c r="C4465" s="123"/>
      <c r="D4465" s="123"/>
      <c r="E4465" s="123"/>
      <c r="F4465" s="167"/>
      <c r="G4465" s="167"/>
      <c r="H4465" s="123"/>
      <c r="I4465" s="123"/>
      <c r="J4465" s="123"/>
      <c r="K4465" s="123"/>
      <c r="L4465" s="123"/>
      <c r="M4465" s="123"/>
      <c r="N4465" s="126"/>
    </row>
    <row r="4466" spans="1:14" s="3" customFormat="1" ht="25.2">
      <c r="A4466" s="125" t="s">
        <v>1904</v>
      </c>
      <c r="B4466" s="123"/>
      <c r="C4466" s="123"/>
      <c r="D4466" s="123"/>
      <c r="E4466" s="123"/>
      <c r="F4466" s="167" t="s">
        <v>1896</v>
      </c>
      <c r="G4466" s="204" t="e">
        <f>VLOOKUP(G4463, 'Detail PL'!$B$14:$Q$799, 10)</f>
        <v>#N/A</v>
      </c>
      <c r="H4466" s="204" t="s">
        <v>1905</v>
      </c>
      <c r="I4466" s="204"/>
      <c r="J4466" s="204"/>
      <c r="K4466" s="123"/>
      <c r="L4466" s="123"/>
      <c r="M4466" s="123"/>
      <c r="N4466" s="126"/>
    </row>
    <row r="4467" spans="1:14" s="4" customFormat="1" ht="25.2">
      <c r="A4467" s="125" t="s">
        <v>1906</v>
      </c>
      <c r="B4467" s="123"/>
      <c r="C4467" s="123"/>
      <c r="D4467" s="123"/>
      <c r="E4467" s="123"/>
      <c r="F4467" s="167"/>
      <c r="G4467" s="167"/>
      <c r="H4467" s="167"/>
      <c r="I4467" s="123"/>
      <c r="J4467" s="123"/>
      <c r="K4467" s="123"/>
      <c r="L4467" s="123"/>
      <c r="M4467" s="123"/>
      <c r="N4467" s="126"/>
    </row>
    <row r="4468" spans="1:14" s="3" customFormat="1" ht="9.9" customHeight="1">
      <c r="A4468" s="125"/>
      <c r="B4468" s="123"/>
      <c r="C4468" s="123"/>
      <c r="D4468" s="123"/>
      <c r="E4468" s="123"/>
      <c r="F4468" s="167"/>
      <c r="G4468" s="167"/>
      <c r="H4468" s="167"/>
      <c r="I4468" s="123"/>
      <c r="J4468" s="123"/>
      <c r="K4468" s="123"/>
      <c r="L4468" s="123"/>
      <c r="M4468" s="123"/>
      <c r="N4468" s="126"/>
    </row>
    <row r="4469" spans="1:14" s="3" customFormat="1" ht="25.2">
      <c r="A4469" s="125" t="s">
        <v>1907</v>
      </c>
      <c r="B4469" s="123"/>
      <c r="C4469" s="123"/>
      <c r="D4469" s="123"/>
      <c r="E4469" s="123"/>
      <c r="F4469" s="167" t="s">
        <v>1896</v>
      </c>
      <c r="G4469" s="204" t="e">
        <f>VLOOKUP(G4463, 'Detail PL'!$B$14:$Q$799, 11)</f>
        <v>#N/A</v>
      </c>
      <c r="H4469" s="204" t="s">
        <v>1905</v>
      </c>
      <c r="I4469" s="204"/>
      <c r="J4469" s="204"/>
      <c r="K4469" s="123"/>
      <c r="L4469" s="123"/>
      <c r="M4469" s="123"/>
      <c r="N4469" s="126"/>
    </row>
    <row r="4470" spans="1:14" s="4" customFormat="1" ht="25.2">
      <c r="A4470" s="125" t="s">
        <v>1908</v>
      </c>
      <c r="B4470" s="123"/>
      <c r="C4470" s="123"/>
      <c r="D4470" s="123"/>
      <c r="E4470" s="123"/>
      <c r="F4470" s="167"/>
      <c r="G4470" s="167"/>
      <c r="H4470" s="123"/>
      <c r="I4470" s="123"/>
      <c r="J4470" s="123"/>
      <c r="K4470" s="123"/>
      <c r="L4470" s="123"/>
      <c r="M4470" s="123"/>
      <c r="N4470" s="126"/>
    </row>
    <row r="4471" spans="1:14" s="3" customFormat="1" ht="9.9" customHeight="1">
      <c r="A4471" s="125"/>
      <c r="B4471" s="123"/>
      <c r="C4471" s="123"/>
      <c r="D4471" s="123"/>
      <c r="E4471" s="123"/>
      <c r="F4471" s="167"/>
      <c r="G4471" s="167"/>
      <c r="H4471" s="123"/>
      <c r="I4471" s="123"/>
      <c r="J4471" s="123"/>
      <c r="K4471" s="123"/>
      <c r="L4471" s="123"/>
      <c r="M4471" s="123"/>
      <c r="N4471" s="126"/>
    </row>
    <row r="4472" spans="1:14" s="3" customFormat="1" ht="25.2">
      <c r="A4472" s="129" t="s">
        <v>1909</v>
      </c>
      <c r="B4472" s="123"/>
      <c r="C4472" s="123"/>
      <c r="D4472" s="123"/>
      <c r="E4472" s="123"/>
      <c r="F4472" s="167" t="s">
        <v>1896</v>
      </c>
      <c r="G4472" s="204" t="e">
        <f>VLOOKUP(G4463, 'Detail PL'!$B$14:$Q$799, 9)</f>
        <v>#N/A</v>
      </c>
      <c r="H4472" s="205" t="s">
        <v>1910</v>
      </c>
      <c r="I4472" s="203"/>
      <c r="J4472" s="203"/>
      <c r="K4472" s="172"/>
      <c r="L4472" s="123"/>
      <c r="M4472" s="123"/>
      <c r="N4472" s="126"/>
    </row>
    <row r="4473" spans="1:14" s="4" customFormat="1" ht="25.2">
      <c r="A4473" s="125" t="s">
        <v>1911</v>
      </c>
      <c r="B4473" s="123"/>
      <c r="C4473" s="123"/>
      <c r="D4473" s="123"/>
      <c r="E4473" s="123"/>
      <c r="F4473" s="167"/>
      <c r="G4473" s="167"/>
      <c r="H4473" s="123"/>
      <c r="I4473" s="123"/>
      <c r="J4473" s="123"/>
      <c r="K4473" s="123"/>
      <c r="L4473" s="123"/>
      <c r="M4473" s="123"/>
      <c r="N4473" s="126"/>
    </row>
    <row r="4474" spans="1:14" s="3" customFormat="1" ht="9.9" customHeight="1">
      <c r="A4474" s="125"/>
      <c r="B4474" s="123"/>
      <c r="C4474" s="123"/>
      <c r="D4474" s="123"/>
      <c r="E4474" s="123"/>
      <c r="F4474" s="167"/>
      <c r="G4474" s="167"/>
      <c r="H4474" s="123"/>
      <c r="I4474" s="123"/>
      <c r="J4474" s="123"/>
      <c r="K4474" s="123"/>
      <c r="L4474" s="123"/>
      <c r="M4474" s="123"/>
      <c r="N4474" s="126"/>
    </row>
    <row r="4475" spans="1:14" s="3" customFormat="1" ht="42" customHeight="1">
      <c r="A4475" s="125" t="s">
        <v>1912</v>
      </c>
      <c r="B4475" s="123"/>
      <c r="C4475" s="123"/>
      <c r="D4475" s="123"/>
      <c r="E4475" s="123"/>
      <c r="F4475" s="166" t="s">
        <v>1913</v>
      </c>
      <c r="G4475" s="595" t="s">
        <v>1914</v>
      </c>
      <c r="H4475" s="595"/>
      <c r="I4475" s="595"/>
      <c r="J4475" s="595"/>
      <c r="K4475" s="595"/>
      <c r="L4475" s="595"/>
      <c r="M4475" s="595"/>
      <c r="N4475" s="596"/>
    </row>
    <row r="4476" spans="1:14" s="4" customFormat="1" ht="25.8" thickBot="1">
      <c r="A4476" s="125" t="s">
        <v>1915</v>
      </c>
      <c r="B4476" s="123"/>
      <c r="C4476" s="123"/>
      <c r="D4476" s="123"/>
      <c r="E4476" s="123"/>
      <c r="F4476" s="167"/>
      <c r="G4476" s="167"/>
      <c r="H4476" s="123"/>
      <c r="I4476" s="123"/>
      <c r="J4476" s="123"/>
      <c r="K4476" s="123"/>
      <c r="L4476" s="123"/>
      <c r="M4476" s="123"/>
      <c r="N4476" s="126"/>
    </row>
    <row r="4477" spans="1:14" ht="21" customHeight="1">
      <c r="A4477" s="598" t="s">
        <v>1916</v>
      </c>
      <c r="B4477" s="599"/>
      <c r="C4477" s="599"/>
      <c r="D4477" s="599"/>
      <c r="E4477" s="599"/>
      <c r="F4477" s="599"/>
      <c r="G4477" s="599"/>
      <c r="H4477" s="599"/>
      <c r="I4477" s="599"/>
      <c r="J4477" s="599"/>
      <c r="K4477" s="599"/>
      <c r="L4477" s="599"/>
      <c r="M4477" s="599"/>
      <c r="N4477" s="600"/>
    </row>
    <row r="4478" spans="1:14" ht="25.5" customHeight="1" thickBot="1">
      <c r="A4478" s="601"/>
      <c r="B4478" s="602"/>
      <c r="C4478" s="602"/>
      <c r="D4478" s="602"/>
      <c r="E4478" s="602"/>
      <c r="F4478" s="602"/>
      <c r="G4478" s="602"/>
      <c r="H4478" s="602"/>
      <c r="I4478" s="602"/>
      <c r="J4478" s="602"/>
      <c r="K4478" s="602"/>
      <c r="L4478" s="602"/>
      <c r="M4478" s="602"/>
      <c r="N4478" s="603"/>
    </row>
    <row r="4479" spans="1:14" ht="25.5" customHeight="1">
      <c r="E4479" s="206"/>
      <c r="F4479" s="206"/>
      <c r="G4479" s="206"/>
      <c r="H4479" s="206"/>
      <c r="I4479" s="206"/>
      <c r="J4479" s="206"/>
      <c r="K4479" s="206"/>
    </row>
  </sheetData>
  <protectedRanges>
    <protectedRange sqref="G15 G21 G27 G24 G50 G56 G62 G59 G85 G120 G155 G190 G225 G260 G295 G330 G365 G400 G435 G470 G505 G540 G575 G610 G645 G680 G715 G750 G785 G820 G855 G890 G925 G960 G995 G1030 G1065 G1100 G1135 G1170 G1205 G1240 G1275 G1310 G1345 G1380 G1415 G1450 G1485 G1520 G1555 G1590 G1625 G1660 G1695 G1730 G1765 G1800 G1835 G1870 G1905 G1940 G1975 G2010 G2045 G2080 G2115 G2150 G2185 G2220 G2255 G2290 G2325 G2360 G2395 G2430 G2465 G2500 G2535 G2570 G2605 G2640 G2675 G2710 G2745 G2780 G2815 G2850 G2885 G2920 G2955 G2990 G3025 G3060 G3095 G3130 G3165 G3200 G3235 G3270 G3305 G3340 G3375 G3410 G3445 G3480 G3515 G3550 G3585 G3620 G3655 G3690 G3725 G3760 G3795 G3830 G3865 G3900 G3935 G3970 G4005 G4040 G4075 G4110 G4145 G4180 G4215 G4250 G4285 G4320 G4355 G4390 G4425 G4460 G91 G126 G161 G196 G231 G266 G301 G336 G371 G406 G441 G476 G511 G546 G581 G616 G651 G686 G721 G756 G791 G826 G861 G896 G931 G966 G1001 G1036 G1071 G1106 G1141 G1176 G1211 G1246 G1281 G1316 G1351 G1386 G1421 G1456 G1491 G1526 G1561 G1596 G1631 G1666 G1701 G1736 G1771 G1806 G1841 G1876 G1911 G1946 G1981 G2016 G2051 G2086 G2121 G2156 G2191 G2226 G2261 G2296 G2331 G2366 G2401 G2436 G2471 G2506 G2541 G2576 G2611 G2646 G2681 G2716 G2751 G2786 G2821 G2856 G2891 G2926 G2961 G2996 G3031 G3066 G3101 G3136 G3171 G3206 G3241 G3276 G3311 G3346 G3381 G3416 G3451 G3486 G3521 G3556 G3591 G3626 G3661 G3696 G3731 G3766 G3801 G3836 G3871 G3906 G3941 G3976 G4011 G4046 G4081 G4116 G4151 G4186 G4221 G4256 G4291 G4326 G4361 G4396 G4431 G4466 G97 G132 G167 G202 G237 G272 G307 G342 G377 G412 G447 G482 G517 G552 G587 G622 G657 G692 G727 G762 G797 G832 G867 G902 G937 G972 G1007 G1042 G1077 G1112 G1147 G1182 G1217 G1252 G1287 G1322 G1357 G1392 G1427 G1462 G1497 G1532 G1567 G1602 G1637 G1672 G1707 G1742 G1777 G1812 G1847 G1882 G1917 G1952 G1987 G2022 G2057 G2092 G2127 G2162 G2197 G2232 G2267 G2302 G2337 G2372 G2407 G2442 G2477 G2512 G2547 G2582 G2617 G2652 G2687 G2722 G2757 G2792 G2827 G2862 G2897 G2932 G2967 G3002 G3037 G3072 G3107 G3142 G3177 G3212 G3247 G3282 G3317 G3352 G3387 G3422 G3457 G3492 G3527 G3562 G3597 G3632 G3667 G3702 G3737 G3772 G3807 G3842 G3877 G3912 G3947 G3982 G4017 G4052 G4087 G4122 G4157 G4192 G4227 G4262 G4297 G4332 G4367 G4402 G4437 G4472 G94 G129 G164 G199 G234 G269 G304 G339 G374 G409 G444 G479 G514 G549 G584 G619 G654 G689 G724 G759 G794 G829 G864 G899 G934 G969 G1004 G1039 G1074 G1109 G1144 G1179 G1214 G1249 G1284 G1319 G1354 G1389 G1424 G1459 G1494 G1529 G1564 G1599 G1634 G1669 G1704 G1739 G1774 G1809 G1844 G1879 G1914 G1949 G1984 G2019 G2054 G2089 G2124 G2159 G2194 G2229 G2264 G2299 G2334 G2369 G2404 G2439 G2474 G2509 G2544 G2579 G2614 G2649 G2684 G2719 G2754 G2789 G2824 G2859 G2894 G2929 G2964 G2999 G3034 G3069 G3104 G3139 G3174 G3209 G3244 G3279 G3314 G3349 G3384 G3419 G3454 G3489 G3524 G3559 G3594 G3629 G3664 G3699 G3734 G3769 G3804 G3839 G3874 G3909 G3944 G3979 G4014 G4049 G4084 G4119 G4154 G4189 G4224 G4259 G4294 G4329 G4364 G4399 G4434 G4469" name="범위1_1"/>
  </protectedRanges>
  <mergeCells count="640">
    <mergeCell ref="A106:N106"/>
    <mergeCell ref="G135:N135"/>
    <mergeCell ref="A1:N1"/>
    <mergeCell ref="G30:N30"/>
    <mergeCell ref="A71:N71"/>
    <mergeCell ref="G100:N100"/>
    <mergeCell ref="A36:N36"/>
    <mergeCell ref="G65:N65"/>
    <mergeCell ref="G50:M50"/>
    <mergeCell ref="G15:M15"/>
    <mergeCell ref="G85:M85"/>
    <mergeCell ref="G120:M120"/>
    <mergeCell ref="A32:N33"/>
    <mergeCell ref="A67:N68"/>
    <mergeCell ref="A102:N103"/>
    <mergeCell ref="G18:K18"/>
    <mergeCell ref="G53:K53"/>
    <mergeCell ref="G88:K88"/>
    <mergeCell ref="G123:K123"/>
    <mergeCell ref="A137:N138"/>
    <mergeCell ref="A176:N176"/>
    <mergeCell ref="G205:N205"/>
    <mergeCell ref="A141:N141"/>
    <mergeCell ref="G170:N170"/>
    <mergeCell ref="G155:M155"/>
    <mergeCell ref="G190:M190"/>
    <mergeCell ref="A172:N173"/>
    <mergeCell ref="G158:K158"/>
    <mergeCell ref="G193:K193"/>
    <mergeCell ref="A207:N208"/>
    <mergeCell ref="A246:N246"/>
    <mergeCell ref="G275:N275"/>
    <mergeCell ref="A211:N211"/>
    <mergeCell ref="G240:N240"/>
    <mergeCell ref="G225:M225"/>
    <mergeCell ref="G260:M260"/>
    <mergeCell ref="A242:N243"/>
    <mergeCell ref="G228:K228"/>
    <mergeCell ref="G263:K263"/>
    <mergeCell ref="A277:N278"/>
    <mergeCell ref="A316:N316"/>
    <mergeCell ref="G345:N345"/>
    <mergeCell ref="A281:N281"/>
    <mergeCell ref="G310:N310"/>
    <mergeCell ref="G295:M295"/>
    <mergeCell ref="G330:M330"/>
    <mergeCell ref="A312:N313"/>
    <mergeCell ref="G298:K298"/>
    <mergeCell ref="G333:K333"/>
    <mergeCell ref="A347:N348"/>
    <mergeCell ref="A386:N386"/>
    <mergeCell ref="G415:N415"/>
    <mergeCell ref="A351:N351"/>
    <mergeCell ref="G380:N380"/>
    <mergeCell ref="G365:M365"/>
    <mergeCell ref="G400:M400"/>
    <mergeCell ref="A382:N383"/>
    <mergeCell ref="G368:K368"/>
    <mergeCell ref="G403:K403"/>
    <mergeCell ref="A417:N418"/>
    <mergeCell ref="A456:N456"/>
    <mergeCell ref="G485:N485"/>
    <mergeCell ref="A421:N421"/>
    <mergeCell ref="G450:N450"/>
    <mergeCell ref="G435:M435"/>
    <mergeCell ref="G470:M470"/>
    <mergeCell ref="A452:N453"/>
    <mergeCell ref="G438:K438"/>
    <mergeCell ref="G473:K473"/>
    <mergeCell ref="A487:N488"/>
    <mergeCell ref="A526:N526"/>
    <mergeCell ref="G555:N555"/>
    <mergeCell ref="A491:N491"/>
    <mergeCell ref="G520:N520"/>
    <mergeCell ref="G505:M505"/>
    <mergeCell ref="G540:M540"/>
    <mergeCell ref="A522:N523"/>
    <mergeCell ref="G508:K508"/>
    <mergeCell ref="G543:K543"/>
    <mergeCell ref="A557:N558"/>
    <mergeCell ref="A596:N596"/>
    <mergeCell ref="G625:N625"/>
    <mergeCell ref="A561:N561"/>
    <mergeCell ref="G590:N590"/>
    <mergeCell ref="G575:M575"/>
    <mergeCell ref="G610:M610"/>
    <mergeCell ref="A592:N593"/>
    <mergeCell ref="G578:K578"/>
    <mergeCell ref="G613:K613"/>
    <mergeCell ref="A627:N628"/>
    <mergeCell ref="A666:N666"/>
    <mergeCell ref="G695:N695"/>
    <mergeCell ref="A631:N631"/>
    <mergeCell ref="G660:N660"/>
    <mergeCell ref="G645:M645"/>
    <mergeCell ref="G680:M680"/>
    <mergeCell ref="A662:N663"/>
    <mergeCell ref="G648:K648"/>
    <mergeCell ref="G683:K683"/>
    <mergeCell ref="A697:N698"/>
    <mergeCell ref="A736:N736"/>
    <mergeCell ref="G765:N765"/>
    <mergeCell ref="A701:N701"/>
    <mergeCell ref="G730:N730"/>
    <mergeCell ref="G715:M715"/>
    <mergeCell ref="G750:M750"/>
    <mergeCell ref="A732:N733"/>
    <mergeCell ref="G718:K718"/>
    <mergeCell ref="G753:K753"/>
    <mergeCell ref="A767:N768"/>
    <mergeCell ref="A806:N806"/>
    <mergeCell ref="G835:N835"/>
    <mergeCell ref="A771:N771"/>
    <mergeCell ref="G800:N800"/>
    <mergeCell ref="G785:M785"/>
    <mergeCell ref="G820:M820"/>
    <mergeCell ref="A802:N803"/>
    <mergeCell ref="G788:K788"/>
    <mergeCell ref="G823:K823"/>
    <mergeCell ref="A837:N838"/>
    <mergeCell ref="A876:N876"/>
    <mergeCell ref="G905:N905"/>
    <mergeCell ref="A841:N841"/>
    <mergeCell ref="G870:N870"/>
    <mergeCell ref="G855:M855"/>
    <mergeCell ref="G890:M890"/>
    <mergeCell ref="A872:N873"/>
    <mergeCell ref="G858:K858"/>
    <mergeCell ref="G893:K893"/>
    <mergeCell ref="A907:N908"/>
    <mergeCell ref="A946:N946"/>
    <mergeCell ref="G975:N975"/>
    <mergeCell ref="A911:N911"/>
    <mergeCell ref="G940:N940"/>
    <mergeCell ref="G925:M925"/>
    <mergeCell ref="G960:M960"/>
    <mergeCell ref="A942:N943"/>
    <mergeCell ref="G928:K928"/>
    <mergeCell ref="G963:K963"/>
    <mergeCell ref="A977:N978"/>
    <mergeCell ref="A1016:N1016"/>
    <mergeCell ref="G1045:N1045"/>
    <mergeCell ref="A981:N981"/>
    <mergeCell ref="G1010:N1010"/>
    <mergeCell ref="G995:M995"/>
    <mergeCell ref="G1030:M1030"/>
    <mergeCell ref="A1012:N1013"/>
    <mergeCell ref="G998:K998"/>
    <mergeCell ref="G1033:K1033"/>
    <mergeCell ref="A1047:N1048"/>
    <mergeCell ref="A1086:N1086"/>
    <mergeCell ref="G1115:N1115"/>
    <mergeCell ref="A1051:N1051"/>
    <mergeCell ref="G1080:N1080"/>
    <mergeCell ref="G1065:M1065"/>
    <mergeCell ref="G1100:M1100"/>
    <mergeCell ref="A1082:N1083"/>
    <mergeCell ref="G1068:K1068"/>
    <mergeCell ref="G1103:K1103"/>
    <mergeCell ref="A1117:N1118"/>
    <mergeCell ref="A1156:N1156"/>
    <mergeCell ref="G1185:N1185"/>
    <mergeCell ref="A1121:N1121"/>
    <mergeCell ref="G1150:N1150"/>
    <mergeCell ref="G1135:M1135"/>
    <mergeCell ref="G1170:M1170"/>
    <mergeCell ref="A1152:N1153"/>
    <mergeCell ref="G1138:K1138"/>
    <mergeCell ref="G1173:K1173"/>
    <mergeCell ref="A1187:N1188"/>
    <mergeCell ref="A1226:N1226"/>
    <mergeCell ref="G1255:N1255"/>
    <mergeCell ref="A1191:N1191"/>
    <mergeCell ref="G1220:N1220"/>
    <mergeCell ref="G1205:M1205"/>
    <mergeCell ref="G1240:M1240"/>
    <mergeCell ref="A1222:N1223"/>
    <mergeCell ref="G1208:K1208"/>
    <mergeCell ref="G1243:K1243"/>
    <mergeCell ref="A1257:N1258"/>
    <mergeCell ref="A1296:N1296"/>
    <mergeCell ref="G1325:N1325"/>
    <mergeCell ref="A1261:N1261"/>
    <mergeCell ref="G1290:N1290"/>
    <mergeCell ref="G1275:M1275"/>
    <mergeCell ref="G1310:M1310"/>
    <mergeCell ref="A1292:N1293"/>
    <mergeCell ref="G1278:K1278"/>
    <mergeCell ref="G1313:K1313"/>
    <mergeCell ref="A1327:N1328"/>
    <mergeCell ref="A1366:N1366"/>
    <mergeCell ref="G1395:N1395"/>
    <mergeCell ref="A1331:N1331"/>
    <mergeCell ref="G1360:N1360"/>
    <mergeCell ref="G1345:M1345"/>
    <mergeCell ref="G1380:M1380"/>
    <mergeCell ref="A1362:N1363"/>
    <mergeCell ref="G1348:K1348"/>
    <mergeCell ref="G1383:K1383"/>
    <mergeCell ref="A1397:N1398"/>
    <mergeCell ref="A1436:N1436"/>
    <mergeCell ref="G1465:N1465"/>
    <mergeCell ref="A1401:N1401"/>
    <mergeCell ref="G1430:N1430"/>
    <mergeCell ref="G1415:M1415"/>
    <mergeCell ref="G1450:M1450"/>
    <mergeCell ref="A1432:N1433"/>
    <mergeCell ref="G1418:K1418"/>
    <mergeCell ref="G1453:K1453"/>
    <mergeCell ref="A1467:N1468"/>
    <mergeCell ref="A1506:N1506"/>
    <mergeCell ref="G1535:N1535"/>
    <mergeCell ref="A1471:N1471"/>
    <mergeCell ref="G1500:N1500"/>
    <mergeCell ref="G1485:M1485"/>
    <mergeCell ref="G1520:M1520"/>
    <mergeCell ref="A1502:N1503"/>
    <mergeCell ref="G1488:K1488"/>
    <mergeCell ref="G1523:K1523"/>
    <mergeCell ref="A1537:N1538"/>
    <mergeCell ref="A1576:N1576"/>
    <mergeCell ref="G1605:N1605"/>
    <mergeCell ref="A1541:N1541"/>
    <mergeCell ref="G1570:N1570"/>
    <mergeCell ref="G1555:M1555"/>
    <mergeCell ref="G1590:M1590"/>
    <mergeCell ref="A1572:N1573"/>
    <mergeCell ref="G1558:K1558"/>
    <mergeCell ref="G1593:K1593"/>
    <mergeCell ref="A1607:N1608"/>
    <mergeCell ref="A1646:N1646"/>
    <mergeCell ref="G1675:N1675"/>
    <mergeCell ref="A1611:N1611"/>
    <mergeCell ref="G1640:N1640"/>
    <mergeCell ref="G1625:M1625"/>
    <mergeCell ref="G1660:M1660"/>
    <mergeCell ref="A1642:N1643"/>
    <mergeCell ref="G1628:K1628"/>
    <mergeCell ref="G1663:K1663"/>
    <mergeCell ref="A1677:N1678"/>
    <mergeCell ref="A1716:N1716"/>
    <mergeCell ref="G1745:N1745"/>
    <mergeCell ref="A1681:N1681"/>
    <mergeCell ref="G1710:N1710"/>
    <mergeCell ref="G1695:M1695"/>
    <mergeCell ref="G1730:M1730"/>
    <mergeCell ref="A1712:N1713"/>
    <mergeCell ref="G1698:K1698"/>
    <mergeCell ref="G1733:K1733"/>
    <mergeCell ref="A1747:N1748"/>
    <mergeCell ref="A1786:N1786"/>
    <mergeCell ref="G1815:N1815"/>
    <mergeCell ref="A1751:N1751"/>
    <mergeCell ref="G1780:N1780"/>
    <mergeCell ref="G1765:M1765"/>
    <mergeCell ref="G1800:M1800"/>
    <mergeCell ref="A1782:N1783"/>
    <mergeCell ref="G1768:K1768"/>
    <mergeCell ref="G1803:K1803"/>
    <mergeCell ref="A1817:N1818"/>
    <mergeCell ref="A1856:N1856"/>
    <mergeCell ref="G1885:N1885"/>
    <mergeCell ref="A1821:N1821"/>
    <mergeCell ref="G1850:N1850"/>
    <mergeCell ref="G1835:M1835"/>
    <mergeCell ref="G1870:M1870"/>
    <mergeCell ref="A1852:N1853"/>
    <mergeCell ref="G1838:K1838"/>
    <mergeCell ref="G1873:K1873"/>
    <mergeCell ref="A1887:N1888"/>
    <mergeCell ref="A1926:N1926"/>
    <mergeCell ref="G1955:N1955"/>
    <mergeCell ref="A1891:N1891"/>
    <mergeCell ref="G1920:N1920"/>
    <mergeCell ref="G1905:M1905"/>
    <mergeCell ref="G1940:M1940"/>
    <mergeCell ref="A1922:N1923"/>
    <mergeCell ref="G1908:K1908"/>
    <mergeCell ref="G1943:K1943"/>
    <mergeCell ref="A1957:N1958"/>
    <mergeCell ref="A1996:N1996"/>
    <mergeCell ref="G2025:N2025"/>
    <mergeCell ref="A1961:N1961"/>
    <mergeCell ref="G1990:N1990"/>
    <mergeCell ref="G1975:M1975"/>
    <mergeCell ref="G2010:M2010"/>
    <mergeCell ref="A1992:N1993"/>
    <mergeCell ref="G1978:K1978"/>
    <mergeCell ref="G2013:K2013"/>
    <mergeCell ref="A2027:N2028"/>
    <mergeCell ref="A2066:N2066"/>
    <mergeCell ref="G2095:N2095"/>
    <mergeCell ref="A2031:N2031"/>
    <mergeCell ref="G2060:N2060"/>
    <mergeCell ref="G2045:M2045"/>
    <mergeCell ref="G2080:M2080"/>
    <mergeCell ref="A2062:N2063"/>
    <mergeCell ref="G2048:K2048"/>
    <mergeCell ref="G2083:K2083"/>
    <mergeCell ref="A2097:N2098"/>
    <mergeCell ref="A2136:N2136"/>
    <mergeCell ref="G2165:N2165"/>
    <mergeCell ref="A2101:N2101"/>
    <mergeCell ref="G2130:N2130"/>
    <mergeCell ref="G2115:M2115"/>
    <mergeCell ref="G2150:M2150"/>
    <mergeCell ref="A2132:N2133"/>
    <mergeCell ref="G2118:K2118"/>
    <mergeCell ref="G2153:K2153"/>
    <mergeCell ref="A2167:N2168"/>
    <mergeCell ref="A2206:N2206"/>
    <mergeCell ref="G2235:N2235"/>
    <mergeCell ref="A2171:N2171"/>
    <mergeCell ref="G2200:N2200"/>
    <mergeCell ref="G2185:M2185"/>
    <mergeCell ref="G2220:M2220"/>
    <mergeCell ref="A2202:N2203"/>
    <mergeCell ref="G2188:K2188"/>
    <mergeCell ref="G2223:K2223"/>
    <mergeCell ref="A2377:N2378"/>
    <mergeCell ref="A2237:N2238"/>
    <mergeCell ref="A2276:N2276"/>
    <mergeCell ref="G2305:N2305"/>
    <mergeCell ref="A2241:N2241"/>
    <mergeCell ref="G2270:N2270"/>
    <mergeCell ref="G2255:M2255"/>
    <mergeCell ref="G2290:M2290"/>
    <mergeCell ref="A2272:N2273"/>
    <mergeCell ref="A2307:N2308"/>
    <mergeCell ref="A2346:N2346"/>
    <mergeCell ref="G2375:N2375"/>
    <mergeCell ref="A2311:N2311"/>
    <mergeCell ref="G2340:N2340"/>
    <mergeCell ref="G2325:M2325"/>
    <mergeCell ref="G2360:M2360"/>
    <mergeCell ref="A2342:N2343"/>
    <mergeCell ref="G2258:K2258"/>
    <mergeCell ref="G2293:K2293"/>
    <mergeCell ref="G2328:K2328"/>
    <mergeCell ref="G2363:K2363"/>
    <mergeCell ref="A2657:N2658"/>
    <mergeCell ref="A2556:N2556"/>
    <mergeCell ref="G2585:N2585"/>
    <mergeCell ref="A2521:N2521"/>
    <mergeCell ref="G2550:N2550"/>
    <mergeCell ref="G2535:M2535"/>
    <mergeCell ref="G2570:M2570"/>
    <mergeCell ref="A2552:N2553"/>
    <mergeCell ref="A2587:N2588"/>
    <mergeCell ref="A2626:N2626"/>
    <mergeCell ref="G2655:N2655"/>
    <mergeCell ref="A2591:N2591"/>
    <mergeCell ref="G2620:N2620"/>
    <mergeCell ref="G2605:M2605"/>
    <mergeCell ref="G2640:M2640"/>
    <mergeCell ref="A2622:N2623"/>
    <mergeCell ref="G2538:K2538"/>
    <mergeCell ref="G2573:K2573"/>
    <mergeCell ref="G2608:K2608"/>
    <mergeCell ref="G2643:K2643"/>
    <mergeCell ref="A2797:N2798"/>
    <mergeCell ref="A2696:N2696"/>
    <mergeCell ref="G2725:N2725"/>
    <mergeCell ref="A2661:N2661"/>
    <mergeCell ref="G2690:N2690"/>
    <mergeCell ref="G2675:M2675"/>
    <mergeCell ref="G2710:M2710"/>
    <mergeCell ref="A2692:N2693"/>
    <mergeCell ref="A2727:N2728"/>
    <mergeCell ref="A2766:N2766"/>
    <mergeCell ref="G2795:N2795"/>
    <mergeCell ref="A2731:N2731"/>
    <mergeCell ref="G2760:N2760"/>
    <mergeCell ref="G2745:M2745"/>
    <mergeCell ref="G2780:M2780"/>
    <mergeCell ref="A2762:N2763"/>
    <mergeCell ref="G2678:K2678"/>
    <mergeCell ref="G2713:K2713"/>
    <mergeCell ref="G2748:K2748"/>
    <mergeCell ref="G2783:K2783"/>
    <mergeCell ref="A2937:N2938"/>
    <mergeCell ref="A2836:N2836"/>
    <mergeCell ref="G2865:N2865"/>
    <mergeCell ref="A2801:N2801"/>
    <mergeCell ref="G2830:N2830"/>
    <mergeCell ref="G2815:M2815"/>
    <mergeCell ref="G2850:M2850"/>
    <mergeCell ref="A2832:N2833"/>
    <mergeCell ref="A2867:N2868"/>
    <mergeCell ref="A2906:N2906"/>
    <mergeCell ref="G2935:N2935"/>
    <mergeCell ref="A2871:N2871"/>
    <mergeCell ref="G2900:N2900"/>
    <mergeCell ref="G2885:M2885"/>
    <mergeCell ref="G2920:M2920"/>
    <mergeCell ref="A2902:N2903"/>
    <mergeCell ref="G2818:K2818"/>
    <mergeCell ref="G2853:K2853"/>
    <mergeCell ref="G2888:K2888"/>
    <mergeCell ref="G2923:K2923"/>
    <mergeCell ref="A3077:N3078"/>
    <mergeCell ref="A2976:N2976"/>
    <mergeCell ref="G3005:N3005"/>
    <mergeCell ref="A2941:N2941"/>
    <mergeCell ref="G2970:N2970"/>
    <mergeCell ref="G2955:M2955"/>
    <mergeCell ref="G2990:M2990"/>
    <mergeCell ref="A2972:N2973"/>
    <mergeCell ref="A3007:N3008"/>
    <mergeCell ref="A3046:N3046"/>
    <mergeCell ref="G3075:N3075"/>
    <mergeCell ref="A3011:N3011"/>
    <mergeCell ref="G3040:N3040"/>
    <mergeCell ref="G3025:M3025"/>
    <mergeCell ref="G3060:M3060"/>
    <mergeCell ref="A3042:N3043"/>
    <mergeCell ref="G2958:K2958"/>
    <mergeCell ref="G2993:K2993"/>
    <mergeCell ref="G3028:K3028"/>
    <mergeCell ref="G3063:K3063"/>
    <mergeCell ref="A3217:N3218"/>
    <mergeCell ref="A3116:N3116"/>
    <mergeCell ref="G3145:N3145"/>
    <mergeCell ref="A3081:N3081"/>
    <mergeCell ref="G3110:N3110"/>
    <mergeCell ref="G3095:M3095"/>
    <mergeCell ref="G3130:M3130"/>
    <mergeCell ref="A3112:N3113"/>
    <mergeCell ref="A3147:N3148"/>
    <mergeCell ref="A3186:N3186"/>
    <mergeCell ref="G3215:N3215"/>
    <mergeCell ref="A3151:N3151"/>
    <mergeCell ref="G3180:N3180"/>
    <mergeCell ref="G3165:M3165"/>
    <mergeCell ref="G3200:M3200"/>
    <mergeCell ref="A3182:N3183"/>
    <mergeCell ref="G3098:K3098"/>
    <mergeCell ref="G3133:K3133"/>
    <mergeCell ref="G3168:K3168"/>
    <mergeCell ref="G3203:K3203"/>
    <mergeCell ref="A3357:N3358"/>
    <mergeCell ref="A3256:N3256"/>
    <mergeCell ref="G3285:N3285"/>
    <mergeCell ref="A3221:N3221"/>
    <mergeCell ref="G3250:N3250"/>
    <mergeCell ref="G3235:M3235"/>
    <mergeCell ref="G3270:M3270"/>
    <mergeCell ref="A3252:N3253"/>
    <mergeCell ref="A3287:N3288"/>
    <mergeCell ref="A3326:N3326"/>
    <mergeCell ref="G3355:N3355"/>
    <mergeCell ref="A3291:N3291"/>
    <mergeCell ref="G3320:N3320"/>
    <mergeCell ref="G3305:M3305"/>
    <mergeCell ref="G3340:M3340"/>
    <mergeCell ref="A3322:N3323"/>
    <mergeCell ref="G3238:K3238"/>
    <mergeCell ref="G3273:K3273"/>
    <mergeCell ref="G3308:K3308"/>
    <mergeCell ref="G3343:K3343"/>
    <mergeCell ref="A3497:N3498"/>
    <mergeCell ref="A3396:N3396"/>
    <mergeCell ref="G3425:N3425"/>
    <mergeCell ref="A3361:N3361"/>
    <mergeCell ref="G3390:N3390"/>
    <mergeCell ref="G3375:M3375"/>
    <mergeCell ref="G3410:M3410"/>
    <mergeCell ref="A3392:N3393"/>
    <mergeCell ref="A3427:N3428"/>
    <mergeCell ref="A3466:N3466"/>
    <mergeCell ref="G3495:N3495"/>
    <mergeCell ref="A3431:N3431"/>
    <mergeCell ref="G3460:N3460"/>
    <mergeCell ref="G3445:M3445"/>
    <mergeCell ref="G3480:M3480"/>
    <mergeCell ref="A3462:N3463"/>
    <mergeCell ref="G3378:K3378"/>
    <mergeCell ref="G3413:K3413"/>
    <mergeCell ref="G3448:K3448"/>
    <mergeCell ref="G3483:K3483"/>
    <mergeCell ref="A3637:N3638"/>
    <mergeCell ref="A3536:N3536"/>
    <mergeCell ref="G3565:N3565"/>
    <mergeCell ref="A3501:N3501"/>
    <mergeCell ref="G3530:N3530"/>
    <mergeCell ref="G3515:M3515"/>
    <mergeCell ref="G3550:M3550"/>
    <mergeCell ref="G3518:K3518"/>
    <mergeCell ref="A3532:N3533"/>
    <mergeCell ref="G3553:K3553"/>
    <mergeCell ref="A3567:N3568"/>
    <mergeCell ref="A3606:N3606"/>
    <mergeCell ref="G3635:N3635"/>
    <mergeCell ref="A3571:N3571"/>
    <mergeCell ref="G3600:N3600"/>
    <mergeCell ref="G3585:M3585"/>
    <mergeCell ref="G3620:M3620"/>
    <mergeCell ref="G3588:K3588"/>
    <mergeCell ref="A3602:N3603"/>
    <mergeCell ref="G3623:K3623"/>
    <mergeCell ref="A3777:N3778"/>
    <mergeCell ref="A3676:N3676"/>
    <mergeCell ref="G3705:N3705"/>
    <mergeCell ref="A3641:N3641"/>
    <mergeCell ref="G3670:N3670"/>
    <mergeCell ref="G3655:M3655"/>
    <mergeCell ref="G3690:M3690"/>
    <mergeCell ref="G3658:K3658"/>
    <mergeCell ref="A3672:N3673"/>
    <mergeCell ref="G3693:K3693"/>
    <mergeCell ref="A3707:N3708"/>
    <mergeCell ref="A3746:N3746"/>
    <mergeCell ref="G3775:N3775"/>
    <mergeCell ref="A3711:N3711"/>
    <mergeCell ref="G3740:N3740"/>
    <mergeCell ref="G3725:M3725"/>
    <mergeCell ref="G3760:M3760"/>
    <mergeCell ref="G3728:K3728"/>
    <mergeCell ref="A3742:N3743"/>
    <mergeCell ref="G3763:K3763"/>
    <mergeCell ref="A3917:N3918"/>
    <mergeCell ref="A3816:N3816"/>
    <mergeCell ref="G3845:N3845"/>
    <mergeCell ref="A3781:N3781"/>
    <mergeCell ref="G3810:N3810"/>
    <mergeCell ref="G3795:M3795"/>
    <mergeCell ref="G3830:M3830"/>
    <mergeCell ref="G3798:K3798"/>
    <mergeCell ref="A3812:N3813"/>
    <mergeCell ref="G3833:K3833"/>
    <mergeCell ref="A3847:N3848"/>
    <mergeCell ref="A3886:N3886"/>
    <mergeCell ref="G3915:N3915"/>
    <mergeCell ref="A3851:N3851"/>
    <mergeCell ref="G3880:N3880"/>
    <mergeCell ref="G3865:M3865"/>
    <mergeCell ref="G3900:M3900"/>
    <mergeCell ref="G3868:K3868"/>
    <mergeCell ref="A3882:N3883"/>
    <mergeCell ref="G3903:K3903"/>
    <mergeCell ref="A4057:N4058"/>
    <mergeCell ref="A3956:N3956"/>
    <mergeCell ref="G3985:N3985"/>
    <mergeCell ref="A3921:N3921"/>
    <mergeCell ref="G3950:N3950"/>
    <mergeCell ref="G3935:M3935"/>
    <mergeCell ref="G3970:M3970"/>
    <mergeCell ref="G3938:K3938"/>
    <mergeCell ref="A3952:N3953"/>
    <mergeCell ref="G3973:K3973"/>
    <mergeCell ref="A3987:N3988"/>
    <mergeCell ref="A4026:N4026"/>
    <mergeCell ref="G4055:N4055"/>
    <mergeCell ref="A3991:N3991"/>
    <mergeCell ref="G4020:N4020"/>
    <mergeCell ref="G4005:M4005"/>
    <mergeCell ref="G4040:M4040"/>
    <mergeCell ref="G4008:K4008"/>
    <mergeCell ref="A4022:N4023"/>
    <mergeCell ref="G4043:K4043"/>
    <mergeCell ref="A4197:N4198"/>
    <mergeCell ref="A4096:N4096"/>
    <mergeCell ref="G4125:N4125"/>
    <mergeCell ref="A4061:N4061"/>
    <mergeCell ref="G4090:N4090"/>
    <mergeCell ref="G4075:M4075"/>
    <mergeCell ref="G4110:M4110"/>
    <mergeCell ref="G4078:K4078"/>
    <mergeCell ref="A4092:N4093"/>
    <mergeCell ref="G4113:K4113"/>
    <mergeCell ref="A4127:N4128"/>
    <mergeCell ref="A4166:N4166"/>
    <mergeCell ref="G4195:N4195"/>
    <mergeCell ref="A4131:N4131"/>
    <mergeCell ref="G4160:N4160"/>
    <mergeCell ref="G4145:M4145"/>
    <mergeCell ref="G4180:M4180"/>
    <mergeCell ref="G4148:K4148"/>
    <mergeCell ref="A4162:N4163"/>
    <mergeCell ref="G4183:K4183"/>
    <mergeCell ref="A4267:N4268"/>
    <mergeCell ref="A4306:N4306"/>
    <mergeCell ref="G4335:N4335"/>
    <mergeCell ref="A4271:N4271"/>
    <mergeCell ref="G4300:N4300"/>
    <mergeCell ref="G4285:M4285"/>
    <mergeCell ref="G4320:M4320"/>
    <mergeCell ref="G4288:K4288"/>
    <mergeCell ref="A4302:N4303"/>
    <mergeCell ref="G4323:K4323"/>
    <mergeCell ref="A4236:N4236"/>
    <mergeCell ref="G4265:N4265"/>
    <mergeCell ref="A4201:N4201"/>
    <mergeCell ref="G4230:N4230"/>
    <mergeCell ref="G4215:M4215"/>
    <mergeCell ref="G4250:M4250"/>
    <mergeCell ref="G4218:K4218"/>
    <mergeCell ref="A4232:N4233"/>
    <mergeCell ref="G4253:K4253"/>
    <mergeCell ref="A2517:N2518"/>
    <mergeCell ref="A2416:N2416"/>
    <mergeCell ref="G2445:N2445"/>
    <mergeCell ref="A4477:N4478"/>
    <mergeCell ref="A4376:N4376"/>
    <mergeCell ref="G4405:N4405"/>
    <mergeCell ref="A4341:N4341"/>
    <mergeCell ref="G4370:N4370"/>
    <mergeCell ref="G4355:M4355"/>
    <mergeCell ref="G4390:M4390"/>
    <mergeCell ref="G4358:K4358"/>
    <mergeCell ref="A4372:N4373"/>
    <mergeCell ref="G4393:K4393"/>
    <mergeCell ref="A4407:N4408"/>
    <mergeCell ref="A4446:N4446"/>
    <mergeCell ref="G4475:N4475"/>
    <mergeCell ref="A4411:N4411"/>
    <mergeCell ref="G4440:N4440"/>
    <mergeCell ref="G4425:M4425"/>
    <mergeCell ref="G4460:M4460"/>
    <mergeCell ref="G4428:K4428"/>
    <mergeCell ref="A4442:N4443"/>
    <mergeCell ref="G4463:K4463"/>
    <mergeCell ref="A4337:N4338"/>
    <mergeCell ref="A2381:N2381"/>
    <mergeCell ref="G2410:N2410"/>
    <mergeCell ref="G2395:M2395"/>
    <mergeCell ref="G2430:M2430"/>
    <mergeCell ref="A2412:N2413"/>
    <mergeCell ref="A2447:N2448"/>
    <mergeCell ref="A2486:N2486"/>
    <mergeCell ref="G2515:N2515"/>
    <mergeCell ref="A2451:N2451"/>
    <mergeCell ref="G2480:N2480"/>
    <mergeCell ref="G2465:M2465"/>
    <mergeCell ref="G2500:M2500"/>
    <mergeCell ref="G2468:K2468"/>
    <mergeCell ref="G2503:K2503"/>
    <mergeCell ref="A2482:N2483"/>
    <mergeCell ref="G2398:K2398"/>
    <mergeCell ref="G2433:K2433"/>
  </mergeCells>
  <phoneticPr fontId="3" type="noConversion"/>
  <pageMargins left="1.2204724409448819" right="0.31496062992125984" top="1.1000000000000001" bottom="0.74803149606299213" header="0.33" footer="0.31496062992125984"/>
  <pageSetup paperSize="8" scale="86" orientation="landscape" r:id="rId1"/>
  <headerFooter>
    <oddFooter xml:space="preserve">&amp;R_x000D_&amp;1#&amp;"Aptos"&amp;8&amp;K000000 중요비(Confidential): sanghwan.bae@doosan.com </oddFooter>
  </headerFooter>
  <rowBreaks count="127" manualBreakCount="127">
    <brk id="35" max="13" man="1"/>
    <brk id="70" max="13" man="1"/>
    <brk id="105" max="13" man="1"/>
    <brk id="140" max="13" man="1"/>
    <brk id="175" max="13" man="1"/>
    <brk id="210" max="13" man="1"/>
    <brk id="245" max="13" man="1"/>
    <brk id="280" max="13" man="1"/>
    <brk id="315" max="13" man="1"/>
    <brk id="350" max="13" man="1"/>
    <brk id="385" max="13" man="1"/>
    <brk id="420" max="13" man="1"/>
    <brk id="455" max="13" man="1"/>
    <brk id="490" max="13" man="1"/>
    <brk id="525" max="13" man="1"/>
    <brk id="560" max="13" man="1"/>
    <brk id="595" max="13" man="1"/>
    <brk id="630" max="13" man="1"/>
    <brk id="665" max="13" man="1"/>
    <brk id="700" max="13" man="1"/>
    <brk id="735" max="13" man="1"/>
    <brk id="770" max="13" man="1"/>
    <brk id="805" max="13" man="1"/>
    <brk id="840" max="13" man="1"/>
    <brk id="875" max="13" man="1"/>
    <brk id="910" max="13" man="1"/>
    <brk id="945" max="13" man="1"/>
    <brk id="980" max="13" man="1"/>
    <brk id="1015" max="13" man="1"/>
    <brk id="1050" max="13" man="1"/>
    <brk id="1085" max="13" man="1"/>
    <brk id="1120" max="13" man="1"/>
    <brk id="1155" max="13" man="1"/>
    <brk id="1190" max="13" man="1"/>
    <brk id="1225" max="13" man="1"/>
    <brk id="1260" max="13" man="1"/>
    <brk id="1295" max="13" man="1"/>
    <brk id="1330" max="13" man="1"/>
    <brk id="1365" max="13" man="1"/>
    <brk id="1400" max="13" man="1"/>
    <brk id="1435" max="13" man="1"/>
    <brk id="1470" max="13" man="1"/>
    <brk id="1505" max="13" man="1"/>
    <brk id="1540" max="13" man="1"/>
    <brk id="1575" max="13" man="1"/>
    <brk id="1610" max="13" man="1"/>
    <brk id="1645" max="13" man="1"/>
    <brk id="1680" max="13" man="1"/>
    <brk id="1715" max="13" man="1"/>
    <brk id="1750" max="13" man="1"/>
    <brk id="1785" max="13" man="1"/>
    <brk id="1820" max="13" man="1"/>
    <brk id="1855" max="13" man="1"/>
    <brk id="1890" max="13" man="1"/>
    <brk id="1925" max="13" man="1"/>
    <brk id="1960" max="13" man="1"/>
    <brk id="1995" max="13" man="1"/>
    <brk id="2030" max="13" man="1"/>
    <brk id="2065" max="13" man="1"/>
    <brk id="2100" max="13" man="1"/>
    <brk id="2135" max="13" man="1"/>
    <brk id="2170" max="13" man="1"/>
    <brk id="2205" max="13" man="1"/>
    <brk id="2240" max="13" man="1"/>
    <brk id="2275" max="13" man="1"/>
    <brk id="2310" max="13" man="1"/>
    <brk id="2345" max="13" man="1"/>
    <brk id="2380" max="13" man="1"/>
    <brk id="2415" max="13" man="1"/>
    <brk id="2450" max="13" man="1"/>
    <brk id="2485" max="13" man="1"/>
    <brk id="2520" max="13" man="1"/>
    <brk id="2555" max="13" man="1"/>
    <brk id="2590" max="13" man="1"/>
    <brk id="2625" max="13" man="1"/>
    <brk id="2660" max="13" man="1"/>
    <brk id="2695" max="13" man="1"/>
    <brk id="2730" max="13" man="1"/>
    <brk id="2765" max="13" man="1"/>
    <brk id="2800" max="13" man="1"/>
    <brk id="2835" max="13" man="1"/>
    <brk id="2870" max="13" man="1"/>
    <brk id="2905" max="13" man="1"/>
    <brk id="2940" max="13" man="1"/>
    <brk id="2975" max="13" man="1"/>
    <brk id="3010" max="13" man="1"/>
    <brk id="3045" max="13" man="1"/>
    <brk id="3080" max="13" man="1"/>
    <brk id="3115" max="13" man="1"/>
    <brk id="3150" max="13" man="1"/>
    <brk id="3185" max="13" man="1"/>
    <brk id="3220" max="13" man="1"/>
    <brk id="3255" max="13" man="1"/>
    <brk id="3290" max="13" man="1"/>
    <brk id="3325" max="13" man="1"/>
    <brk id="3360" max="13" man="1"/>
    <brk id="3395" max="13" man="1"/>
    <brk id="3430" max="13" man="1"/>
    <brk id="3465" max="13" man="1"/>
    <brk id="3500" max="13" man="1"/>
    <brk id="3535" max="13" man="1"/>
    <brk id="3570" max="13" man="1"/>
    <brk id="3605" max="13" man="1"/>
    <brk id="3640" max="13" man="1"/>
    <brk id="3675" max="13" man="1"/>
    <brk id="3710" max="13" man="1"/>
    <brk id="3745" max="13" man="1"/>
    <brk id="3780" max="13" man="1"/>
    <brk id="3815" max="13" man="1"/>
    <brk id="3850" max="13" man="1"/>
    <brk id="3885" max="13" man="1"/>
    <brk id="3920" max="13" man="1"/>
    <brk id="3955" max="13" man="1"/>
    <brk id="3990" max="13" man="1"/>
    <brk id="4025" max="13" man="1"/>
    <brk id="4060" max="13" man="1"/>
    <brk id="4095" max="13" man="1"/>
    <brk id="4130" max="13" man="1"/>
    <brk id="4165" max="13" man="1"/>
    <brk id="4200" max="13" man="1"/>
    <brk id="4235" max="13" man="1"/>
    <brk id="4270" max="13" man="1"/>
    <brk id="4305" max="13" man="1"/>
    <brk id="4340" max="13" man="1"/>
    <brk id="4375" max="13" man="1"/>
    <brk id="4410" max="13" man="1"/>
    <brk id="4445" max="13" man="1"/>
  </rowBreaks>
  <colBreaks count="1" manualBreakCount="1">
    <brk id="14" max="33"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DD28EF1209DEC48A970DDDB93544B7D" ma:contentTypeVersion="17" ma:contentTypeDescription="새 문서를 만듭니다." ma:contentTypeScope="" ma:versionID="74046605fe204a0752e4bfa5bc1570bb">
  <xsd:schema xmlns:xsd="http://www.w3.org/2001/XMLSchema" xmlns:xs="http://www.w3.org/2001/XMLSchema" xmlns:p="http://schemas.microsoft.com/office/2006/metadata/properties" xmlns:ns2="fafe03ea-8b69-4947-9101-36aab1225da6" xmlns:ns3="0fd7f0fd-4562-4143-a7f1-276269a5d384" targetNamespace="http://schemas.microsoft.com/office/2006/metadata/properties" ma:root="true" ma:fieldsID="af3551d98b6fc785585459350e49d0b4" ns2:_="" ns3:_="">
    <xsd:import namespace="fafe03ea-8b69-4947-9101-36aab1225da6"/>
    <xsd:import namespace="0fd7f0fd-4562-4143-a7f1-276269a5d38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User" minOccurs="0"/>
                <xsd:element ref="ns2: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fe03ea-8b69-4947-9101-36aab1225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이미지 태그"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User" ma:index="23" nillable="true" ma:displayName="User" ma:format="Dropdown" ma:list="UserInfo" ma:SharePointGroup="0" ma:internalName="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scription" ma:index="24" nillable="true" ma:displayName="Description" ma:format="Dropdown" ma:internalName="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d7f0fd-4562-4143-a7f1-276269a5d384" elementFormDefault="qualified">
    <xsd:import namespace="http://schemas.microsoft.com/office/2006/documentManagement/types"/>
    <xsd:import namespace="http://schemas.microsoft.com/office/infopath/2007/PartnerControls"/>
    <xsd:element name="SharedWithUsers" ma:index="11"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세부 정보 공유" ma:internalName="SharedWithDetails" ma:readOnly="true">
      <xsd:simpleType>
        <xsd:restriction base="dms:Note">
          <xsd:maxLength value="255"/>
        </xsd:restriction>
      </xsd:simpleType>
    </xsd:element>
    <xsd:element name="TaxCatchAll" ma:index="16" nillable="true" ma:displayName="Taxonomy Catch All Column" ma:hidden="true" ma:list="{e98e606e-d84f-4495-a3cd-5e3f37618732}" ma:internalName="TaxCatchAll" ma:showField="CatchAllData" ma:web="0fd7f0fd-4562-4143-a7f1-276269a5d3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fe03ea-8b69-4947-9101-36aab1225da6">
      <Terms xmlns="http://schemas.microsoft.com/office/infopath/2007/PartnerControls"/>
    </lcf76f155ced4ddcb4097134ff3c332f>
    <TaxCatchAll xmlns="0fd7f0fd-4562-4143-a7f1-276269a5d384" xsi:nil="true"/>
    <User xmlns="fafe03ea-8b69-4947-9101-36aab1225da6">
      <UserInfo>
        <DisplayName/>
        <AccountId xsi:nil="true"/>
        <AccountType/>
      </UserInfo>
    </User>
    <Description xmlns="fafe03ea-8b69-4947-9101-36aab1225da6" xsi:nil="true"/>
  </documentManagement>
</p:properties>
</file>

<file path=customXml/itemProps1.xml><?xml version="1.0" encoding="utf-8"?>
<ds:datastoreItem xmlns:ds="http://schemas.openxmlformats.org/officeDocument/2006/customXml" ds:itemID="{D102DEE7-C7A1-4C4F-99F7-377FC48A68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fe03ea-8b69-4947-9101-36aab1225da6"/>
    <ds:schemaRef ds:uri="0fd7f0fd-4562-4143-a7f1-276269a5d3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22461D-902A-416E-9DA2-3663A258DF19}">
  <ds:schemaRefs>
    <ds:schemaRef ds:uri="http://schemas.microsoft.com/sharepoint/v3/contenttype/forms"/>
  </ds:schemaRefs>
</ds:datastoreItem>
</file>

<file path=customXml/itemProps3.xml><?xml version="1.0" encoding="utf-8"?>
<ds:datastoreItem xmlns:ds="http://schemas.openxmlformats.org/officeDocument/2006/customXml" ds:itemID="{55B4D1C2-B3EB-4841-99C1-DE89D6CFBB09}">
  <ds:schemaRefs>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purl.org/dc/terms/"/>
    <ds:schemaRef ds:uri="http://schemas.microsoft.com/office/2006/metadata/properties"/>
    <ds:schemaRef ds:uri="http://purl.org/dc/elements/1.1/"/>
    <ds:schemaRef ds:uri="0fd7f0fd-4562-4143-a7f1-276269a5d384"/>
    <ds:schemaRef ds:uri="fafe03ea-8b69-4947-9101-36aab1225da6"/>
    <ds:schemaRef ds:uri="http://www.w3.org/XML/1998/namespace"/>
  </ds:schemaRefs>
</ds:datastoreItem>
</file>

<file path=docMetadata/LabelInfo.xml><?xml version="1.0" encoding="utf-8"?>
<clbl:labelList xmlns:clbl="http://schemas.microsoft.com/office/2020/mipLabelMetadata">
  <clbl:label id="{55c3c93c-4c7c-4709-9e9e-2b12e2d560ab}" enabled="1" method="Privileged" siteId="{9d1b3610-9ab0-42d5-93aa-46150d723d8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11</vt:i4>
      </vt:variant>
    </vt:vector>
  </HeadingPairs>
  <TitlesOfParts>
    <vt:vector size="19" baseType="lpstr">
      <vt:lpstr>CI</vt:lpstr>
      <vt:lpstr>CI_BD</vt:lpstr>
      <vt:lpstr>PL</vt:lpstr>
      <vt:lpstr>Summary PL</vt:lpstr>
      <vt:lpstr>1&amp;2항차</vt:lpstr>
      <vt:lpstr>Detail PL</vt:lpstr>
      <vt:lpstr>Description</vt:lpstr>
      <vt:lpstr>Shipping Mark</vt:lpstr>
      <vt:lpstr>'1&amp;2항차'!Print_Area</vt:lpstr>
      <vt:lpstr>CI!Print_Area</vt:lpstr>
      <vt:lpstr>CI_BD!Print_Area</vt:lpstr>
      <vt:lpstr>Description!Print_Area</vt:lpstr>
      <vt:lpstr>'Detail PL'!Print_Area</vt:lpstr>
      <vt:lpstr>PL!Print_Area</vt:lpstr>
      <vt:lpstr>'Shipping Mark'!Print_Area</vt:lpstr>
      <vt:lpstr>'Summary PL'!Print_Area</vt:lpstr>
      <vt:lpstr>'1&amp;2항차'!Print_Titles</vt:lpstr>
      <vt:lpstr>'Detail PL'!Print_Titles</vt:lpstr>
      <vt:lpstr>'Summary PL'!Print_Titles</vt:lpstr>
    </vt:vector>
  </TitlesOfParts>
  <Manager/>
  <Company>DHI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PL008564</dc:creator>
  <cp:keywords/>
  <dc:description/>
  <cp:lastModifiedBy>우재상(Jaesang Woo) 수석 두산에너빌리티</cp:lastModifiedBy>
  <cp:revision/>
  <dcterms:created xsi:type="dcterms:W3CDTF">2016-03-15T11:01:58Z</dcterms:created>
  <dcterms:modified xsi:type="dcterms:W3CDTF">2026-06-29T08:41:54Z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0x010100CDD28EF1209DEC48A970DDDB93544B7D</vt:lpwstr>
  </property>
  <property fmtid="{D5CDD505-2E9C-101B-9397-08002B2CF9AE}" pid="3" name="MediaServiceImageTags">
    <vt:lpwstr/>
  </property>
</Properties>
</file>