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ren Conner Pavlat\Desktop\Data Analytics\Crowdfunding Analysis\Resources\"/>
    </mc:Choice>
  </mc:AlternateContent>
  <xr:revisionPtr revIDLastSave="0" documentId="13_ncr:1_{618A3652-FA4D-4BF2-BAA8-2E40C69B993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agory Statistics" sheetId="2" r:id="rId6"/>
    <sheet name="SubCatagory Statistics" sheetId="3" r:id="rId7"/>
    <sheet name="Outcomes based on Launch Date" sheetId="4" r:id="rId8"/>
  </sheets>
  <definedNames>
    <definedName name="_xlnm._FilterDatabase" localSheetId="0" hidden="1">Kickstarter!$A$1:$U$4115</definedName>
    <definedName name="Blurb">'Edinburgh Research'!$B:$B</definedName>
    <definedName name="Name">'Edinburgh Research'!$A:$A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1" l="1"/>
  <c r="E12" i="11"/>
  <c r="E11" i="11"/>
  <c r="E10" i="11"/>
  <c r="E9" i="11"/>
  <c r="E8" i="11"/>
  <c r="E7" i="11"/>
  <c r="E6" i="11"/>
  <c r="E5" i="11"/>
  <c r="E2" i="11"/>
  <c r="E3" i="11"/>
  <c r="E4" i="11"/>
  <c r="D13" i="11"/>
  <c r="D12" i="11"/>
  <c r="D11" i="11"/>
  <c r="D10" i="11"/>
  <c r="D9" i="11"/>
  <c r="D8" i="11"/>
  <c r="D7" i="11"/>
  <c r="D6" i="11"/>
  <c r="C9" i="11"/>
  <c r="D5" i="11"/>
  <c r="D4" i="11"/>
  <c r="C4" i="11"/>
  <c r="D3" i="11"/>
  <c r="C13" i="11"/>
  <c r="C12" i="11"/>
  <c r="C11" i="11"/>
  <c r="C10" i="11"/>
  <c r="C8" i="11"/>
  <c r="C7" i="11"/>
  <c r="C6" i="11"/>
  <c r="C5" i="11"/>
  <c r="C3" i="11"/>
  <c r="D2" i="11"/>
  <c r="C2" i="11"/>
  <c r="C13" i="8"/>
  <c r="C12" i="8"/>
  <c r="C11" i="8"/>
  <c r="B11" i="8"/>
  <c r="B13" i="8"/>
  <c r="B12" i="8"/>
  <c r="C6" i="8"/>
  <c r="C5" i="8"/>
  <c r="C7" i="8" s="1"/>
  <c r="B6" i="8"/>
  <c r="B5" i="8"/>
  <c r="C4" i="8"/>
  <c r="B4" i="8"/>
  <c r="B2" i="8"/>
  <c r="C9" i="8"/>
  <c r="C10" i="8"/>
  <c r="B10" i="8"/>
  <c r="B9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5" i="5"/>
  <c r="B3" i="5"/>
  <c r="B4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94" i="1"/>
  <c r="O2962" i="1"/>
  <c r="O1462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H13" i="11" l="1"/>
  <c r="F2" i="11"/>
  <c r="F10" i="11"/>
  <c r="G10" i="11" s="1"/>
  <c r="F6" i="11"/>
  <c r="H6" i="11" s="1"/>
  <c r="F13" i="11"/>
  <c r="I13" i="11" s="1"/>
  <c r="F9" i="11"/>
  <c r="H9" i="11" s="1"/>
  <c r="F5" i="11"/>
  <c r="H5" i="11" s="1"/>
  <c r="F12" i="11"/>
  <c r="I12" i="11" s="1"/>
  <c r="F8" i="11"/>
  <c r="H8" i="11" s="1"/>
  <c r="F4" i="11"/>
  <c r="I4" i="11" s="1"/>
  <c r="F11" i="11"/>
  <c r="I11" i="11" s="1"/>
  <c r="F7" i="11"/>
  <c r="H7" i="11" s="1"/>
  <c r="F3" i="11"/>
  <c r="G3" i="11" s="1"/>
  <c r="B7" i="8"/>
  <c r="C14" i="8"/>
  <c r="B14" i="8"/>
  <c r="I9" i="11" l="1"/>
  <c r="G9" i="11"/>
  <c r="I8" i="11"/>
  <c r="G13" i="11"/>
  <c r="I7" i="11"/>
  <c r="H4" i="11"/>
  <c r="I6" i="11"/>
  <c r="G4" i="11"/>
  <c r="I5" i="11"/>
  <c r="H3" i="11"/>
  <c r="H12" i="11"/>
  <c r="G8" i="11"/>
  <c r="I3" i="11"/>
  <c r="G12" i="11"/>
  <c r="G11" i="11"/>
  <c r="G5" i="11"/>
  <c r="H11" i="11"/>
  <c r="G7" i="11"/>
  <c r="H10" i="11"/>
  <c r="G6" i="11"/>
  <c r="I2" i="11"/>
  <c r="H2" i="11"/>
  <c r="I10" i="11"/>
  <c r="G2" i="1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<sst xmlns="http://schemas.openxmlformats.org/spreadsheetml/2006/main" count="33048" uniqueCount="8419">
  <si>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</si>
  <si>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</si>
  <si>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</si>
  <si>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</si>
  <si>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</si>
  <si>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</si>
  <si>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</si>
  <si>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</si>
  <si>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</si>
  <si>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</si>
  <si>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</si>
  <si>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</si>
  <si>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</si>
  <si>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</si>
  <si>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</si>
  <si>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</si>
  <si>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</si>
  <si>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</si>
  <si>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</si>
  <si>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</si>
  <si>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</si>
  <si>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</si>
  <si>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</si>
  <si>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</si>
  <si>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</si>
  <si>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</si>
  <si>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</si>
  <si>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</si>
  <si>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</si>
  <si>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</si>
  <si>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</si>
  <si>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</si>
  <si>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</si>
  <si>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</si>
  <si>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</si>
  <si>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</si>
  <si>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</si>
  <si>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</si>
  <si>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</si>
  <si>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</si>
  <si>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</si>
  <si>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</si>
  <si>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</si>
  <si>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</si>
  <si>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</si>
  <si>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</si>
  <si>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</si>
  <si>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</si>
  <si>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</si>
  <si>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</si>
  <si>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</si>
  <si>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</si>
  <si>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</si>
  <si>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</si>
  <si>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</si>
  <si>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</si>
  <si>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</si>
  <si>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</si>
  <si>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</si>
  <si>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</si>
  <si>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</si>
  <si>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</si>
  <si>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</si>
  <si>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</si>
  <si>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</si>
  <si>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</si>
  <si>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</si>
  <si>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</si>
  <si>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</si>
  <si>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</si>
  <si>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</si>
  <si>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</si>
  <si>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</si>
  <si>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</si>
  <si>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</si>
  <si>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</si>
  <si>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</si>
  <si>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</si>
  <si>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</si>
  <si>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</si>
  <si>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</si>
  <si>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</si>
  <si>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</si>
  <si>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</si>
  <si>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</si>
  <si>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</si>
  <si>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</si>
  <si>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</si>
  <si>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</si>
  <si>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</si>
  <si>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</si>
  <si>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</si>
  <si>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</si>
  <si>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</si>
  <si>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</si>
  <si>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</si>
  <si>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</si>
  <si>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</si>
  <si>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</si>
  <si>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</si>
  <si>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</si>
  <si>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</si>
  <si>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</si>
  <si>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</si>
  <si>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</si>
  <si>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</si>
  <si>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</si>
  <si>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</si>
  <si>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</si>
  <si>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</si>
  <si>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</si>
  <si>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</si>
  <si>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</si>
  <si>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</si>
  <si>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</si>
  <si>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</si>
  <si>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</si>
  <si>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</si>
  <si>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</si>
  <si>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</si>
  <si>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</si>
  <si>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</si>
  <si>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</si>
  <si>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</si>
  <si>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</si>
  <si>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</si>
  <si>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</si>
  <si>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</si>
  <si>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</si>
  <si>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</si>
  <si>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</si>
  <si>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</si>
  <si>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</si>
  <si>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</si>
  <si>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</si>
  <si>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</si>
  <si>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</si>
  <si>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</si>
  <si>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</si>
  <si>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</si>
  <si>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</si>
  <si>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</si>
  <si>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</si>
  <si>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</si>
  <si>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</si>
  <si>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</si>
  <si>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</si>
  <si>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</si>
  <si>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</si>
  <si>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</si>
  <si>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</si>
  <si>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</si>
  <si>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</si>
  <si>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</si>
  <si>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</si>
  <si>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</si>
  <si>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</si>
  <si>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</si>
  <si>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</si>
  <si>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</si>
  <si>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</si>
  <si>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</si>
  <si>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</si>
  <si>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</si>
  <si>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</si>
  <si>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</si>
  <si>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</si>
  <si>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</si>
  <si>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</si>
  <si>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</si>
  <si>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</si>
  <si>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</si>
  <si>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</si>
  <si>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</si>
  <si>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</si>
  <si>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</si>
  <si>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</si>
  <si>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</si>
  <si>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</si>
  <si>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</si>
  <si>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</si>
  <si>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</si>
  <si>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</si>
  <si>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</si>
  <si>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</si>
  <si>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</si>
  <si>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</si>
  <si>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</si>
  <si>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</si>
  <si>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</si>
  <si>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</si>
  <si>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</si>
  <si>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</si>
  <si>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</si>
  <si>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</si>
  <si>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</si>
  <si>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</si>
  <si>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</si>
  <si>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</si>
  <si>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</si>
  <si>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</si>
  <si>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</si>
  <si>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</si>
  <si>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</si>
  <si>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</si>
  <si>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</si>
  <si>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</si>
  <si>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</si>
  <si>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</si>
  <si>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</si>
  <si>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</si>
  <si>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</si>
  <si>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</si>
  <si>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</si>
  <si>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</si>
  <si>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</si>
  <si>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</si>
  <si>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</si>
  <si>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</si>
  <si>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</si>
  <si>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</si>
  <si>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</si>
  <si>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</si>
  <si>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</si>
  <si>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</si>
  <si>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</si>
  <si>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</si>
  <si>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</si>
  <si>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</si>
  <si>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</si>
  <si>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</si>
  <si>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</si>
  <si>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</si>
  <si>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</si>
  <si>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</si>
  <si>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</si>
  <si>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</si>
  <si>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</si>
  <si>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</si>
  <si>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</si>
  <si>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</si>
  <si>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</si>
  <si>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</si>
  <si>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</si>
  <si>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</si>
  <si>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</si>
  <si>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</si>
  <si>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</si>
  <si>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</si>
  <si>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</si>
  <si>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</si>
  <si>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</si>
  <si>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</si>
  <si>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</si>
  <si>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</si>
  <si>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</si>
  <si>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</si>
  <si>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</si>
  <si>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</si>
  <si>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</si>
  <si>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</si>
  <si>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</si>
  <si>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</si>
  <si>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</si>
  <si>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</si>
  <si>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</si>
  <si>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</si>
  <si>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</si>
  <si>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</si>
  <si>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</si>
  <si>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</si>
  <si>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</si>
  <si>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</si>
  <si>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</si>
  <si>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</si>
  <si>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</si>
  <si>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</si>
  <si>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</si>
  <si>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</si>
  <si>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</si>
  <si>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</si>
  <si>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</si>
  <si>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</si>
  <si>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</si>
  <si>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</si>
  <si>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</si>
  <si>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</si>
  <si>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</si>
  <si>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</si>
  <si>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</si>
  <si>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</si>
  <si>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</si>
  <si>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</si>
  <si>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</si>
  <si>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</si>
  <si>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</si>
  <si>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</si>
  <si>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</si>
  <si>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</si>
  <si>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</si>
  <si>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</si>
  <si>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</si>
  <si>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</si>
  <si>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</si>
  <si>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</si>
  <si>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</si>
  <si>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</si>
  <si>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</si>
  <si>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</si>
  <si>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</si>
  <si>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</si>
  <si>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</si>
  <si>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</si>
  <si>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</si>
  <si>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</si>
  <si>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</si>
  <si>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</si>
  <si>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</si>
  <si>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</si>
  <si>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</si>
  <si>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</si>
  <si>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</si>
  <si>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</si>
  <si>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</si>
  <si>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</si>
  <si>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</si>
  <si>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</si>
  <si>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</si>
  <si>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</si>
  <si>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</si>
  <si>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</si>
  <si>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</si>
  <si>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</si>
  <si>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</si>
  <si>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</si>
  <si>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</si>
  <si>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</si>
  <si>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</si>
  <si>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</si>
  <si>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</si>
  <si>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</si>
  <si>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</si>
  <si>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</si>
  <si>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</si>
  <si>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</si>
  <si>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</si>
  <si>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</si>
  <si>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</si>
  <si>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</si>
  <si>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</si>
  <si>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</si>
  <si>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</si>
  <si>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</si>
  <si>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</si>
  <si>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</si>
  <si>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</si>
  <si>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</si>
  <si>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</si>
  <si>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</si>
  <si>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</si>
  <si>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</si>
  <si>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</si>
  <si>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</si>
  <si>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</si>
  <si>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</si>
  <si>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</si>
  <si>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</si>
  <si>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</si>
  <si>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</si>
  <si>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</si>
  <si>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</si>
  <si>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</si>
  <si>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</si>
  <si>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</si>
  <si>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</si>
  <si>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</si>
  <si>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</si>
  <si>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</si>
  <si>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</si>
  <si>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</si>
  <si>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</si>
  <si>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</si>
  <si>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</si>
  <si>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</si>
  <si>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</si>
  <si>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</si>
  <si>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</si>
  <si>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</si>
  <si>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</si>
  <si>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</si>
  <si>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</si>
  <si>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</si>
  <si>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</si>
  <si>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</si>
  <si>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</si>
  <si>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</si>
  <si>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</si>
  <si>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</si>
  <si>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</si>
  <si>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</si>
  <si>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</si>
  <si>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</si>
  <si>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</si>
  <si>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</si>
  <si>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</si>
  <si>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</si>
  <si>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</si>
  <si>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</si>
  <si>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</si>
  <si>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</si>
  <si>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</si>
  <si>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</si>
  <si>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</si>
  <si>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</si>
  <si>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</si>
  <si>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</si>
  <si>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</si>
  <si>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</si>
  <si>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</si>
  <si>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</si>
  <si>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</si>
  <si>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</si>
  <si>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</si>
  <si>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</si>
  <si>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</si>
  <si>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</si>
  <si>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</si>
  <si>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</si>
  <si>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</si>
  <si>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</si>
  <si>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</si>
  <si>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</si>
  <si>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</si>
  <si>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</si>
  <si>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</si>
  <si>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</si>
  <si>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</si>
  <si>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</si>
  <si>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</si>
  <si>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</si>
  <si>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</si>
  <si>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</si>
  <si>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</si>
  <si>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</si>
  <si>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</si>
  <si>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</si>
  <si>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</si>
  <si>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</si>
  <si>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</si>
  <si>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</si>
  <si>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</si>
  <si>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</si>
  <si>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</si>
  <si>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</si>
  <si>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</si>
  <si>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</si>
  <si>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</si>
  <si>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</si>
  <si>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</si>
  <si>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</si>
  <si>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</si>
  <si>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</si>
  <si>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</si>
  <si>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</si>
  <si>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</si>
  <si>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</si>
  <si>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</si>
  <si>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</si>
  <si>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</si>
  <si>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</si>
  <si>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</si>
  <si>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</si>
  <si>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</si>
  <si>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</si>
  <si>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</si>
  <si>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</si>
  <si>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</si>
  <si>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</si>
  <si>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</si>
  <si>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</si>
  <si>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</si>
  <si>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</si>
  <si>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</si>
  <si>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</si>
  <si>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</si>
  <si>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</si>
  <si>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</si>
  <si>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</si>
  <si>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</si>
  <si>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</si>
  <si>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</si>
  <si>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</si>
  <si>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</si>
  <si>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</si>
  <si>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</si>
  <si>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</si>
  <si>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</si>
  <si>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</si>
  <si>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</si>
  <si>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</si>
  <si>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</si>
  <si>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</si>
  <si>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</si>
  <si>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</si>
  <si>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</si>
  <si>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</si>
  <si>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</si>
  <si>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</si>
  <si>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</si>
  <si>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</si>
  <si>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</si>
  <si>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</si>
  <si>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</si>
  <si>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</si>
  <si>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</si>
  <si>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</si>
  <si>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</si>
  <si>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</si>
  <si>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</si>
  <si>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</si>
  <si>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</si>
  <si>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</si>
  <si>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</si>
  <si>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</si>
  <si>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</si>
  <si>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</si>
  <si>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</si>
  <si>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</si>
  <si>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</si>
  <si>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</si>
  <si>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</si>
  <si>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</si>
  <si>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</si>
  <si>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</si>
  <si>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</si>
  <si>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</si>
  <si>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</si>
  <si>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</si>
  <si>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</si>
  <si>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</si>
  <si>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</si>
  <si>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</si>
  <si>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</si>
  <si>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</si>
  <si>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</si>
  <si>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</si>
  <si>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</si>
  <si>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</si>
  <si>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</si>
  <si>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</si>
  <si>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</si>
  <si>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</si>
  <si>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</si>
  <si>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</si>
  <si>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</si>
  <si>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</si>
  <si>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</si>
  <si>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</si>
  <si>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</si>
  <si>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</si>
  <si>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</si>
  <si>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</si>
  <si>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</si>
  <si>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</si>
  <si>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</si>
  <si>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</si>
  <si>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</si>
  <si>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</si>
  <si>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</si>
  <si>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</si>
  <si>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</si>
  <si>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</si>
  <si>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</si>
  <si>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</si>
  <si>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</si>
  <si>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</si>
  <si>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</si>
  <si>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</si>
  <si>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</si>
  <si>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</si>
  <si>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</si>
  <si>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</si>
  <si>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</si>
  <si>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</si>
  <si>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</si>
  <si>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</si>
  <si>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</si>
  <si>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</si>
  <si>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</si>
  <si>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</si>
  <si>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</si>
  <si>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</si>
  <si>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</si>
  <si>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</si>
  <si>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</si>
  <si>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</si>
  <si>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</si>
  <si>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</si>
  <si>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</si>
  <si>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</si>
  <si>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</si>
  <si>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</si>
  <si>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</si>
  <si>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</si>
  <si>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</si>
  <si>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</si>
  <si>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</si>
  <si>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</si>
  <si>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</si>
  <si>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</si>
  <si>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</si>
  <si>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</si>
  <si>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</si>
  <si>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</si>
  <si>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</si>
  <si>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</si>
  <si>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</si>
  <si>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</si>
  <si>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</si>
  <si>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</si>
  <si>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</si>
  <si>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</si>
  <si>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</si>
  <si>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</si>
  <si>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</si>
  <si>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</si>
  <si>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</si>
  <si>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</si>
  <si>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</si>
  <si>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</si>
  <si>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</si>
  <si>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</si>
  <si>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</si>
  <si>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</si>
  <si>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</si>
  <si>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</si>
  <si>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</si>
  <si>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</si>
  <si>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</si>
  <si>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</si>
  <si>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</si>
  <si>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</si>
  <si>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</si>
  <si>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</si>
  <si>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</si>
  <si>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</si>
  <si>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</si>
  <si>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</si>
  <si>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</si>
  <si>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</si>
  <si>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</si>
  <si>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</si>
  <si>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</si>
  <si>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</si>
  <si>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</si>
  <si>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</si>
  <si>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</si>
  <si>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</si>
  <si>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</si>
  <si>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</si>
  <si>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</si>
  <si>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</si>
  <si>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</si>
  <si>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</si>
  <si>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</si>
  <si>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</si>
  <si>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</si>
  <si>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</si>
  <si>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</si>
  <si>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</si>
  <si>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</si>
  <si>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</si>
  <si>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</si>
  <si>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</si>
  <si>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</si>
  <si>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</si>
  <si>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</si>
  <si>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</si>
  <si>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</si>
  <si>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</si>
  <si>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</si>
  <si>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</si>
  <si>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</si>
  <si>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</si>
  <si>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</si>
  <si>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</si>
  <si>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</si>
  <si>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</si>
  <si>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</si>
  <si>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</si>
  <si>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</si>
  <si>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</si>
  <si>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</si>
  <si>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</si>
  <si>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</si>
  <si>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</si>
  <si>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</si>
  <si>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</si>
  <si>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</si>
  <si>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</si>
  <si>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</si>
  <si>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</si>
  <si>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</si>
  <si>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</si>
  <si>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</si>
  <si>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</si>
  <si>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</si>
  <si>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</si>
  <si>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</si>
  <si>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</si>
  <si>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</si>
  <si>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</si>
  <si>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</si>
  <si>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</si>
  <si>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</si>
  <si>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</si>
  <si>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</si>
  <si>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</si>
  <si>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</si>
  <si>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</si>
  <si>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</si>
  <si>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</si>
  <si>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</si>
  <si>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</si>
  <si>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</si>
  <si>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</si>
  <si>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</si>
  <si>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</si>
  <si>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</si>
  <si>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</si>
  <si>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</si>
  <si>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</si>
  <si>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</si>
  <si>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</si>
  <si>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</si>
  <si>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</si>
  <si>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</si>
  <si>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</si>
  <si>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</si>
  <si>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</si>
  <si>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</si>
  <si>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</si>
  <si>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</si>
  <si>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</si>
  <si>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</si>
  <si>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</si>
  <si>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</si>
  <si>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</si>
  <si>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</si>
  <si>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</si>
  <si>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</si>
  <si>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</si>
  <si>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</si>
  <si>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</si>
  <si>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</si>
  <si>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</si>
  <si>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</si>
  <si>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</si>
  <si>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</si>
  <si>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</si>
  <si>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</si>
  <si>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</si>
  <si>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</si>
  <si>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</si>
  <si>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</si>
  <si>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</si>
  <si>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</si>
  <si>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</si>
  <si>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</si>
  <si>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</si>
  <si>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</si>
  <si>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</si>
  <si>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</si>
  <si>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</si>
  <si>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</si>
  <si>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</si>
  <si>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</si>
  <si>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</si>
  <si>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</si>
  <si>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</si>
  <si>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</si>
  <si>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</si>
  <si>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</si>
  <si>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</si>
  <si>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</si>
  <si>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</si>
  <si>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</si>
  <si>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</si>
  <si>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</si>
  <si>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</si>
  <si>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</si>
  <si>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</si>
  <si>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</si>
  <si>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</si>
  <si>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</si>
  <si>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</si>
  <si>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</si>
  <si>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</si>
  <si>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</si>
  <si>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</si>
  <si>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</si>
  <si>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</si>
  <si>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</si>
  <si>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</si>
  <si>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</si>
  <si>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</si>
  <si>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</si>
  <si>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</si>
  <si>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</si>
  <si>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</si>
  <si>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</si>
  <si>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</si>
  <si>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</si>
  <si>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</si>
  <si>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</si>
  <si>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</si>
  <si>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</si>
  <si>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</si>
  <si>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</si>
  <si>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</si>
  <si>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</si>
  <si>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</si>
  <si>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</si>
  <si>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</si>
  <si>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</si>
  <si>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</si>
  <si>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</si>
  <si>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</si>
  <si>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</si>
  <si>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</si>
  <si>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</si>
  <si>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</si>
  <si>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</si>
  <si>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</si>
  <si>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</si>
  <si>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</si>
  <si>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</si>
  <si>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</si>
  <si>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</si>
  <si>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</si>
  <si>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</si>
  <si>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</si>
  <si>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</si>
  <si>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</si>
  <si>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</si>
  <si>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</si>
  <si>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</si>
  <si>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</si>
  <si>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</si>
  <si>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</si>
  <si>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</si>
  <si>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</si>
  <si>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</si>
  <si>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</si>
  <si>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</si>
  <si>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</si>
  <si>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</si>
  <si>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</si>
  <si>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</si>
  <si>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</si>
  <si>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</si>
  <si>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</si>
  <si>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</si>
  <si>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</si>
  <si>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</si>
  <si>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</si>
  <si>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</si>
  <si>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</si>
  <si>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</si>
  <si>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</si>
  <si>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</si>
  <si>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</si>
  <si>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</si>
  <si>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</si>
  <si>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</si>
  <si>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</si>
  <si>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</si>
  <si>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</si>
  <si>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</si>
  <si>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</si>
  <si>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</si>
  <si>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</si>
  <si>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</si>
  <si>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</si>
  <si>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</si>
  <si>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</si>
  <si>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</si>
  <si>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</si>
  <si>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</si>
  <si>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</si>
  <si>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</si>
  <si>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</si>
  <si>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</si>
  <si>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</si>
  <si>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</si>
  <si>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</si>
  <si>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</si>
  <si>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</si>
  <si>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</si>
  <si>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</si>
  <si>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</si>
  <si>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</si>
  <si>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</si>
  <si>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</si>
  <si>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</si>
  <si>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</si>
  <si>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</si>
  <si>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</si>
  <si>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</si>
  <si>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</si>
  <si>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</si>
  <si>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</si>
  <si>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</si>
  <si>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</si>
  <si>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</si>
  <si>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</si>
  <si>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</si>
  <si>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</si>
  <si>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</si>
  <si>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</si>
  <si>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</si>
  <si>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</si>
  <si>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</si>
  <si>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</si>
  <si>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</si>
  <si>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</si>
  <si>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</si>
  <si>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</si>
  <si>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</si>
  <si>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</si>
  <si>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</si>
  <si>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</si>
  <si>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</si>
  <si>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</si>
  <si>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</si>
  <si>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</si>
  <si>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</si>
  <si>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</si>
  <si>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</si>
  <si>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</si>
  <si>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</si>
  <si>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</si>
  <si>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</si>
  <si>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</si>
  <si>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</si>
  <si>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</si>
  <si>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</si>
  <si>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</si>
  <si>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</si>
  <si>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</si>
  <si>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</si>
  <si>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</si>
  <si>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</si>
  <si>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</si>
  <si>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</si>
  <si>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</si>
  <si>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</si>
  <si>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</si>
  <si>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</si>
  <si>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</si>
  <si>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</si>
  <si>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</si>
  <si>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</si>
  <si>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</si>
  <si>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</si>
  <si>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</si>
  <si>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</si>
  <si>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</si>
  <si>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</si>
  <si>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</si>
  <si>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</si>
  <si>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</si>
  <si>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</si>
  <si>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</si>
  <si>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</si>
  <si>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</si>
  <si>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</si>
  <si>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</si>
  <si>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</si>
  <si>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</si>
  <si>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</si>
  <si>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</si>
  <si>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</si>
  <si>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</si>
  <si>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</si>
  <si>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</si>
  <si>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</si>
  <si>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</si>
  <si>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</si>
  <si>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</si>
  <si>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</si>
  <si>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</si>
  <si>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</si>
  <si>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</si>
  <si>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</si>
  <si>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</si>
  <si>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</si>
  <si>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</si>
  <si>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</si>
  <si>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</si>
  <si>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</si>
  <si>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</si>
  <si>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</si>
  <si>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</si>
  <si>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</si>
  <si>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</si>
  <si>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</si>
  <si>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</si>
  <si>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</si>
  <si>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</si>
  <si>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</si>
  <si>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</si>
  <si>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</si>
  <si>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</si>
  <si>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</si>
  <si>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</si>
  <si>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</si>
  <si>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</si>
  <si>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</si>
  <si>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</si>
  <si>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</si>
  <si>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</si>
  <si>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</si>
  <si>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</si>
  <si>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</si>
  <si>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</si>
  <si>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</si>
  <si>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</si>
  <si>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</si>
  <si>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</si>
  <si>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</si>
  <si>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</si>
  <si>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</si>
  <si>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</si>
  <si>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</si>
  <si>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</si>
  <si>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</si>
  <si>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</si>
  <si>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</si>
  <si>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</si>
  <si>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</si>
  <si>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</si>
  <si>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</si>
  <si>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</si>
  <si>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</si>
  <si>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</si>
  <si>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</si>
  <si>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</si>
  <si>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</si>
  <si>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</si>
  <si>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</si>
  <si>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</si>
  <si>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</si>
  <si>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</si>
  <si>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</si>
  <si>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</si>
  <si>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</si>
  <si>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</si>
  <si>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</si>
  <si>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</si>
  <si>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</si>
  <si>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</si>
  <si>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</si>
  <si>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</si>
  <si>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</si>
  <si>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</si>
  <si>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</si>
  <si>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</si>
  <si>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</si>
  <si>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</si>
  <si>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</si>
  <si>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</si>
  <si>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</si>
  <si>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</si>
  <si>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</si>
  <si>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</si>
  <si>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</si>
  <si>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</si>
  <si>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</si>
  <si>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</si>
  <si>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</si>
  <si>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</si>
  <si>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</si>
  <si>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</si>
  <si>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</si>
  <si>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</si>
  <si>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</si>
  <si>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</si>
  <si>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</si>
  <si>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</si>
  <si>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</si>
  <si>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</si>
  <si>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</si>
  <si>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</si>
  <si>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</si>
  <si>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</si>
  <si>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</si>
  <si>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</si>
  <si>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</si>
  <si>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</si>
  <si>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</si>
  <si>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</si>
  <si>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</si>
  <si>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</si>
  <si>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</si>
  <si>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</si>
  <si>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</si>
  <si>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</si>
  <si>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</si>
  <si>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</si>
  <si>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</si>
  <si>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</si>
  <si>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</si>
  <si>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</si>
  <si>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</si>
  <si>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</si>
  <si>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</si>
  <si>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</si>
  <si>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</si>
  <si>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</si>
  <si>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</si>
  <si>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</si>
  <si>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</si>
  <si>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</si>
  <si>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</si>
  <si>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</si>
  <si>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</si>
  <si>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</si>
  <si>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</si>
  <si>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</si>
  <si>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</si>
  <si>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</si>
  <si>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</si>
  <si>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</si>
  <si>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</si>
  <si>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</si>
  <si>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</si>
  <si>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</si>
  <si>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</si>
  <si>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</si>
  <si>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</si>
  <si>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</si>
  <si>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</si>
  <si>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</si>
  <si>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</si>
  <si>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</si>
  <si>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</si>
  <si>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</si>
  <si>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</si>
  <si>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</si>
  <si>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</si>
  <si>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</si>
  <si>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</si>
  <si>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</si>
  <si>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</si>
  <si>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</si>
  <si>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</si>
  <si>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</si>
  <si>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</si>
  <si>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</si>
  <si>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</si>
  <si>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</si>
  <si>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</si>
  <si>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</si>
  <si>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</si>
  <si>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</si>
  <si>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</si>
  <si>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</si>
  <si>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</si>
  <si>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</si>
  <si>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</si>
  <si>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</si>
  <si>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</si>
  <si>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</si>
  <si>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</si>
  <si>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</si>
  <si>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</si>
  <si>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</si>
  <si>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</si>
  <si>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</si>
  <si>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</si>
  <si>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</si>
  <si>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</si>
  <si>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</si>
  <si>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</si>
  <si>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</si>
  <si>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</si>
  <si>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</si>
  <si>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</si>
  <si>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</si>
  <si>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</si>
  <si>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</si>
  <si>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</si>
  <si>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</si>
  <si>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</si>
  <si>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</si>
  <si>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</si>
  <si>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</si>
  <si>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</si>
  <si>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</si>
  <si>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</si>
  <si>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</si>
  <si>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</si>
  <si>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</si>
  <si>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</si>
  <si>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</si>
  <si>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</si>
  <si>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</si>
  <si>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</si>
  <si>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</si>
  <si>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</si>
  <si>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</si>
  <si>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</si>
  <si>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</si>
  <si>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</si>
  <si>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</si>
  <si>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</si>
  <si>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</si>
  <si>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</si>
  <si>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</si>
  <si>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</si>
  <si>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</si>
  <si>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</si>
  <si>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</si>
  <si>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</si>
  <si>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</si>
  <si>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</si>
  <si>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</si>
  <si>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</si>
  <si>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</si>
  <si>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</si>
  <si>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</si>
  <si>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</si>
  <si>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</si>
  <si>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</si>
  <si>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</si>
  <si>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</si>
  <si>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</si>
  <si>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</si>
  <si>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</si>
  <si>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</si>
  <si>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</si>
  <si>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</si>
  <si>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</si>
  <si>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</si>
  <si>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</si>
  <si>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</si>
  <si>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</si>
  <si>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</si>
  <si>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</si>
  <si>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</si>
  <si>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</si>
  <si>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</si>
  <si>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</si>
  <si>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</si>
  <si>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</si>
  <si>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</si>
  <si>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</si>
  <si>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</si>
  <si>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</si>
  <si>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</si>
  <si>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</si>
  <si>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</si>
  <si>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</si>
  <si>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</si>
  <si>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</si>
  <si>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</si>
  <si>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</si>
  <si>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</si>
  <si>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</si>
  <si>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</si>
  <si>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</si>
  <si>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</si>
  <si>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</si>
  <si>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</si>
  <si>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</si>
  <si>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</si>
  <si>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</si>
  <si>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</si>
  <si>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</si>
  <si>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</si>
  <si>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</si>
  <si>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</si>
  <si>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</si>
  <si>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</si>
  <si>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</si>
  <si>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</si>
  <si>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</si>
  <si>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</si>
  <si>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</si>
  <si>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</si>
  <si>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</si>
  <si>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</si>
  <si>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</si>
  <si>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</si>
  <si>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</si>
  <si>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</si>
  <si>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</si>
  <si>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</si>
  <si>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</si>
  <si>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</si>
  <si>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</si>
  <si>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</si>
  <si>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</si>
  <si>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</si>
  <si>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</si>
  <si>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</si>
  <si>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</si>
  <si>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</si>
  <si>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</si>
  <si>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</si>
  <si>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</si>
  <si>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</si>
  <si>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</si>
  <si>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</si>
  <si>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</si>
  <si>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</si>
  <si>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</si>
  <si>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</si>
  <si>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</si>
  <si>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</si>
  <si>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</si>
  <si>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</si>
  <si>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</si>
  <si>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</si>
  <si>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</si>
  <si>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</si>
  <si>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</si>
  <si>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</si>
  <si>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</si>
  <si>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</si>
  <si>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</si>
  <si>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</si>
  <si>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</si>
  <si>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</si>
  <si>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</si>
  <si>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</si>
  <si>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</si>
  <si>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</si>
  <si>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</si>
  <si>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</si>
  <si>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</si>
  <si>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</si>
  <si>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</si>
  <si>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</si>
  <si>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</si>
  <si>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</si>
  <si>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</si>
  <si>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</si>
  <si>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</si>
  <si>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</si>
  <si>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</si>
  <si>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</si>
  <si>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</si>
  <si>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</si>
  <si>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</si>
  <si>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</si>
  <si>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</si>
  <si>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</si>
  <si>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</si>
  <si>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</si>
  <si>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</si>
  <si>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</si>
  <si>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</si>
  <si>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</si>
  <si>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</si>
  <si>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</si>
  <si>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</si>
  <si>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</si>
  <si>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</si>
  <si>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</si>
  <si>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</si>
  <si>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</si>
  <si>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</si>
  <si>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</si>
  <si>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</si>
  <si>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</si>
  <si>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</si>
  <si>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</si>
  <si>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</si>
  <si>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</si>
  <si>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</si>
  <si>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</si>
  <si>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</si>
  <si>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</si>
  <si>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</si>
  <si>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</si>
  <si>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</si>
  <si>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</si>
  <si>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</si>
  <si>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</si>
  <si>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</si>
  <si>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</si>
  <si>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</si>
  <si>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</si>
  <si>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</si>
  <si>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</si>
  <si>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</si>
  <si>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</si>
  <si>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</si>
  <si>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</si>
  <si>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</si>
  <si>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</si>
  <si>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</si>
  <si>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</si>
  <si>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</si>
  <si>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</si>
  <si>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</si>
  <si>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</si>
  <si>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</si>
  <si>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</si>
  <si>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</si>
  <si>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</si>
  <si>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</si>
  <si>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</si>
  <si>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</si>
  <si>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</si>
  <si>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</si>
  <si>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</si>
  <si>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</si>
  <si>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</si>
  <si>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</si>
  <si>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</si>
  <si>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</si>
  <si>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</si>
  <si>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</si>
  <si>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</si>
  <si>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</si>
  <si>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</si>
  <si>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</si>
  <si>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</si>
  <si>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</si>
  <si>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</si>
  <si>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</si>
  <si>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</si>
  <si>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</si>
  <si>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</si>
  <si>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</si>
  <si>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</si>
  <si>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</si>
  <si>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</si>
  <si>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</si>
  <si>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</si>
  <si>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</si>
  <si>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</si>
  <si>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</si>
  <si>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</si>
  <si>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</si>
  <si>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</si>
  <si>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</si>
  <si>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</si>
  <si>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</si>
  <si>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</si>
  <si>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</si>
  <si>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</si>
  <si>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</si>
  <si>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</si>
  <si>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</si>
  <si>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</si>
  <si>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</si>
  <si>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</si>
  <si>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</si>
  <si>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</si>
  <si>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</si>
  <si>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</si>
  <si>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</si>
  <si>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</si>
  <si>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</si>
  <si>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</si>
  <si>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</si>
  <si>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</si>
  <si>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</si>
  <si>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</si>
  <si>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</si>
  <si>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</si>
  <si>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</si>
  <si>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</si>
  <si>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</si>
  <si>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</si>
  <si>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</si>
  <si>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</si>
  <si>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</si>
  <si>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</si>
  <si>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</si>
  <si>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</si>
  <si>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</si>
  <si>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</si>
  <si>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</si>
  <si>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</si>
  <si>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</si>
  <si>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</si>
  <si>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</si>
  <si>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</si>
  <si>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</si>
  <si>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</si>
  <si>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</si>
  <si>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</si>
  <si>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</si>
  <si>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</si>
  <si>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</si>
  <si>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</si>
  <si>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</si>
  <si>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</si>
  <si>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</si>
  <si>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</si>
  <si>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</si>
  <si>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</si>
  <si>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</si>
  <si>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</si>
  <si>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</si>
  <si>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</si>
  <si>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</si>
  <si>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</si>
  <si>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</si>
  <si>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</si>
  <si>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</si>
  <si>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</si>
  <si>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</si>
  <si>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</si>
  <si>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</si>
  <si>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</si>
  <si>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</si>
  <si>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</si>
  <si>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</si>
  <si>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</si>
  <si>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</si>
  <si>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</si>
  <si>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</si>
  <si>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</si>
  <si>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</si>
  <si>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</si>
  <si>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</si>
  <si>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</si>
  <si>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</si>
  <si>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</si>
  <si>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</si>
  <si>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</si>
  <si>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</si>
  <si>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</si>
  <si>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</si>
  <si>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</si>
  <si>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</si>
  <si>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</si>
  <si>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</si>
  <si>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</si>
  <si>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</si>
  <si>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</si>
  <si>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</si>
  <si>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</si>
  <si>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</si>
  <si>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</si>
  <si>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</si>
  <si>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</si>
  <si>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</si>
  <si>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</si>
  <si>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</si>
  <si>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</si>
  <si>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</si>
  <si>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</si>
  <si>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</si>
  <si>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</si>
  <si>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</si>
  <si>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</si>
  <si>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</si>
  <si>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</si>
  <si>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</si>
  <si>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</si>
  <si>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</si>
  <si>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</si>
  <si>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</si>
  <si>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</si>
  <si>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</si>
  <si>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</si>
  <si>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</si>
  <si>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</si>
  <si>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</si>
  <si>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</si>
  <si>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</si>
  <si>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</si>
  <si>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</si>
  <si>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</si>
  <si>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</si>
  <si>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</si>
  <si>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</si>
  <si>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</si>
  <si>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</si>
  <si>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</si>
  <si>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</si>
  <si>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</si>
  <si>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</si>
  <si>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</si>
  <si>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</si>
  <si>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</si>
  <si>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</si>
  <si>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</si>
  <si>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</si>
  <si>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</si>
  <si>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</si>
  <si>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</si>
  <si>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</si>
  <si>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</si>
  <si>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</si>
  <si>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</si>
  <si>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</si>
  <si>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</si>
  <si>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</si>
  <si>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</si>
  <si>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</si>
  <si>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</si>
  <si>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</si>
  <si>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</si>
  <si>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</si>
  <si>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</si>
  <si>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</si>
  <si>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</si>
  <si>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</si>
  <si>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</si>
  <si>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</si>
  <si>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</si>
  <si>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</si>
  <si>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</si>
  <si>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</si>
  <si>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</si>
  <si>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</si>
  <si>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</si>
  <si>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</si>
  <si>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</si>
  <si>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</si>
  <si>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</si>
  <si>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</si>
  <si>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</si>
  <si>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</si>
  <si>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</si>
  <si>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</si>
  <si>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</si>
  <si>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</si>
  <si>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</si>
  <si>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</si>
  <si>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</si>
  <si>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</si>
  <si>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</si>
  <si>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</si>
  <si>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</si>
  <si>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</si>
  <si>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</si>
  <si>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</si>
  <si>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</si>
  <si>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</si>
  <si>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</si>
  <si>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</si>
  <si>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</si>
  <si>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</si>
  <si>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</si>
  <si>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</si>
  <si>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</si>
  <si>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</si>
  <si>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</si>
  <si>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</si>
  <si>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</si>
  <si>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</si>
  <si>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</si>
  <si>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</si>
  <si>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</si>
  <si>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</si>
  <si>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</si>
  <si>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</si>
  <si>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</si>
  <si>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</si>
  <si>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</si>
  <si>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</si>
  <si>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</si>
  <si>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</si>
  <si>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</si>
  <si>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</si>
  <si>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</si>
  <si>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</si>
  <si>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</si>
  <si>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</si>
  <si>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</si>
  <si>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</si>
  <si>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</si>
  <si>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</si>
  <si>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</si>
  <si>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</si>
  <si>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</si>
  <si>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</si>
  <si>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</si>
  <si>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</si>
  <si>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</si>
  <si>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</si>
  <si>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</si>
  <si>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</si>
  <si>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</si>
  <si>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</si>
  <si>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</si>
  <si>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</si>
  <si>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</si>
  <si>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</si>
  <si>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</si>
  <si>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</si>
  <si>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</si>
  <si>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</si>
  <si>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</si>
  <si>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</si>
  <si>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</si>
  <si>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</si>
  <si>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</si>
  <si>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</si>
  <si>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</si>
  <si>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</si>
  <si>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</si>
  <si>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</si>
  <si>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</si>
  <si>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</si>
  <si>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</si>
  <si>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</si>
  <si>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</si>
  <si>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</si>
  <si>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</si>
  <si>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</si>
  <si>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</si>
  <si>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</si>
  <si>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</si>
  <si>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</si>
  <si>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</si>
  <si>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</si>
  <si>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</si>
  <si>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</si>
  <si>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</si>
  <si>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</si>
  <si>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</si>
  <si>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</si>
  <si>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</si>
  <si>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</si>
  <si>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</si>
  <si>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</si>
  <si>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</si>
  <si>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</si>
  <si>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</si>
  <si>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</si>
  <si>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</si>
  <si>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</si>
  <si>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</si>
  <si>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</si>
  <si>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</si>
  <si>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</si>
  <si>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</si>
  <si>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</si>
  <si>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</si>
  <si>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</si>
  <si>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</si>
  <si>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</si>
  <si>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</si>
  <si>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</si>
  <si>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</si>
  <si>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</si>
  <si>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</si>
  <si>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</si>
  <si>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</si>
  <si>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</si>
  <si>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</si>
  <si>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</si>
  <si>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</si>
  <si>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</si>
  <si>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</si>
  <si>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</si>
  <si>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</si>
  <si>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</si>
  <si>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</si>
  <si>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</si>
  <si>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</si>
  <si>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</si>
  <si>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</si>
  <si>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</si>
  <si>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</si>
  <si>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</si>
  <si>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</si>
  <si>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</si>
  <si>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</si>
  <si>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</si>
  <si>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</si>
  <si>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</si>
  <si>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</si>
  <si>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</si>
  <si>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</si>
  <si>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</si>
  <si>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</si>
  <si>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</si>
  <si>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</si>
  <si>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</si>
  <si>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</si>
  <si>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</si>
  <si>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</si>
  <si>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</si>
  <si>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</si>
  <si>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</si>
  <si>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</si>
  <si>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</si>
  <si>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</si>
  <si>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</si>
  <si>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</si>
  <si>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</si>
  <si>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</si>
  <si>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</si>
  <si>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</si>
  <si>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</si>
  <si>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</si>
  <si>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</si>
  <si>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</si>
  <si>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</si>
  <si>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</si>
  <si>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</si>
  <si>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</si>
  <si>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</si>
  <si>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</si>
  <si>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</si>
  <si>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</si>
  <si>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</si>
  <si>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</si>
  <si>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</si>
  <si>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</si>
  <si>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</si>
  <si>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</si>
  <si>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</si>
  <si>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</si>
  <si>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</si>
  <si>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</si>
  <si>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</si>
  <si>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</si>
  <si>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</si>
  <si>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</si>
  <si>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</si>
  <si>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</si>
  <si>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</si>
  <si>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</si>
  <si>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</si>
  <si>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</si>
  <si>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</si>
  <si>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</si>
  <si>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</si>
  <si>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</si>
  <si>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</si>
  <si>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</si>
  <si>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</si>
  <si>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</si>
  <si>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</si>
  <si>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</si>
  <si>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</si>
  <si>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</si>
  <si>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</si>
  <si>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</si>
  <si>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</si>
  <si>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</si>
  <si>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</si>
  <si>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</si>
  <si>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</si>
  <si>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</si>
  <si>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</si>
  <si>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</si>
  <si>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</si>
  <si>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</si>
  <si>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</si>
  <si>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</si>
  <si>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</si>
  <si>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</si>
  <si>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</si>
  <si>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</si>
  <si>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</si>
  <si>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</si>
  <si>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</si>
  <si>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</si>
  <si>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</si>
  <si>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</si>
  <si>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</si>
  <si>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</si>
  <si>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</si>
  <si>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</si>
  <si>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</si>
  <si>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</si>
  <si>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</si>
  <si>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</si>
  <si>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</si>
  <si>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</si>
  <si>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</si>
  <si>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</si>
  <si>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</si>
  <si>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</si>
  <si>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</si>
  <si>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</si>
  <si>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</si>
  <si>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</si>
  <si>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</si>
  <si>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</si>
  <si>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</si>
  <si>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</si>
  <si>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</si>
  <si>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</si>
  <si>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</si>
  <si>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</si>
  <si>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</si>
  <si>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</si>
  <si>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</si>
  <si>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</si>
  <si>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</si>
  <si>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</si>
  <si>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</si>
  <si>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</si>
  <si>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</si>
  <si>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</si>
  <si>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</si>
  <si>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</si>
  <si>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</si>
  <si>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</si>
  <si>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</si>
  <si>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</si>
  <si>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</si>
  <si>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</si>
  <si>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</si>
  <si>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</si>
  <si>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</si>
  <si>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</si>
  <si>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</si>
  <si>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</si>
  <si>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</si>
  <si>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</si>
  <si>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</si>
  <si>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</si>
  <si>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</si>
  <si>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</si>
  <si>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</si>
  <si>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</si>
  <si>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</si>
  <si>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</si>
  <si>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</si>
  <si>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</si>
  <si>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</si>
  <si>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</si>
  <si>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</si>
  <si>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</si>
  <si>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</si>
  <si>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</si>
  <si>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</si>
  <si>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</si>
  <si>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</si>
  <si>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</si>
  <si>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</si>
  <si>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</si>
  <si>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</si>
  <si>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</si>
  <si>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</si>
  <si>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</si>
  <si>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</si>
  <si>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</si>
  <si>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</si>
  <si>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</si>
  <si>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</si>
  <si>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</si>
  <si>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</si>
  <si>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</si>
  <si>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</si>
  <si>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</si>
  <si>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</si>
  <si>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</si>
  <si>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</si>
  <si>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</si>
  <si>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</si>
  <si>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</si>
  <si>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</si>
  <si>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</si>
  <si>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</si>
  <si>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</si>
  <si>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</si>
  <si>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</si>
  <si>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</si>
  <si>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</si>
  <si>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</si>
  <si>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</si>
  <si>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</si>
  <si>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</si>
  <si>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</si>
  <si>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</si>
  <si>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</si>
  <si>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</si>
  <si>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</si>
  <si>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</si>
  <si>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</si>
  <si>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</si>
  <si>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</si>
  <si>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</si>
  <si>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</si>
  <si>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</si>
  <si>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</si>
  <si>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</si>
  <si>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</si>
  <si>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</si>
  <si>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</si>
  <si>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</si>
  <si>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</si>
  <si>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</si>
  <si>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</si>
  <si>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</si>
  <si>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</si>
  <si>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</si>
  <si>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</si>
  <si>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</si>
  <si>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</si>
  <si>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</si>
  <si>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</si>
  <si>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</si>
  <si>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</si>
  <si>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</si>
  <si>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</si>
  <si>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</si>
  <si>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</si>
  <si>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</si>
  <si>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</si>
  <si>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</si>
  <si>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</si>
  <si>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</si>
  <si>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</si>
  <si>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</si>
  <si>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</si>
  <si>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</si>
  <si>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</si>
  <si>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</si>
  <si>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</si>
  <si>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</si>
  <si>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</si>
  <si>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</si>
  <si>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</si>
  <si>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</si>
  <si>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</si>
  <si>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</si>
  <si>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</si>
  <si>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</si>
  <si>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</si>
  <si>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</si>
  <si>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</si>
  <si>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</si>
  <si>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</si>
  <si>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</si>
  <si>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</si>
  <si>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</si>
  <si>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</si>
  <si>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</si>
  <si>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</si>
  <si>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</si>
  <si>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</si>
  <si>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</si>
  <si>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</si>
  <si>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</si>
  <si>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</si>
  <si>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</si>
  <si>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</si>
  <si>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</si>
  <si>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</si>
  <si>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</si>
  <si>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</si>
  <si>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</si>
  <si>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</si>
  <si>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</si>
  <si>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</si>
  <si>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</si>
  <si>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</si>
  <si>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</si>
  <si>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</si>
  <si>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</si>
  <si>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</si>
  <si>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</si>
  <si>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</si>
  <si>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</si>
  <si>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</si>
  <si>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</si>
  <si>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</si>
  <si>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</si>
  <si>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</si>
  <si>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</si>
  <si>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</si>
  <si>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</si>
  <si>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</si>
  <si>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</si>
  <si>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</si>
  <si>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</si>
  <si>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</si>
  <si>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</si>
  <si>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</si>
  <si>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</si>
  <si>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</si>
  <si>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</si>
  <si>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</si>
  <si>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</si>
  <si>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</si>
  <si>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</si>
  <si>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</si>
  <si>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</si>
  <si>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</si>
  <si>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</si>
  <si>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</si>
  <si>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</si>
  <si>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</si>
  <si>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</si>
  <si>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</si>
  <si>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</si>
  <si>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</si>
  <si>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</si>
  <si>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</si>
  <si>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</si>
  <si>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</si>
  <si>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</si>
  <si>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</si>
  <si>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</si>
  <si>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</si>
  <si>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</si>
  <si>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</si>
  <si>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</si>
  <si>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</si>
  <si>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</si>
  <si>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</si>
  <si>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</si>
  <si>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</si>
  <si>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</si>
  <si>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</si>
  <si>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</si>
  <si>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</si>
  <si>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</si>
  <si>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</si>
  <si>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</si>
  <si>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</si>
  <si>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</si>
  <si>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</si>
  <si>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</si>
  <si>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</si>
  <si>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</si>
  <si>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</si>
  <si>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</si>
  <si>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</si>
  <si>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</si>
  <si>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</si>
  <si>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</si>
  <si>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</si>
  <si>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</si>
  <si>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</si>
  <si>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</si>
  <si>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</si>
  <si>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</si>
  <si>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</si>
  <si>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</si>
  <si>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</si>
  <si>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</si>
  <si>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</si>
  <si>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</si>
  <si>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</si>
  <si>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</si>
  <si>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</si>
  <si>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</si>
  <si>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</si>
  <si>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</si>
  <si>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</si>
  <si>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</si>
  <si>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</si>
  <si>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</si>
  <si>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</si>
  <si>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</si>
  <si>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</si>
  <si>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</si>
  <si>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</si>
  <si>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</si>
  <si>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</si>
  <si>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</si>
  <si>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</si>
  <si>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</si>
  <si>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</si>
  <si>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</si>
  <si>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</si>
  <si>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</si>
  <si>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</si>
  <si>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</si>
  <si>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</si>
  <si>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</si>
  <si>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</si>
  <si>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</si>
  <si>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</si>
  <si>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</si>
  <si>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</si>
  <si>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</si>
  <si>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</si>
  <si>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</si>
  <si>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</si>
  <si>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</si>
  <si>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</si>
  <si>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</si>
  <si>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</si>
  <si>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</si>
  <si>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</si>
  <si>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</si>
  <si>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</si>
  <si>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</si>
  <si>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</si>
  <si>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</si>
  <si>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</si>
  <si>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</si>
  <si>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</si>
  <si>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</si>
  <si>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</si>
  <si>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</si>
  <si>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</si>
  <si>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</si>
  <si>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</si>
  <si>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</si>
  <si>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</si>
  <si>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</si>
  <si>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</si>
  <si>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</si>
  <si>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</si>
  <si>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</si>
  <si>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</si>
  <si>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</si>
  <si>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</si>
  <si>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</si>
  <si>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</si>
  <si>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</si>
  <si>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</si>
  <si>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</si>
  <si>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</si>
  <si>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</si>
  <si>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</si>
  <si>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</si>
  <si>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</si>
  <si>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</si>
  <si>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</si>
  <si>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</si>
  <si>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</si>
  <si>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</si>
  <si>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</si>
  <si>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</si>
  <si>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</si>
  <si>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</si>
  <si>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</si>
  <si>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</si>
  <si>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</si>
  <si>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</si>
  <si>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</si>
  <si>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</si>
  <si>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</si>
  <si>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</si>
  <si>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</si>
  <si>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</si>
  <si>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</si>
  <si>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</si>
  <si>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</si>
  <si>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</si>
  <si>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</si>
  <si>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</si>
  <si>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</si>
  <si>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</si>
  <si>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</si>
  <si>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</si>
  <si>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</si>
  <si>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</si>
  <si>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</si>
  <si>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</si>
  <si>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</si>
  <si>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</si>
  <si>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</si>
  <si>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</si>
  <si>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</si>
  <si>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</si>
  <si>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</si>
  <si>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</si>
  <si>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</si>
  <si>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</si>
  <si>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</si>
  <si>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</si>
  <si>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</si>
  <si>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</si>
  <si>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</si>
  <si>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</si>
  <si>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</si>
  <si>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</si>
  <si>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</si>
  <si>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</si>
  <si>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</si>
  <si>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</si>
  <si>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</si>
  <si>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</si>
  <si>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</si>
  <si>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</si>
  <si>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</si>
  <si>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</si>
  <si>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</si>
  <si>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</si>
  <si>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</si>
  <si>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</si>
  <si>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</si>
  <si>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</si>
  <si>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</si>
  <si>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</si>
  <si>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</si>
  <si>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</si>
  <si>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</si>
  <si>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</si>
  <si>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</si>
  <si>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</si>
  <si>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</si>
  <si>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</si>
  <si>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</si>
  <si>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</si>
  <si>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</si>
  <si>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</si>
  <si>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</si>
  <si>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</si>
  <si>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</si>
  <si>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</si>
  <si>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</si>
  <si>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</si>
  <si>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</si>
  <si>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</si>
  <si>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</si>
  <si>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</si>
  <si>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</si>
  <si>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</si>
  <si>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</si>
  <si>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</si>
  <si>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</si>
  <si>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</si>
  <si>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</si>
  <si>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</si>
  <si>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</si>
  <si>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</si>
  <si>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</si>
  <si>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</si>
  <si>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</si>
  <si>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</si>
  <si>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</si>
  <si>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</si>
  <si>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</si>
  <si>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</si>
  <si>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</si>
  <si>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</si>
  <si>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</si>
  <si>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</si>
  <si>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</si>
  <si>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</si>
  <si>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</si>
  <si>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</si>
  <si>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</si>
  <si>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</si>
  <si>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</si>
  <si>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</si>
  <si>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</si>
  <si>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</si>
  <si>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</si>
  <si>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</si>
  <si>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</si>
  <si>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</si>
  <si>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</si>
  <si>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</si>
  <si>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</si>
  <si>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</si>
  <si>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</si>
  <si>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</si>
  <si>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</si>
  <si>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</si>
  <si>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</si>
  <si>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</si>
  <si>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</si>
  <si>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</si>
  <si>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</si>
  <si>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</si>
  <si>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</si>
  <si>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</si>
  <si>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</si>
  <si>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</si>
  <si>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</si>
  <si>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</si>
  <si>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</si>
  <si>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</si>
  <si>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</si>
  <si>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</si>
  <si>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</si>
  <si>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</si>
  <si>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</si>
  <si>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</si>
  <si>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</si>
  <si>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</si>
  <si>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</si>
  <si>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</si>
  <si>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</si>
  <si>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</si>
  <si>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</si>
  <si>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</si>
  <si>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</si>
  <si>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</si>
  <si>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</si>
  <si>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</si>
  <si>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</si>
  <si>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</si>
  <si>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</si>
  <si>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</si>
  <si>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</si>
  <si>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</si>
  <si>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</si>
  <si>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</si>
  <si>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</si>
  <si>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</si>
  <si>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</si>
  <si>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</si>
  <si>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</si>
  <si>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</si>
  <si>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</si>
  <si>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</si>
  <si>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</si>
  <si>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</si>
  <si>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</si>
  <si>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</si>
  <si>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</si>
  <si>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</si>
  <si>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</si>
  <si>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</si>
  <si>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</si>
  <si>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</si>
  <si>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</si>
  <si>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</si>
  <si>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</si>
  <si>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</si>
  <si>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</si>
  <si>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</si>
  <si>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</si>
  <si>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</si>
  <si>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</si>
  <si>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</si>
  <si>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</si>
  <si>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</si>
  <si>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</si>
  <si>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</si>
  <si>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</si>
  <si>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</si>
  <si>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</si>
  <si>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</si>
  <si>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</si>
  <si>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</si>
  <si>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</si>
  <si>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</si>
  <si>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</si>
  <si>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</si>
  <si>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</si>
  <si>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</si>
  <si>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</si>
  <si>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</si>
  <si>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</si>
  <si>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</si>
  <si>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</si>
  <si>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</si>
  <si>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</si>
  <si>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</si>
  <si>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</si>
  <si>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</si>
  <si>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</si>
  <si>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</si>
  <si>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</si>
  <si>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</si>
  <si>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</si>
  <si>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</si>
  <si>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</si>
  <si>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</si>
  <si>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</si>
  <si>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</si>
  <si>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</si>
  <si>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</si>
  <si>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</si>
  <si>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</si>
  <si>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</si>
  <si>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</si>
  <si>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</si>
  <si>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</si>
  <si>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</si>
  <si>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</si>
  <si>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</si>
  <si>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</si>
  <si>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</si>
  <si>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</si>
  <si>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</si>
  <si>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</si>
  <si>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</si>
  <si>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</si>
  <si>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</si>
  <si>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</si>
  <si>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</si>
  <si>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</si>
  <si>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</si>
  <si>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</si>
  <si>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</si>
  <si>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</si>
  <si>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</si>
  <si>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</si>
  <si>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</si>
  <si>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</si>
  <si>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</si>
  <si>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</si>
  <si>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</si>
  <si>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</si>
  <si>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</si>
  <si>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</si>
  <si>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</si>
  <si>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</si>
  <si>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</si>
  <si>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</si>
  <si>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</si>
  <si>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</si>
  <si>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</si>
  <si>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</si>
  <si>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</si>
  <si>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</si>
  <si>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</si>
  <si>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</si>
  <si>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</si>
  <si>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</si>
  <si>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</si>
  <si>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</si>
  <si>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</si>
  <si>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</si>
  <si>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</si>
  <si>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</si>
  <si>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</si>
  <si>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</si>
  <si>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</si>
  <si>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</si>
  <si>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</si>
  <si>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</si>
  <si>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</si>
  <si>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</si>
  <si>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</si>
  <si>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</si>
  <si>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</si>
  <si>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</si>
  <si>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</si>
  <si>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</si>
  <si>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</si>
  <si>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</si>
  <si>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</si>
  <si>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</si>
  <si>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</si>
  <si>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</si>
  <si>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</si>
  <si>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</si>
  <si>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</si>
  <si>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</si>
  <si>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</si>
  <si>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</si>
  <si>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</si>
  <si>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</si>
  <si>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</si>
  <si>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</si>
  <si>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</si>
  <si>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</si>
  <si>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</si>
  <si>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</si>
  <si>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</si>
  <si>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</si>
  <si>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</si>
  <si>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</si>
  <si>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</si>
  <si>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</si>
  <si>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</si>
  <si>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</si>
  <si>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</si>
  <si>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</si>
  <si>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</si>
  <si>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</si>
  <si>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</si>
  <si>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</si>
  <si>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</si>
  <si>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</si>
  <si>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</si>
  <si>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</si>
  <si>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</si>
  <si>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</si>
  <si>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</si>
  <si>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</si>
  <si>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</si>
  <si>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</si>
  <si>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</si>
  <si>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</si>
  <si>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</si>
  <si>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</si>
  <si>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</si>
  <si>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</si>
  <si>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</si>
  <si>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</si>
  <si>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</si>
  <si>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</si>
  <si>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</si>
  <si>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</si>
  <si>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</si>
  <si>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</si>
  <si>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</si>
  <si>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</si>
  <si>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</si>
  <si>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</si>
  <si>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</si>
  <si>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</si>
  <si>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</si>
  <si>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</si>
  <si>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</si>
  <si>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</si>
  <si>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</si>
  <si>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</si>
  <si>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</si>
  <si>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</si>
  <si>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</si>
  <si>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</si>
  <si>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</si>
  <si>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</si>
  <si>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</si>
  <si>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</si>
  <si>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</si>
  <si>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</si>
  <si>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</si>
  <si>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</si>
  <si>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</si>
  <si>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</si>
  <si>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</si>
  <si>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</si>
  <si>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</si>
  <si>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</si>
  <si>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</si>
  <si>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</si>
  <si>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</si>
  <si>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</si>
  <si>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</si>
  <si>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</si>
  <si>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</si>
  <si>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</si>
  <si>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</si>
  <si>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</si>
  <si>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</si>
  <si>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</si>
  <si>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</si>
  <si>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</si>
  <si>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</si>
  <si>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</si>
  <si>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</si>
  <si>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</si>
  <si>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</si>
  <si>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</si>
  <si>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</si>
  <si>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</si>
  <si>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</si>
  <si>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</si>
  <si>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</si>
  <si>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</si>
  <si>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</si>
  <si>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</si>
  <si>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</si>
  <si>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</si>
  <si>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</si>
  <si>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</si>
  <si>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</si>
  <si>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</si>
  <si>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</si>
  <si>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</si>
  <si>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</si>
  <si>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</si>
  <si>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</si>
  <si>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</si>
  <si>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</si>
  <si>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</si>
  <si>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</si>
  <si>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</si>
  <si>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</si>
  <si>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</si>
  <si>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</si>
  <si>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</si>
  <si>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</si>
  <si>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</si>
  <si>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</si>
  <si>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</si>
  <si>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</si>
  <si>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</si>
  <si>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</si>
  <si>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</si>
  <si>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</si>
  <si>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</si>
  <si>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</si>
  <si>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</si>
  <si>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</si>
  <si>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</si>
  <si>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</si>
  <si>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</si>
  <si>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</si>
  <si>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</si>
  <si>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</si>
  <si>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</si>
  <si>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</si>
  <si>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</si>
  <si>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</si>
  <si>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</si>
  <si>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</si>
  <si>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</si>
  <si>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</si>
  <si>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</si>
  <si>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</si>
  <si>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</si>
  <si>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</si>
  <si>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</si>
  <si>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</si>
  <si>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</si>
  <si>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</si>
  <si>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</si>
  <si>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</si>
  <si>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</si>
  <si>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</si>
  <si>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</si>
  <si>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</si>
  <si>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</si>
  <si>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</si>
  <si>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</si>
  <si>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</si>
  <si>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</si>
  <si>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</si>
  <si>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</si>
  <si>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</si>
  <si>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</si>
  <si>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</si>
  <si>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</si>
  <si>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</si>
  <si>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</si>
  <si>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</si>
  <si>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</si>
  <si>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</si>
  <si>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</si>
  <si>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</si>
  <si>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</si>
  <si>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</si>
  <si>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</si>
  <si>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</si>
  <si>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</si>
  <si>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</si>
  <si>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</si>
  <si>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</si>
  <si>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</si>
  <si>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</si>
  <si>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</si>
  <si>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</si>
  <si>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</si>
  <si>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</si>
  <si>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</si>
  <si>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</si>
  <si>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</si>
  <si>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</si>
  <si>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</si>
  <si>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</si>
  <si>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</si>
  <si>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</si>
  <si>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</si>
  <si>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</si>
  <si>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</si>
  <si>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</si>
  <si>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</si>
  <si>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</si>
  <si>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</si>
  <si>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</si>
  <si>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</si>
  <si>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</si>
  <si>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</si>
  <si>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</si>
  <si>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</si>
  <si>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</si>
  <si>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</si>
  <si>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</si>
  <si>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</si>
  <si>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</si>
  <si>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</si>
  <si>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</si>
  <si>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</si>
  <si>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</si>
  <si>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</si>
  <si>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</si>
  <si>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</si>
  <si>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</si>
  <si>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</si>
  <si>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</si>
  <si>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</si>
  <si>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</si>
  <si>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</si>
  <si>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</si>
  <si>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</si>
  <si>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</si>
  <si>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</si>
  <si>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</si>
  <si>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</si>
  <si>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</si>
  <si>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</si>
  <si>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</si>
  <si>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</si>
  <si>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</si>
  <si>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</si>
  <si>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</si>
  <si>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</si>
  <si>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</si>
  <si>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</si>
  <si>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</si>
  <si>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</si>
  <si>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</si>
  <si>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</si>
  <si>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</si>
  <si>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</si>
  <si>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</si>
  <si>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</si>
  <si>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</si>
  <si>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</si>
  <si>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</si>
  <si>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</si>
  <si>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</si>
  <si>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</si>
  <si>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</si>
  <si>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</si>
  <si>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</si>
  <si>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</si>
  <si>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</si>
  <si>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</si>
  <si>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</si>
  <si>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</si>
  <si>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</si>
  <si>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</si>
  <si>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</si>
  <si>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</si>
  <si>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</si>
  <si>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</si>
  <si>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</si>
  <si>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</si>
  <si>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</si>
  <si>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</si>
  <si>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</si>
  <si>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</si>
  <si>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</si>
  <si>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</si>
  <si>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</si>
  <si>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</si>
  <si>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</si>
  <si>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</si>
  <si>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</si>
  <si>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</si>
  <si>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</si>
  <si>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</si>
  <si>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</si>
  <si>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</si>
  <si>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</si>
  <si>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</si>
  <si>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</si>
  <si>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</si>
  <si>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</si>
  <si>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</si>
  <si>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</si>
  <si>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</si>
  <si>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</si>
  <si>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</si>
  <si>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</si>
  <si>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</si>
  <si>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</si>
  <si>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</si>
  <si>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</si>
  <si>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</si>
  <si>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</si>
  <si>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</si>
  <si>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</si>
  <si>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</si>
  <si>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</si>
  <si>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</si>
  <si>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</si>
  <si>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</si>
  <si>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</si>
  <si>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</si>
  <si>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</si>
  <si>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</si>
  <si>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</si>
  <si>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</si>
  <si>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</si>
  <si>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</si>
  <si>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</si>
  <si>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</si>
  <si>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</si>
  <si>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</si>
  <si>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</si>
  <si>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</si>
  <si>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</si>
  <si>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</si>
  <si>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</si>
  <si>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</si>
  <si>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</si>
  <si>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</si>
  <si>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</si>
  <si>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</si>
  <si>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</si>
  <si>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</si>
  <si>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</si>
  <si>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</si>
  <si>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</si>
  <si>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</si>
  <si>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</si>
  <si>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</si>
  <si>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</si>
  <si>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</si>
  <si>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</si>
  <si>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</si>
  <si>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</si>
  <si>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</si>
  <si>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</si>
  <si>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</si>
  <si>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</si>
  <si>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</si>
  <si>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</si>
  <si>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</si>
  <si>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</si>
  <si>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</si>
  <si>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</si>
  <si>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</si>
  <si>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</si>
  <si>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</si>
  <si>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</si>
  <si>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</si>
  <si>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</si>
  <si>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</si>
  <si>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</si>
  <si>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</si>
  <si>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</si>
  <si>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</si>
  <si>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</si>
  <si>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</si>
  <si>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</si>
  <si>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</si>
  <si>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</si>
  <si>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</si>
  <si>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</si>
  <si>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</si>
  <si>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</si>
  <si>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</si>
  <si>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</si>
  <si>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</si>
  <si>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</si>
  <si>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</si>
  <si>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</si>
  <si>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</si>
  <si>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</si>
  <si>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</si>
  <si>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</si>
  <si>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</si>
  <si>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</si>
  <si>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</si>
  <si>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</si>
  <si>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</si>
  <si>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</si>
  <si>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</si>
  <si>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</si>
  <si>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</si>
  <si>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</si>
  <si>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</si>
  <si>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</si>
  <si>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</si>
  <si>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</si>
  <si>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</si>
  <si>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</si>
  <si>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</si>
  <si>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</si>
  <si>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</si>
  <si>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</si>
  <si>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</si>
  <si>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</si>
  <si>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</si>
  <si>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</si>
  <si>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</si>
  <si>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</si>
  <si>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</si>
  <si>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</si>
  <si>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</si>
  <si>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</si>
  <si>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</si>
  <si>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</si>
  <si>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</si>
  <si>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</si>
  <si>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</si>
  <si>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</si>
  <si>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</si>
  <si>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</si>
  <si>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</si>
  <si>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</si>
  <si>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</si>
  <si>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</si>
  <si>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</si>
  <si>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</si>
  <si>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</si>
  <si>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</si>
  <si>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</si>
  <si>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</si>
  <si>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</si>
  <si>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</si>
  <si>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</si>
  <si>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</si>
  <si>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</si>
  <si>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</si>
  <si>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</si>
  <si>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</si>
  <si>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</si>
  <si>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</si>
  <si>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</si>
  <si>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</si>
  <si>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</si>
  <si>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</si>
  <si>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</si>
  <si>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</si>
  <si>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</si>
  <si>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</si>
  <si>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</si>
  <si>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</si>
  <si>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</si>
  <si>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</si>
  <si>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</si>
  <si>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</si>
  <si>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</si>
  <si>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</si>
  <si>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</si>
  <si>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</si>
  <si>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</si>
  <si>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</si>
  <si>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</si>
  <si>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</si>
  <si>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</si>
  <si>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</si>
  <si>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</si>
  <si>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</si>
  <si>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</si>
  <si>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</si>
  <si>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</si>
  <si>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</si>
  <si>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</si>
  <si>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</si>
  <si>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</si>
  <si>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</si>
  <si>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</si>
  <si>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</si>
  <si>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</si>
  <si>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</si>
  <si>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</si>
  <si>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</si>
  <si>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</si>
  <si>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</si>
  <si>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</si>
  <si>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</si>
  <si>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</si>
  <si>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</si>
  <si>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</si>
  <si>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</si>
  <si>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</si>
  <si>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</si>
  <si>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</si>
  <si>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</si>
  <si>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</si>
  <si>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</si>
  <si>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</si>
  <si>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</si>
  <si>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</si>
  <si>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</si>
  <si>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</si>
  <si>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</si>
  <si>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</si>
  <si>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</si>
  <si>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</si>
  <si>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</si>
  <si>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</si>
  <si>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</si>
  <si>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</si>
  <si>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</si>
  <si>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</si>
  <si>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</si>
  <si>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</si>
  <si>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</si>
  <si>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</si>
  <si>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</si>
  <si>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</si>
  <si>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</si>
  <si>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</si>
  <si>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</si>
  <si>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</si>
  <si>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</si>
  <si>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</si>
  <si>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</si>
  <si>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</si>
  <si>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</si>
  <si>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</si>
  <si>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</si>
  <si>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</si>
  <si>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</si>
  <si>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</si>
  <si>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</si>
  <si>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</si>
  <si>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</si>
  <si>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</si>
  <si>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</si>
  <si>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</si>
  <si>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</si>
  <si>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</si>
  <si>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</si>
  <si>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</si>
  <si>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</si>
  <si>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</si>
  <si>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</si>
  <si>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</si>
  <si>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</si>
  <si>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</si>
  <si>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</si>
  <si>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</si>
  <si>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</si>
  <si>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</si>
  <si>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</si>
  <si>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</si>
  <si>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</si>
  <si>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</si>
  <si>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</si>
  <si>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</si>
  <si>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</si>
  <si>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</si>
  <si>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</si>
  <si>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</si>
  <si>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</si>
  <si>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</si>
  <si>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</si>
  <si>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</si>
  <si>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</si>
  <si>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</si>
  <si>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</si>
  <si>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</si>
  <si>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</si>
  <si>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</si>
  <si>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</si>
  <si>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</si>
  <si>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</si>
  <si>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</si>
  <si>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</si>
  <si>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</si>
  <si>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</si>
  <si>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</si>
  <si>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</si>
  <si>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</si>
  <si>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</si>
  <si>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</si>
  <si>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</si>
  <si>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</si>
  <si>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</si>
  <si>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</si>
  <si>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</si>
  <si>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</si>
  <si>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</si>
  <si>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</si>
  <si>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</si>
  <si>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</si>
  <si>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</si>
  <si>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</si>
  <si>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</si>
  <si>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</si>
  <si>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</si>
  <si>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</si>
  <si>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</si>
  <si>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</si>
  <si>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</si>
  <si>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</si>
  <si>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</si>
  <si>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</si>
  <si>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</si>
  <si>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</si>
  <si>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</si>
  <si>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</si>
  <si>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</si>
  <si>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</si>
  <si>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</si>
  <si>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</si>
  <si>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</si>
  <si>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</si>
  <si>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</si>
  <si>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</si>
  <si>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</si>
  <si>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</si>
  <si>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</si>
  <si>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</si>
  <si>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</si>
  <si>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</si>
  <si>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</si>
  <si>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</si>
  <si>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</si>
  <si>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</si>
  <si>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</si>
  <si>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</si>
  <si>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</si>
  <si>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</si>
  <si>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</si>
  <si>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</si>
  <si>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</si>
  <si>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</si>
  <si>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</si>
  <si>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</si>
  <si>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</si>
  <si>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</si>
  <si>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</si>
  <si>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</si>
  <si>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</si>
  <si>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</si>
  <si>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</si>
  <si>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</si>
  <si>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</si>
  <si>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</si>
  <si>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</si>
  <si>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</si>
  <si>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</si>
  <si>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</si>
  <si>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</si>
  <si>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</si>
  <si>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</si>
  <si>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</si>
  <si>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</si>
  <si>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</si>
  <si>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</si>
  <si>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</si>
  <si>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</si>
  <si>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</si>
  <si>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</si>
  <si>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</si>
  <si>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</si>
  <si>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</si>
  <si>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</si>
  <si>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</si>
  <si>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</si>
  <si>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</si>
  <si>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</si>
  <si>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</si>
  <si>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</si>
  <si>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</si>
  <si>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</si>
  <si>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</si>
  <si>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</si>
  <si>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</si>
  <si>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</si>
  <si>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</si>
  <si>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</si>
  <si>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</si>
  <si>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</si>
  <si>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</si>
  <si>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</si>
  <si>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</si>
  <si>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</si>
  <si>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</si>
  <si>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</si>
  <si>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</si>
  <si>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</si>
  <si>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</si>
  <si>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</si>
  <si>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</si>
  <si>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</si>
  <si>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</si>
  <si>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</si>
  <si>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</si>
  <si>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</si>
  <si>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</si>
  <si>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</si>
  <si>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</si>
  <si>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</si>
  <si>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</si>
  <si>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</si>
  <si>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</si>
  <si>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</si>
  <si>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</si>
  <si>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</si>
  <si>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</si>
  <si>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</si>
  <si>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</si>
  <si>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</si>
  <si>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</si>
  <si>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</si>
  <si>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</si>
  <si>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</si>
  <si>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</si>
  <si>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</si>
  <si>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</si>
  <si>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</si>
  <si>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</si>
  <si>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</si>
  <si>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</si>
  <si>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</si>
  <si>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</si>
  <si>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</si>
  <si>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</si>
  <si>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</si>
  <si>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</si>
  <si>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</si>
  <si>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</si>
  <si>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</si>
  <si>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</si>
  <si>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</si>
  <si>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</si>
  <si>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</si>
  <si>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</si>
  <si>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</si>
  <si>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</si>
  <si>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</si>
  <si>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</si>
  <si>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</si>
  <si>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</si>
  <si>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</si>
  <si>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</si>
  <si>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</si>
  <si>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</si>
  <si>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</si>
  <si>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</si>
  <si>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</si>
  <si>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</si>
  <si>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</si>
  <si>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</si>
  <si>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</si>
  <si>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</si>
  <si>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</si>
  <si>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</si>
  <si>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</si>
  <si>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</si>
  <si>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</si>
  <si>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</si>
  <si>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</si>
  <si>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</si>
  <si>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</si>
  <si>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</si>
  <si>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</si>
  <si>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</si>
  <si>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</si>
  <si>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</si>
  <si>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</si>
  <si>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</si>
  <si>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</si>
  <si>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</si>
  <si>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</si>
  <si>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</si>
  <si>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</si>
  <si>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</si>
  <si>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</si>
  <si>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</si>
  <si>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</si>
  <si>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</si>
  <si>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</si>
  <si>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</si>
  <si>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</si>
  <si>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</si>
  <si>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</si>
  <si>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</si>
  <si>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</si>
  <si>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</si>
  <si>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</si>
  <si>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</si>
  <si>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</si>
  <si>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</si>
  <si>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</si>
  <si>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</si>
  <si>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</si>
  <si>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</si>
  <si>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</si>
  <si>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</si>
  <si>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</si>
  <si>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</si>
  <si>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</si>
  <si>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</si>
  <si>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</si>
  <si>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</si>
  <si>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</si>
  <si>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</si>
  <si>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</si>
  <si>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</si>
  <si>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</si>
  <si>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</si>
  <si>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</si>
  <si>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</si>
  <si>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</si>
  <si>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</si>
  <si>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</si>
  <si>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</si>
  <si>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</si>
  <si>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</si>
  <si>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</si>
  <si>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</si>
  <si>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</si>
  <si>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</si>
  <si>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</si>
  <si>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</si>
  <si>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</si>
  <si>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</si>
  <si>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</si>
  <si>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</si>
  <si>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</si>
  <si>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</si>
  <si>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</si>
  <si>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</si>
  <si>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</si>
  <si>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</si>
  <si>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</si>
  <si>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</si>
  <si>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</si>
  <si>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</si>
  <si>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</si>
  <si>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</si>
  <si>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</si>
  <si>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</si>
  <si>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</si>
  <si>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</si>
  <si>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</si>
  <si>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</si>
  <si>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</si>
  <si>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</si>
  <si>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</si>
  <si>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</si>
  <si>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</si>
  <si>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</si>
  <si>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</si>
  <si>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</si>
  <si>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</si>
  <si>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</si>
  <si>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</si>
  <si>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</si>
  <si>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</si>
  <si>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</si>
  <si>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</si>
  <si>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</si>
  <si>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</si>
  <si>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</si>
  <si>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</si>
  <si>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</si>
  <si>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</si>
  <si>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</si>
  <si>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</si>
  <si>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</si>
  <si>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</si>
  <si>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</si>
  <si>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</si>
  <si>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</si>
  <si>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</si>
  <si>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</si>
  <si>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</si>
  <si>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</si>
  <si>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</si>
  <si>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</si>
  <si>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</si>
  <si>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</si>
  <si>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</si>
  <si>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</si>
  <si>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</si>
  <si>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</si>
  <si>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</si>
  <si>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</si>
  <si>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</si>
  <si>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</si>
  <si>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</si>
  <si>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</si>
  <si>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</si>
  <si>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</si>
  <si>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</si>
  <si>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</si>
  <si>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</si>
  <si>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</si>
  <si>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</si>
  <si>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</si>
  <si>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</si>
  <si>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</si>
  <si>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</si>
  <si>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</si>
  <si>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</si>
  <si>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</si>
  <si>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</si>
  <si>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</si>
  <si>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</si>
  <si>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</si>
  <si>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</si>
  <si>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</si>
  <si>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</si>
  <si>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</si>
  <si>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</si>
  <si>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</si>
  <si>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</si>
  <si>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</si>
  <si>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</si>
  <si>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</si>
  <si>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</si>
  <si>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</si>
  <si>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</si>
  <si>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</si>
  <si>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</si>
  <si>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</si>
  <si>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</si>
  <si>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</si>
  <si>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</si>
  <si>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</si>
  <si>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</si>
  <si>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</si>
  <si>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</si>
  <si>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</si>
  <si>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</si>
  <si>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</si>
  <si>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</si>
  <si>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</si>
  <si>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</si>
  <si>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</si>
  <si>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</si>
  <si>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</si>
  <si>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</si>
  <si>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</si>
  <si>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</si>
  <si>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</si>
  <si>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</si>
  <si>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</si>
  <si>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</si>
  <si>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</si>
  <si>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</si>
  <si>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</si>
  <si>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</si>
  <si>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</si>
  <si>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</si>
  <si>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</si>
  <si>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</si>
  <si>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</si>
  <si>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</si>
  <si>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</si>
  <si>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</si>
  <si>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</si>
  <si>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</si>
  <si>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</si>
  <si>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</si>
  <si>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</si>
  <si>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</si>
  <si>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</si>
  <si>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</si>
  <si>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</si>
  <si>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</si>
  <si>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</si>
  <si>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</si>
  <si>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</si>
  <si>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</si>
  <si>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</si>
  <si>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</si>
  <si>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</si>
  <si>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</si>
  <si>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</si>
  <si>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</si>
  <si>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</si>
  <si>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</si>
  <si>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</si>
  <si>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</si>
  <si>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</si>
  <si>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</si>
  <si>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</si>
  <si>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</si>
  <si>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</si>
  <si>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</si>
  <si>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</si>
  <si>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</si>
  <si>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</si>
  <si>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</si>
  <si>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</si>
  <si>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</si>
  <si>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</si>
  <si>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</si>
  <si>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</si>
  <si>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</si>
  <si>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</si>
  <si>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</si>
  <si>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</si>
  <si>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</si>
  <si>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</si>
  <si>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</si>
  <si>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</si>
  <si>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</si>
  <si>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</si>
  <si>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</si>
  <si>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</si>
  <si>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</si>
  <si>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</si>
  <si>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</si>
  <si>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</si>
  <si>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</si>
  <si>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</si>
  <si>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</si>
  <si>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</si>
  <si>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</si>
  <si>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</si>
  <si>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</si>
  <si>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</si>
  <si>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</si>
  <si>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</si>
  <si>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</si>
  <si>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</si>
  <si>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</si>
  <si>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</si>
  <si>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</si>
  <si>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</si>
  <si>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</si>
  <si>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</si>
  <si>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</si>
  <si>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</si>
  <si>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</si>
  <si>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</si>
  <si>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</si>
  <si>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</si>
  <si>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</si>
  <si>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</si>
  <si>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</si>
  <si>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</si>
  <si>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</si>
  <si>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</si>
  <si>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</si>
  <si>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</si>
  <si>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</si>
  <si>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</si>
  <si>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</si>
  <si>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</si>
  <si>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</si>
  <si>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</si>
  <si>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</si>
  <si>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</si>
  <si>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</si>
  <si>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</si>
  <si>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</si>
  <si>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</si>
  <si>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</si>
  <si>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</si>
  <si>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</si>
  <si>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</si>
  <si>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</si>
  <si>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</si>
  <si>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</si>
  <si>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</si>
  <si>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</si>
  <si>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</si>
  <si>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</si>
  <si>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</si>
  <si>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</si>
  <si>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</si>
  <si>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</si>
  <si>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</si>
  <si>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</si>
  <si>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</si>
  <si>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</si>
  <si>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</si>
  <si>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</si>
  <si>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</si>
  <si>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</si>
  <si>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</si>
  <si>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</si>
  <si>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</si>
  <si>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</si>
  <si>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</si>
  <si>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</si>
  <si>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</si>
  <si>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</si>
  <si>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</si>
  <si>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</si>
  <si>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</si>
  <si>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</si>
  <si>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</si>
  <si>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</si>
  <si>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</si>
  <si>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</si>
  <si>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</si>
  <si>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</si>
  <si>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</si>
  <si>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</si>
  <si>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</si>
  <si>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</si>
  <si>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</si>
  <si>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</si>
  <si>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</si>
  <si>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</si>
  <si>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</si>
  <si>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</si>
  <si>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</si>
  <si>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</si>
  <si>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</si>
  <si>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</si>
  <si>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</si>
  <si>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</si>
  <si>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</si>
  <si>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</si>
  <si>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</si>
  <si>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</si>
  <si>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</si>
  <si>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</si>
  <si>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</si>
  <si>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</si>
  <si>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</si>
  <si>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</si>
  <si>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</si>
  <si>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</si>
  <si>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</si>
  <si>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</si>
  <si>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</si>
  <si>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</si>
  <si>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</si>
  <si>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</si>
  <si>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</si>
  <si>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</si>
  <si>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</si>
  <si>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</si>
  <si>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</si>
  <si>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</si>
  <si>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</si>
  <si>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</si>
  <si>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</si>
  <si>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</si>
  <si>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</si>
  <si>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</si>
  <si>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</si>
  <si>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</si>
  <si>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</si>
  <si>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</si>
  <si>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</si>
  <si>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</si>
  <si>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</si>
  <si>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</si>
  <si>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</si>
  <si>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</si>
  <si>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</si>
  <si>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</si>
  <si>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</si>
  <si>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</si>
  <si>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</si>
  <si>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</si>
  <si>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</si>
  <si>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</si>
  <si>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</si>
  <si>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</si>
  <si>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</si>
  <si>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</si>
  <si>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</si>
  <si>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</si>
  <si>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</si>
  <si>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</si>
  <si>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</si>
  <si>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</si>
  <si>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</si>
  <si>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</si>
  <si>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</si>
  <si>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</si>
  <si>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</si>
  <si>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</si>
  <si>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</si>
  <si>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</si>
  <si>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</si>
  <si>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</si>
  <si>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</si>
  <si>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</si>
  <si>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</si>
  <si>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</si>
  <si>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</si>
  <si>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</si>
  <si>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</si>
  <si>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</si>
  <si>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</si>
  <si>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</si>
  <si>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</si>
  <si>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</si>
  <si>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</si>
  <si>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</si>
  <si>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</si>
  <si>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</si>
  <si>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</si>
  <si>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</si>
  <si>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</si>
  <si>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</si>
  <si>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</si>
  <si>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</si>
  <si>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</si>
  <si>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</si>
  <si>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</si>
  <si>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</si>
  <si>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</si>
  <si>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</si>
  <si>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</si>
  <si>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</si>
  <si>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</si>
  <si>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</si>
  <si>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</si>
  <si>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</si>
  <si>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</si>
  <si>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</si>
  <si>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</si>
  <si>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</si>
  <si>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</si>
  <si>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</si>
  <si>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</si>
  <si>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</si>
  <si>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</si>
  <si>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</si>
  <si>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</si>
  <si>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</si>
  <si>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</si>
  <si>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</si>
  <si>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</si>
  <si>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</si>
  <si>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</si>
  <si>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</si>
  <si>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</si>
  <si>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</si>
  <si>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</si>
  <si>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</si>
  <si>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</si>
  <si>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</si>
  <si>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</si>
  <si>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</si>
  <si>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</si>
  <si>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</si>
  <si>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</si>
  <si>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</si>
  <si>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</si>
  <si>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</si>
  <si>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</si>
  <si>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</si>
  <si>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</si>
  <si>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</si>
  <si>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</si>
  <si>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</si>
  <si>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</si>
  <si>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</si>
  <si>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</si>
  <si>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</si>
  <si>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</si>
  <si>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</si>
  <si>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</si>
  <si>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</si>
  <si>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</si>
  <si>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</si>
  <si>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</si>
  <si>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</si>
  <si>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</si>
  <si>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</si>
  <si>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</si>
  <si>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</si>
  <si>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</si>
  <si>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</si>
  <si>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</si>
  <si>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</si>
  <si>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</si>
  <si>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</si>
  <si>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</si>
  <si>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</si>
  <si>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</si>
  <si>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</si>
  <si>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</si>
  <si>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</si>
  <si>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</si>
  <si>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</si>
  <si>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</si>
  <si>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</si>
  <si>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</si>
  <si>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</si>
  <si>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</si>
  <si>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</si>
  <si>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</si>
  <si>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</si>
  <si>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</si>
  <si>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</si>
  <si>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</si>
  <si>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</si>
  <si>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</si>
  <si>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</si>
  <si>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</si>
  <si>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</si>
  <si>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</si>
  <si>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</si>
  <si>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</si>
  <si>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</si>
  <si>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</si>
  <si>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</si>
  <si>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</si>
  <si>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</si>
  <si>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</si>
  <si>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</si>
  <si>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</si>
  <si>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</si>
  <si>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</si>
  <si>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</si>
  <si>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</si>
  <si>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</si>
  <si>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</si>
  <si>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</si>
  <si>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</si>
  <si>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</si>
  <si>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</si>
  <si>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</si>
  <si>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</si>
  <si>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</si>
  <si>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</si>
  <si>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</si>
  <si>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</si>
  <si>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</si>
  <si>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</si>
  <si>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</si>
  <si>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</si>
  <si>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</si>
  <si>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</si>
  <si>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</si>
  <si>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</si>
  <si>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</si>
  <si>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</si>
  <si>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</si>
  <si>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</si>
  <si>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</si>
  <si>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</si>
  <si>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</si>
  <si>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</si>
  <si>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</si>
  <si>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</si>
  <si>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</si>
  <si>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</si>
  <si>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</si>
  <si>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</si>
  <si>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</si>
  <si>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</si>
  <si>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</si>
  <si>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</si>
  <si>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</si>
  <si>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</si>
  <si>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</si>
  <si>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</si>
  <si>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</si>
  <si>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</si>
  <si>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</si>
  <si>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</si>
  <si>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</si>
  <si>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</si>
  <si>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</si>
  <si>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</si>
  <si>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</si>
  <si>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</si>
  <si>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</si>
  <si>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</si>
  <si>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</si>
  <si>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</si>
  <si>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</si>
  <si>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</si>
  <si>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</si>
  <si>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</si>
  <si>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</si>
  <si>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</si>
  <si>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</si>
  <si>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</si>
  <si>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</si>
  <si>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</si>
  <si>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</si>
  <si>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</si>
  <si>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</si>
  <si>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</si>
  <si>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</si>
  <si>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</si>
  <si>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</si>
  <si>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</si>
  <si>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</si>
  <si>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</si>
  <si>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</si>
  <si>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</si>
  <si>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</si>
  <si>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</si>
  <si>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</si>
  <si>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</si>
  <si>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</si>
  <si>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</si>
  <si>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</si>
  <si>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</si>
  <si>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</si>
  <si>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</si>
  <si>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</si>
  <si>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</si>
  <si>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</si>
  <si>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</si>
  <si>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</si>
  <si>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</si>
  <si>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</si>
  <si>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</si>
  <si>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</si>
  <si>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</si>
  <si>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</si>
  <si>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</si>
  <si>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</si>
  <si>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</si>
  <si>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</si>
  <si>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</si>
  <si>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</si>
  <si>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</si>
  <si>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</si>
  <si>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</si>
  <si>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</si>
  <si>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</si>
  <si>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</si>
  <si>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</si>
  <si>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</si>
  <si>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</si>
  <si>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</si>
  <si>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</si>
  <si>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</si>
  <si>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</si>
  <si>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</si>
  <si>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</si>
  <si>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</si>
  <si>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</si>
  <si>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</si>
  <si>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</si>
  <si>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</si>
  <si>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</si>
  <si>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</si>
  <si>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</si>
  <si>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</si>
  <si>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</si>
  <si>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</si>
  <si>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</si>
  <si>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</si>
  <si>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</si>
  <si>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</si>
  <si>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</si>
  <si>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</si>
  <si>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</si>
  <si>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</si>
  <si>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</si>
  <si>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</si>
  <si>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</si>
  <si>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</si>
  <si>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</si>
  <si>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</si>
  <si>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</si>
  <si>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</si>
  <si>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</si>
  <si>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</si>
  <si>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</si>
  <si>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</si>
  <si>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</si>
  <si>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</si>
  <si>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</si>
  <si>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</si>
  <si>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</si>
  <si>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</si>
  <si>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</si>
  <si>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</si>
  <si>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</si>
  <si>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</si>
  <si>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</si>
  <si>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</si>
  <si>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</si>
  <si>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</si>
  <si>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</si>
  <si>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</si>
  <si>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</si>
  <si>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</si>
  <si>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</si>
  <si>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</si>
  <si>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</si>
  <si>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</si>
  <si>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</si>
  <si>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</si>
  <si>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</si>
  <si>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</si>
  <si>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</si>
  <si>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</si>
  <si>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</si>
  <si>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</si>
  <si>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</si>
  <si>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</si>
  <si>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</si>
  <si>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</si>
  <si>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</si>
  <si>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</si>
  <si>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</si>
  <si>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</si>
  <si>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</si>
  <si>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</si>
  <si>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</si>
  <si>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</si>
  <si>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</si>
  <si>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</si>
  <si>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</si>
  <si>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</si>
  <si>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</si>
  <si>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</si>
  <si>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</si>
  <si>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</si>
  <si>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</si>
  <si>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</si>
  <si>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</si>
  <si>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</si>
  <si>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</si>
  <si>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</si>
  <si>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</si>
  <si>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</si>
  <si>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</si>
  <si>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</si>
  <si>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</si>
  <si>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</si>
  <si>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</si>
  <si>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</si>
  <si>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</si>
  <si>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</si>
  <si>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</si>
  <si>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</si>
  <si>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</si>
  <si>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</si>
  <si>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</si>
  <si>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</si>
  <si>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</si>
  <si>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</si>
  <si>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</si>
  <si>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</si>
  <si>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</si>
  <si>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</si>
  <si>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</si>
  <si>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</si>
  <si>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</si>
  <si>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</si>
  <si>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</si>
  <si>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</si>
  <si>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</si>
  <si>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</si>
  <si>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</si>
  <si>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</si>
  <si>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</si>
  <si>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</si>
  <si>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</si>
  <si>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</si>
  <si>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</si>
  <si>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</si>
  <si>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</si>
  <si>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</si>
  <si>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</si>
  <si>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</si>
  <si>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</si>
  <si>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</si>
  <si>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</si>
  <si>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</si>
  <si>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</si>
  <si>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</si>
  <si>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</si>
  <si>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</si>
  <si>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</si>
  <si>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</si>
  <si>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</si>
  <si>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</si>
  <si>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</si>
  <si>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</si>
  <si>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</si>
  <si>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</si>
  <si>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</si>
  <si>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</si>
  <si>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</si>
  <si>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</si>
  <si>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</si>
  <si>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</si>
  <si>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</si>
  <si>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</si>
  <si>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</si>
  <si>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</si>
  <si>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</si>
  <si>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</si>
  <si>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</si>
  <si>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</si>
  <si>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</si>
  <si>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</si>
  <si>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</si>
  <si>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</si>
  <si>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</si>
  <si>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</si>
  <si>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</si>
  <si>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</si>
  <si>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</si>
  <si>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</si>
  <si>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</si>
  <si>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</si>
  <si>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</si>
  <si>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</si>
  <si>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</si>
  <si>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</si>
  <si>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</si>
  <si>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</si>
  <si>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</si>
  <si>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</si>
  <si>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</si>
  <si>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</si>
  <si>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</si>
  <si>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</si>
  <si>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</si>
  <si>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</si>
  <si>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</si>
  <si>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</si>
  <si>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</si>
  <si>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</si>
  <si>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</si>
  <si>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</si>
  <si>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</si>
  <si>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</si>
  <si>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</si>
  <si>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</si>
  <si>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</si>
  <si>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</si>
  <si>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</si>
  <si>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</si>
  <si>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</si>
  <si>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</si>
  <si>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</si>
  <si>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</si>
  <si>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</si>
  <si>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</si>
  <si>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</si>
  <si>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</si>
  <si>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</si>
  <si>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</si>
  <si>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</si>
  <si>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</si>
  <si>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</si>
  <si>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</si>
  <si>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</si>
  <si>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</si>
  <si>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</si>
  <si>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</si>
  <si>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</si>
  <si>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</si>
  <si>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</si>
  <si>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</si>
  <si>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</si>
  <si>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</si>
  <si>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</si>
  <si>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</si>
  <si>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</si>
  <si>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</si>
  <si>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</si>
  <si>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</si>
  <si>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</si>
  <si>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</si>
  <si>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</si>
  <si>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</si>
  <si>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</si>
  <si>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</si>
  <si>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</si>
  <si>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</si>
  <si>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</si>
  <si>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</si>
  <si>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</si>
  <si>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</si>
  <si>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</si>
  <si>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</si>
  <si>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</si>
  <si>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</si>
  <si>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</si>
  <si>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</si>
  <si>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</si>
  <si>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</si>
  <si>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</si>
  <si>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</si>
  <si>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</si>
  <si>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</si>
  <si>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</si>
  <si>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</si>
  <si>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</si>
  <si>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</si>
  <si>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</si>
  <si>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</si>
  <si>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</si>
  <si>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</si>
  <si>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</si>
  <si>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</si>
  <si>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</si>
  <si>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</si>
  <si>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</si>
  <si>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</si>
  <si>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</si>
  <si>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</si>
  <si>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</si>
  <si>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</si>
  <si>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</si>
  <si>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</si>
  <si>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</si>
  <si>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</si>
  <si>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</si>
  <si>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</si>
  <si>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</si>
  <si>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</si>
  <si>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</si>
  <si>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</si>
  <si>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</si>
  <si>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</si>
  <si>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</si>
  <si>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</si>
  <si>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</si>
  <si>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</si>
  <si>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</si>
  <si>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</si>
  <si>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</si>
  <si>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</si>
  <si>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</si>
  <si>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</si>
  <si>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</si>
  <si>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</si>
  <si>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</si>
  <si>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</si>
  <si>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</si>
  <si>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</si>
  <si>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</si>
  <si>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</si>
  <si>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</si>
  <si>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</si>
  <si>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</si>
  <si>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</si>
  <si>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</si>
  <si>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</si>
  <si>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</si>
  <si>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</si>
  <si>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</si>
  <si>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</si>
  <si>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</si>
  <si>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</si>
  <si>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</si>
  <si>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</si>
  <si>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</si>
  <si>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</si>
  <si>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</si>
  <si>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</si>
  <si>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</si>
  <si>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</si>
  <si>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</si>
  <si>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</si>
  <si>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</si>
  <si>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</si>
  <si>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</si>
  <si>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</si>
  <si>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</si>
  <si>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</si>
  <si>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</si>
  <si>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</si>
  <si>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</si>
  <si>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</si>
  <si>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</si>
  <si>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</si>
  <si>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</si>
  <si>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</si>
  <si>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</si>
  <si>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</si>
  <si>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</si>
  <si>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</si>
  <si>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</si>
  <si>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</si>
  <si>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</si>
  <si>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</si>
  <si>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</si>
  <si>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</si>
  <si>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</si>
  <si>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</si>
  <si>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</si>
  <si>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</si>
  <si>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</si>
  <si>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</si>
  <si>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</si>
  <si>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</si>
  <si>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</si>
  <si>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</si>
  <si>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</si>
  <si>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</si>
  <si>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</si>
  <si>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</si>
  <si>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</si>
  <si>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</si>
  <si>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</si>
  <si>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</si>
  <si>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</si>
  <si>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</si>
  <si>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</si>
  <si>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</si>
  <si>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</si>
  <si>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</si>
  <si>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</si>
  <si>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</si>
  <si>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</si>
  <si>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</si>
  <si>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</si>
  <si>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</si>
  <si>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</si>
  <si>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</si>
  <si>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</si>
  <si>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</si>
  <si>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</si>
  <si>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</si>
  <si>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</si>
  <si>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</si>
  <si>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</si>
  <si>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</si>
  <si>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</si>
  <si>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</si>
  <si>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</si>
  <si>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</si>
  <si>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</si>
  <si>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</si>
  <si>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</si>
  <si>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</si>
  <si>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</si>
  <si>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</si>
  <si>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</si>
  <si>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</si>
  <si>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</si>
  <si>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</si>
  <si>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</si>
  <si>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</si>
  <si>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</si>
  <si>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</si>
  <si>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</si>
  <si>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</si>
  <si>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</si>
  <si>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</si>
  <si>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</si>
  <si>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</si>
  <si>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</si>
  <si>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</si>
  <si>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</si>
  <si>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</si>
  <si>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</si>
  <si>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</si>
  <si>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</si>
  <si>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</si>
  <si>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</si>
  <si>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</si>
  <si>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</si>
  <si>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</si>
  <si>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</si>
  <si>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</si>
  <si>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</si>
  <si>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</si>
  <si>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</si>
  <si>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</si>
  <si>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</si>
  <si>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</si>
  <si>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</si>
  <si>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</si>
  <si>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</si>
  <si>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</si>
  <si>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</si>
  <si>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</si>
  <si>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</si>
  <si>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</si>
  <si>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</si>
  <si>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</si>
  <si>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</si>
  <si>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</si>
  <si>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</si>
  <si>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</si>
  <si>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</si>
  <si>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</si>
  <si>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</si>
  <si>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</si>
  <si>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</si>
  <si>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</si>
  <si>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</si>
  <si>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</si>
  <si>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</si>
  <si>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</si>
  <si>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</si>
  <si>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</si>
  <si>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</si>
  <si>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</si>
  <si>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</si>
  <si>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</si>
  <si>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</si>
  <si>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</si>
  <si>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</si>
  <si>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</si>
  <si>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</si>
  <si>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</si>
  <si>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</si>
  <si>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</si>
  <si>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</si>
  <si>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</si>
  <si>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</si>
  <si>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</si>
  <si>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</si>
  <si>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</si>
  <si>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</si>
  <si>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</si>
  <si>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</si>
  <si>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</si>
  <si>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</si>
  <si>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</si>
  <si>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</si>
  <si>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</si>
  <si>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</si>
  <si>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</si>
  <si>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</si>
  <si>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</si>
  <si>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</si>
  <si>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</si>
  <si>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</si>
  <si>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</si>
  <si>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</si>
  <si>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</si>
  <si>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</si>
  <si>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</si>
  <si>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</si>
  <si>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</si>
  <si>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</si>
  <si>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</si>
  <si>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</si>
  <si>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</si>
  <si>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</si>
  <si>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</si>
  <si>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</si>
  <si>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</si>
  <si>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</si>
  <si>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</si>
  <si>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</si>
  <si>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</si>
  <si>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</si>
  <si>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</si>
  <si>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</si>
  <si>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</si>
  <si>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</si>
  <si>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</si>
  <si>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</si>
  <si>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</si>
  <si>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</si>
  <si>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</si>
  <si>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</si>
  <si>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</si>
  <si>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</si>
  <si>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</si>
  <si>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</si>
  <si>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</si>
  <si>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</si>
  <si>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</si>
  <si>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</si>
  <si>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</si>
  <si>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</si>
  <si>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</si>
  <si>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</si>
  <si>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</si>
  <si>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</si>
  <si>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</si>
  <si>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</si>
  <si>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</si>
  <si>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</si>
  <si>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</si>
  <si>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</si>
  <si>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</si>
  <si>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</si>
  <si>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</si>
  <si>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</si>
  <si>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</si>
  <si>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</si>
  <si>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</si>
  <si>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</si>
  <si>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</si>
  <si>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</si>
  <si>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</si>
  <si>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</si>
  <si>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</si>
  <si>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</si>
  <si>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</si>
  <si>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</si>
  <si>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</si>
  <si>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</si>
  <si>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</si>
  <si>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</si>
  <si>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</si>
  <si>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</si>
  <si>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</si>
  <si>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</si>
  <si>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</si>
  <si>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</si>
  <si>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</si>
  <si>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</si>
  <si>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</si>
  <si>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</si>
  <si>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</si>
  <si>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</si>
  <si>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</si>
  <si>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</si>
  <si>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</si>
  <si>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</si>
  <si>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</si>
  <si>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</si>
  <si>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</si>
  <si>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</si>
  <si>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</si>
  <si>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</si>
  <si>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</si>
  <si>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</si>
  <si>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</si>
  <si>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</si>
  <si>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</si>
  <si>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</si>
  <si>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</si>
  <si>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</si>
  <si>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</si>
  <si>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</si>
  <si>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</si>
  <si>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</si>
  <si>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</si>
  <si>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</si>
  <si>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</si>
  <si>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</si>
  <si>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</si>
  <si>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</si>
  <si>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</si>
  <si>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</si>
  <si>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</si>
  <si>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</si>
  <si>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</si>
  <si>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</si>
  <si>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</si>
  <si>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</si>
  <si>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</si>
  <si>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</si>
  <si>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</si>
  <si>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</si>
  <si>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</si>
  <si>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</si>
  <si>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</si>
  <si>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</si>
  <si>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</si>
  <si>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</si>
  <si>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</si>
  <si>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</si>
  <si>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</si>
  <si>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</si>
  <si>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</si>
  <si>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</si>
  <si>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</si>
  <si>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</si>
  <si>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</si>
  <si>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</si>
  <si>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</si>
  <si>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</si>
  <si>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</si>
  <si>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</si>
  <si>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</si>
  <si>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</si>
  <si>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</si>
  <si>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</si>
  <si>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</si>
  <si>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</si>
  <si>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</si>
  <si>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</si>
  <si>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</si>
  <si>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</si>
  <si>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</si>
  <si>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</si>
  <si>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</si>
  <si>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</si>
  <si>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</si>
  <si>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</si>
  <si>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</si>
  <si>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</si>
  <si>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</si>
  <si>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</si>
  <si>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</si>
  <si>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</si>
  <si>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</si>
  <si>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</si>
  <si>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</si>
  <si>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</si>
  <si>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</si>
  <si>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</si>
  <si>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</si>
  <si>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</si>
  <si>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</si>
  <si>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</si>
  <si>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</si>
  <si>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</si>
  <si>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</si>
  <si>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</si>
  <si>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</si>
  <si>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</si>
  <si>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</si>
  <si>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</si>
  <si>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</si>
  <si>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</si>
  <si>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</si>
  <si>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</si>
  <si>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</si>
  <si>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</si>
  <si>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</si>
  <si>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</si>
  <si>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</si>
  <si>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</si>
  <si>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</si>
  <si>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</si>
  <si>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</si>
  <si>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</si>
  <si>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</si>
  <si>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</si>
  <si>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</si>
  <si>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</si>
  <si>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</si>
  <si>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</si>
  <si>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</si>
  <si>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</si>
  <si>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</si>
  <si>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</si>
  <si>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</si>
  <si>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</si>
  <si>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</si>
  <si>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</si>
  <si>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</si>
  <si>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</si>
  <si>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</si>
  <si>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</si>
  <si>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</si>
  <si>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</si>
  <si>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</si>
  <si>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</si>
  <si>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</si>
  <si>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</si>
  <si>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</si>
  <si>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</si>
  <si>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</si>
  <si>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</si>
  <si>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</si>
  <si>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</si>
  <si>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</si>
  <si>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</si>
  <si>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</si>
  <si>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</si>
  <si>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</si>
  <si>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</si>
  <si>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</si>
  <si>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</si>
  <si>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</si>
  <si>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</si>
  <si>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</si>
  <si>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</si>
  <si>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</si>
  <si>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</si>
  <si>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</si>
  <si>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</si>
  <si>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</si>
  <si>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</si>
  <si>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</si>
  <si>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</si>
  <si>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</si>
  <si>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</si>
  <si>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</si>
  <si>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</si>
  <si>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</si>
  <si>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</si>
  <si>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</si>
  <si>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</si>
  <si>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</si>
  <si>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</si>
  <si>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</si>
  <si>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</si>
  <si>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</si>
  <si>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</si>
  <si>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</si>
  <si>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</si>
  <si>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</si>
  <si>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</si>
  <si>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</si>
  <si>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</si>
  <si>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</si>
  <si>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</si>
  <si>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</si>
  <si>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</si>
  <si>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</si>
  <si>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</si>
  <si>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</si>
  <si>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</si>
  <si>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</si>
  <si>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</si>
  <si>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</si>
  <si>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</si>
  <si>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</si>
  <si>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</si>
  <si>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</si>
  <si>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</si>
  <si>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</si>
  <si>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</si>
  <si>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</si>
  <si>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</si>
  <si>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</si>
  <si>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</si>
  <si>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</si>
  <si>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</si>
  <si>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</si>
  <si>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</si>
  <si>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</si>
  <si>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</si>
  <si>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</si>
  <si>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</si>
  <si>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</si>
  <si>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</si>
  <si>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</si>
  <si>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</si>
  <si>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</si>
  <si>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</si>
  <si>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</si>
  <si>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</si>
  <si>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</si>
  <si>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</si>
  <si>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</si>
  <si>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</si>
  <si>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</si>
  <si>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</si>
  <si>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</si>
  <si>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</si>
  <si>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</si>
  <si>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</si>
  <si>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</si>
  <si>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</si>
  <si>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</si>
  <si>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</si>
  <si>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</si>
  <si>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</si>
  <si>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</si>
  <si>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</si>
  <si>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</si>
  <si>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</si>
  <si>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</si>
  <si>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</si>
  <si>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</si>
  <si>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</si>
  <si>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</si>
  <si>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</si>
  <si>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</si>
  <si>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</si>
  <si>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</si>
  <si>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</si>
  <si>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</si>
  <si>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</si>
  <si>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</si>
  <si>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</si>
  <si>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</si>
  <si>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</si>
  <si>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</si>
  <si>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</si>
  <si>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</si>
  <si>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</si>
  <si>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</si>
  <si>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</si>
  <si>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</si>
  <si>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</si>
  <si>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</si>
  <si>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</si>
  <si>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</si>
  <si>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</si>
  <si>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</si>
  <si>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</si>
  <si>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</si>
  <si>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</si>
  <si>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</si>
  <si>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</si>
  <si>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</si>
  <si>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</si>
  <si>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</si>
  <si>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</si>
  <si>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</si>
  <si>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</si>
  <si>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</si>
  <si>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</si>
  <si>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</si>
  <si>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</si>
  <si>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</si>
  <si>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</si>
  <si>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</si>
  <si>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</si>
  <si>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</si>
  <si>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</si>
  <si>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</si>
  <si>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</si>
  <si>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</si>
  <si>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</si>
  <si>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</si>
  <si>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</si>
  <si>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</si>
  <si>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</si>
  <si>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</si>
  <si>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</si>
  <si>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</si>
  <si>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</si>
  <si>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</si>
  <si>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</si>
  <si>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</si>
  <si>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</si>
  <si>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</si>
  <si>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</si>
  <si>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</si>
  <si>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</si>
  <si>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</si>
  <si>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</si>
  <si>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</si>
  <si>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</si>
  <si>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</si>
  <si>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</si>
  <si>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</si>
  <si>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</si>
  <si>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</si>
  <si>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</si>
  <si>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</si>
  <si>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</si>
  <si>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</si>
  <si>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</si>
  <si>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</si>
  <si>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</si>
  <si>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</si>
  <si>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</si>
  <si>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</si>
  <si>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</si>
  <si>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</si>
  <si>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</si>
  <si>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</si>
  <si>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</si>
  <si>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</si>
  <si>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</si>
  <si>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</si>
  <si>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</si>
  <si>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</si>
  <si>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</si>
  <si>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</si>
  <si>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</si>
  <si>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</si>
  <si>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</si>
  <si>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</si>
  <si>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</si>
  <si>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</si>
  <si>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</si>
  <si>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</si>
  <si>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</si>
  <si>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</si>
  <si>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</si>
  <si>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</si>
  <si>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</si>
  <si>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</si>
  <si>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</si>
  <si>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</si>
  <si>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</si>
  <si>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</si>
  <si>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</si>
  <si>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</si>
  <si>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</si>
  <si>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</si>
  <si>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</si>
  <si>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</si>
  <si>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</si>
  <si>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</si>
  <si>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</si>
  <si>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</si>
  <si>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</si>
  <si>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</si>
  <si>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</si>
  <si>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</si>
  <si>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</si>
  <si>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</si>
  <si>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</si>
  <si>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</si>
  <si>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</si>
  <si>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</si>
  <si>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</si>
  <si>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</si>
  <si>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</si>
  <si>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</si>
  <si>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</si>
  <si>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</si>
  <si>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</si>
  <si>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</si>
  <si>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</si>
  <si>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</si>
  <si>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</si>
  <si>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</si>
  <si>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</si>
  <si>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</si>
  <si>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</si>
  <si>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</si>
  <si>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</si>
  <si>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</si>
  <si>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</si>
  <si>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</si>
  <si>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</si>
  <si>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</si>
  <si>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</si>
  <si>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</si>
  <si>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</si>
  <si>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</si>
  <si>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</si>
  <si>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</si>
  <si>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</si>
  <si>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</si>
  <si>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</si>
  <si>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</si>
  <si>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</si>
  <si>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</si>
  <si>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</si>
  <si>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</si>
  <si>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</si>
  <si>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</si>
  <si>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</si>
  <si>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</si>
  <si>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</si>
  <si>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</si>
  <si>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</si>
  <si>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</si>
  <si>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</si>
  <si>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</si>
  <si>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</si>
  <si>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</si>
  <si>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</si>
  <si>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</si>
  <si>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</si>
  <si>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</si>
  <si>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</si>
  <si>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</si>
  <si>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</si>
  <si>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</si>
  <si>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</si>
  <si>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</si>
  <si>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</si>
  <si>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</si>
  <si>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</si>
  <si>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</si>
  <si>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</si>
  <si>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</si>
  <si>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</si>
  <si>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</si>
  <si>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</si>
  <si>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</si>
  <si>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</si>
  <si>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</si>
  <si>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</si>
  <si>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</si>
  <si>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</si>
  <si>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</si>
  <si>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</si>
  <si>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</si>
  <si>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</si>
  <si>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</si>
  <si>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</si>
  <si>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</si>
  <si>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</si>
  <si>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</si>
  <si>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</si>
  <si>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</si>
  <si>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</si>
  <si>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</si>
  <si>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</si>
  <si>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</si>
  <si>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</si>
  <si>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</si>
  <si>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</si>
  <si>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</si>
  <si>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</si>
  <si>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</si>
  <si>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</si>
  <si>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</si>
  <si>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</si>
  <si>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</si>
  <si>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</si>
  <si>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</si>
  <si>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</si>
  <si>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</si>
  <si>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</si>
  <si>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</si>
  <si>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</si>
  <si>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</si>
  <si>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</si>
  <si>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</si>
  <si>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</si>
  <si>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</si>
  <si>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</si>
  <si>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</si>
  <si>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</si>
  <si>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</si>
  <si>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</si>
  <si>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</si>
  <si>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</si>
  <si>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</si>
  <si>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</si>
  <si>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</si>
  <si>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</si>
  <si>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</si>
  <si>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</si>
  <si>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</si>
  <si>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</si>
  <si>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</si>
  <si>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</si>
  <si>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</si>
  <si>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</si>
  <si>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</si>
  <si>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</si>
  <si>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</si>
  <si>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</si>
  <si>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</si>
  <si>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</si>
  <si>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</si>
  <si>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</si>
  <si>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</si>
  <si>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</si>
  <si>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</si>
  <si>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</si>
  <si>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</si>
  <si>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</si>
  <si>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</si>
  <si>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</si>
  <si>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</si>
  <si>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</si>
  <si>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</si>
  <si>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</si>
  <si>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</si>
  <si>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</si>
  <si>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</si>
  <si>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</si>
  <si>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</si>
  <si>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</si>
  <si>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</si>
  <si>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</si>
  <si>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</si>
  <si>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</si>
  <si>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</si>
  <si>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</si>
  <si>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</si>
  <si>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</si>
  <si>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</si>
  <si>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</si>
  <si>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</si>
  <si>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</si>
  <si>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</si>
  <si>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</si>
  <si>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</si>
  <si>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</si>
  <si>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</si>
  <si>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</si>
  <si>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</si>
  <si>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</si>
  <si>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</si>
  <si>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</si>
  <si>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</si>
  <si>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</si>
  <si>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</si>
  <si>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</si>
  <si>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</si>
  <si>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</si>
  <si>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</si>
  <si>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</si>
  <si>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</si>
  <si>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</si>
  <si>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</si>
  <si>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</si>
  <si>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</si>
  <si>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</si>
  <si>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</si>
  <si>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</si>
  <si>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</si>
  <si>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</si>
  <si>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</si>
  <si>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</si>
  <si>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</si>
  <si>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</si>
  <si>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</si>
  <si>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</si>
  <si>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</si>
  <si>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</si>
  <si>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</si>
  <si>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</si>
  <si>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</si>
  <si>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</si>
  <si>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</si>
  <si>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</si>
  <si>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</si>
  <si>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</si>
  <si>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</si>
  <si>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</si>
  <si>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</si>
  <si>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</si>
  <si>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</si>
  <si>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</si>
  <si>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</si>
  <si>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</si>
  <si>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</si>
  <si>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</si>
  <si>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</si>
  <si>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</si>
  <si>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</si>
  <si>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</si>
  <si>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</si>
  <si>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</si>
  <si>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</si>
  <si>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</si>
  <si>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</si>
  <si>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</si>
  <si>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</si>
  <si>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</si>
  <si>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</si>
  <si>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</si>
  <si>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</si>
  <si>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</si>
  <si>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</si>
  <si>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</si>
  <si>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</si>
  <si>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</si>
  <si>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</si>
  <si>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</si>
  <si>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</si>
  <si>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</si>
  <si>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</si>
  <si>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</si>
  <si>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</si>
  <si>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</si>
  <si>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</si>
  <si>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</si>
  <si>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</si>
  <si>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</si>
  <si>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</si>
  <si>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</si>
  <si>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</si>
  <si>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</si>
  <si>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</si>
  <si>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</si>
  <si>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</si>
  <si>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</si>
  <si>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</si>
  <si>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</si>
  <si>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</si>
  <si>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</si>
  <si>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</si>
  <si>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</si>
  <si>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</si>
  <si>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</si>
  <si>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</si>
  <si>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</si>
  <si>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</si>
  <si>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</si>
  <si>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</si>
  <si>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</si>
  <si>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</si>
  <si>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</si>
  <si>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</si>
  <si>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</si>
  <si>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</si>
  <si>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</si>
  <si>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</si>
  <si>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</si>
  <si>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</si>
  <si>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</si>
  <si>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</si>
  <si>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</si>
  <si>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</si>
  <si>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</si>
  <si>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</si>
  <si>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</si>
  <si>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</si>
  <si>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</si>
  <si>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</si>
  <si>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</si>
  <si>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</si>
  <si>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</si>
  <si>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</si>
  <si>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</si>
  <si>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</si>
  <si>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</si>
  <si>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</si>
  <si>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</si>
  <si>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</si>
  <si>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</si>
  <si>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</si>
  <si>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</si>
  <si>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</si>
  <si>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</si>
  <si>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</si>
  <si>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</si>
  <si>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</si>
  <si>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</si>
  <si>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</si>
  <si>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</si>
  <si>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</si>
  <si>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</si>
  <si>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</si>
  <si>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</si>
  <si>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</si>
  <si>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</si>
  <si>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</si>
  <si>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</si>
  <si>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</si>
  <si>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</si>
  <si>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</si>
  <si>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</si>
  <si>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</si>
  <si>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</si>
  <si>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</si>
  <si>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</si>
  <si>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</si>
  <si>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</si>
  <si>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</si>
  <si>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</si>
  <si>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</si>
  <si>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</si>
  <si>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</si>
  <si>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</si>
  <si>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</si>
  <si>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</si>
  <si>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</si>
  <si>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</si>
  <si>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</si>
  <si>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</si>
  <si>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</si>
  <si>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</si>
  <si>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</si>
  <si>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</si>
  <si>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</si>
  <si>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</si>
  <si>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</si>
  <si>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</si>
  <si>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</si>
  <si>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</si>
  <si>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</si>
  <si>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</si>
  <si>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</si>
  <si>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</si>
  <si>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</si>
  <si>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</si>
  <si>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</si>
  <si>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</si>
  <si>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</si>
  <si>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</si>
  <si>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</si>
  <si>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</si>
  <si>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</si>
  <si>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</si>
  <si>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</si>
  <si>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</si>
  <si>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</si>
  <si>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</si>
  <si>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</si>
  <si>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</si>
  <si>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</si>
  <si>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</si>
  <si>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</si>
  <si>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</si>
  <si>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</si>
  <si>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</si>
  <si>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</si>
  <si>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</si>
  <si>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</si>
  <si>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</si>
  <si>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</si>
  <si>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</si>
  <si>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</si>
  <si>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</si>
  <si>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</si>
  <si>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</si>
  <si>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</si>
  <si>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</si>
  <si>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</si>
  <si>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</si>
  <si>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</si>
  <si>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</si>
  <si>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</si>
  <si>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</si>
  <si>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</si>
  <si>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</si>
  <si>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</si>
  <si>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</si>
  <si>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</si>
  <si>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</si>
  <si>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</si>
  <si>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</si>
  <si>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</si>
  <si>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</si>
  <si>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</si>
  <si>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</si>
  <si>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</si>
  <si>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</si>
  <si>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</si>
  <si>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</si>
  <si>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</si>
  <si>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</si>
  <si>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</si>
  <si>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</si>
  <si>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</si>
  <si>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</si>
  <si>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</si>
  <si>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</si>
  <si>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</si>
  <si>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</si>
  <si>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</si>
  <si>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</si>
  <si>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</si>
  <si>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</si>
  <si>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</si>
  <si>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</si>
  <si>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</si>
  <si>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</si>
  <si>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</si>
  <si>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</si>
  <si>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</si>
  <si>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</si>
  <si>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</si>
  <si>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</si>
  <si>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</si>
  <si>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</si>
  <si>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</si>
  <si>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</si>
  <si>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</si>
  <si>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</si>
  <si>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</si>
  <si>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</si>
  <si>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</si>
  <si>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</si>
  <si>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</si>
  <si>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</si>
  <si>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</si>
  <si>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</si>
  <si>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</si>
  <si>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</si>
  <si>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</si>
  <si>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</si>
  <si>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</si>
  <si>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</si>
  <si>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</si>
  <si>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</si>
  <si>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</si>
  <si>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</si>
  <si>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</si>
  <si>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</si>
  <si>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</si>
  <si>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</si>
  <si>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</si>
  <si>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</si>
  <si>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</si>
  <si>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</si>
  <si>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</si>
  <si>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</si>
  <si>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</si>
  <si>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</si>
  <si>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</si>
  <si>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</si>
  <si>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</si>
  <si>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</si>
  <si>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</si>
  <si>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</si>
  <si>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</si>
  <si>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</si>
  <si>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</si>
  <si>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</si>
  <si>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</si>
  <si>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</si>
  <si>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</si>
  <si>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</si>
  <si>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</si>
  <si>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</si>
  <si>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</si>
  <si>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</si>
  <si>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</si>
  <si>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</si>
  <si>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</si>
  <si>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</si>
  <si>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</si>
  <si>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</si>
  <si>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</si>
  <si>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</si>
  <si>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</si>
  <si>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</si>
  <si>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</si>
  <si>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</si>
  <si>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</si>
  <si>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</si>
  <si>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</si>
  <si>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</si>
  <si>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</si>
  <si>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</si>
  <si>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</si>
  <si>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</si>
  <si>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</si>
  <si>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</si>
  <si>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</si>
  <si>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</si>
  <si>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</si>
  <si>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</si>
  <si>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</si>
  <si>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</si>
  <si>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</si>
  <si>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</si>
  <si>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</si>
  <si>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</si>
  <si>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</si>
  <si>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</si>
  <si>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</si>
  <si>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</si>
  <si>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</si>
  <si>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</si>
  <si>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</si>
  <si>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</si>
  <si>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</si>
  <si>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</si>
  <si>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</si>
  <si>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</si>
  <si>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</si>
  <si>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</si>
  <si>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</si>
  <si>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</si>
  <si>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</si>
  <si>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</si>
  <si>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</si>
  <si>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</si>
  <si>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</si>
  <si>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</si>
  <si>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</si>
  <si>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</si>
  <si>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</si>
  <si>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</si>
  <si>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</si>
  <si>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</si>
  <si>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</si>
  <si>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</si>
  <si>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</si>
  <si>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</si>
  <si>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</si>
  <si>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</si>
  <si>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</si>
  <si>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</si>
  <si>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</si>
  <si>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</si>
  <si>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</si>
  <si>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</si>
  <si>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</si>
  <si>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</si>
  <si>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</si>
  <si>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</si>
  <si>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</si>
  <si>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</si>
  <si>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</si>
  <si>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</si>
  <si>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</si>
  <si>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</si>
  <si>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</si>
  <si>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</si>
  <si>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</si>
  <si>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</si>
  <si>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</si>
  <si>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</si>
  <si>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</si>
  <si>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</si>
  <si>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</si>
  <si>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</si>
  <si>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</si>
  <si>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</si>
  <si>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</si>
  <si>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</si>
  <si>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</si>
  <si>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</si>
  <si>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</si>
  <si>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</si>
  <si>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</si>
  <si>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</si>
  <si>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</si>
  <si>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</si>
  <si>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</si>
  <si>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</si>
  <si>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</si>
  <si>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</si>
  <si>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</si>
  <si>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</si>
  <si>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</si>
  <si>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</si>
  <si>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</si>
  <si>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</si>
  <si>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</si>
  <si>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</si>
  <si>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</si>
  <si>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</si>
  <si>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</si>
  <si>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</si>
  <si>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</si>
  <si>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</si>
  <si>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</si>
  <si>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</si>
  <si>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</si>
  <si>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</si>
  <si>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</si>
  <si>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</si>
  <si>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</si>
  <si>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</si>
  <si>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</si>
  <si>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</si>
  <si>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</si>
  <si>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</si>
  <si>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</si>
  <si>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</si>
  <si>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</si>
  <si>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</si>
  <si>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</si>
  <si>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</si>
  <si>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</si>
  <si>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</si>
  <si>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</si>
  <si>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</si>
  <si>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</si>
  <si>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</si>
  <si>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</si>
  <si>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</si>
  <si>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</si>
  <si>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</si>
  <si>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</si>
  <si>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</si>
  <si>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</si>
  <si>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</si>
  <si>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</si>
  <si>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</si>
  <si>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</si>
  <si>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</si>
  <si>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</si>
  <si>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</si>
  <si>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</si>
  <si>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</si>
  <si>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</si>
  <si>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</si>
  <si>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</si>
  <si>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</si>
  <si>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</si>
  <si>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</si>
  <si>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</si>
  <si>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</si>
  <si>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</si>
  <si>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</si>
  <si>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</si>
  <si>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</si>
  <si>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</si>
  <si>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</si>
  <si>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</si>
  <si>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</si>
  <si>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</si>
  <si>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</si>
  <si>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</si>
  <si>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</si>
  <si>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</si>
  <si>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</si>
  <si>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</si>
  <si>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</si>
  <si>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</si>
  <si>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</si>
  <si>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</si>
  <si>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</si>
  <si>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</si>
  <si>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</si>
  <si>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</si>
  <si>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</si>
  <si>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</si>
  <si>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</si>
  <si>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</si>
  <si>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</si>
  <si>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</si>
  <si>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</si>
  <si>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</si>
  <si>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</si>
  <si>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</si>
  <si>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</si>
  <si>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</si>
  <si>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</si>
  <si>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</si>
  <si>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</si>
  <si>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</si>
  <si>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</si>
  <si>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</si>
  <si>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</si>
  <si>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</si>
  <si>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</si>
  <si>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</si>
  <si>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</si>
  <si>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</si>
  <si>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</si>
  <si>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</si>
  <si>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</si>
  <si>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</si>
  <si>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</si>
  <si>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</si>
  <si>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</si>
  <si>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</si>
  <si>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</si>
  <si>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</si>
  <si>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</si>
  <si>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</si>
  <si>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</si>
  <si>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</si>
  <si>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</si>
  <si>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</si>
  <si>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</si>
  <si>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</si>
  <si>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</si>
  <si>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</si>
  <si>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</si>
  <si>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</si>
  <si>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</si>
  <si>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</si>
  <si>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</si>
  <si>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</si>
  <si>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</si>
  <si>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</si>
  <si>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</si>
  <si>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</si>
  <si>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</si>
  <si>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</si>
  <si>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</si>
  <si>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</si>
  <si>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</si>
  <si>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</si>
  <si>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</si>
  <si>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</si>
  <si>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</si>
  <si>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</si>
  <si>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</si>
  <si>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</si>
  <si>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</si>
  <si>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</si>
  <si>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</si>
  <si>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</si>
  <si>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</si>
  <si>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</si>
  <si>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</si>
  <si>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</si>
  <si>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</si>
  <si>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</si>
  <si>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</si>
  <si>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</si>
  <si>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</si>
  <si>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</si>
  <si>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</si>
  <si>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</si>
  <si>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</si>
  <si>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</si>
  <si>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</si>
  <si>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</si>
  <si>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</si>
  <si>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</si>
  <si>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</si>
  <si>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</si>
  <si>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</si>
  <si>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</si>
  <si>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</si>
  <si>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</si>
  <si>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</si>
  <si>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</si>
  <si>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</si>
  <si>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</si>
  <si>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</si>
  <si>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</si>
  <si>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</si>
  <si>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</si>
  <si>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</si>
  <si>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</si>
  <si>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</si>
  <si>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</si>
  <si>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</si>
  <si>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</si>
  <si>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</si>
  <si>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</si>
  <si>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</si>
  <si>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</si>
  <si>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</si>
  <si>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</si>
  <si>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</si>
  <si>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</si>
  <si>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</si>
  <si>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</si>
  <si>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</si>
  <si>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</si>
  <si>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</si>
  <si>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</si>
  <si>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</si>
  <si>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</si>
  <si>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</si>
  <si>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</si>
  <si>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</si>
  <si>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</si>
  <si>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</si>
  <si>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</si>
  <si>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</si>
  <si>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</si>
  <si>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</si>
  <si>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</si>
  <si>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</si>
  <si>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</si>
  <si>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</si>
  <si>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</si>
  <si>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</si>
  <si>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</si>
  <si>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</si>
  <si>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</si>
  <si>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</si>
  <si>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</si>
  <si>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</si>
  <si>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</si>
  <si>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</si>
  <si>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</si>
  <si>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</si>
  <si>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</si>
  <si>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</si>
  <si>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</si>
  <si>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</si>
  <si>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</si>
  <si>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</si>
  <si>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</si>
  <si>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</si>
  <si>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</si>
  <si>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</si>
  <si>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</si>
  <si>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</si>
  <si>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</si>
  <si>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</si>
  <si>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</si>
  <si>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</si>
  <si>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</si>
  <si>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</si>
  <si>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</si>
  <si>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</si>
  <si>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</si>
  <si>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</si>
  <si>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</si>
  <si>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</si>
  <si>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</si>
  <si>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</si>
  <si>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</si>
  <si>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</si>
  <si>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</si>
  <si>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</si>
  <si>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</si>
  <si>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</si>
  <si>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</si>
  <si>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</si>
  <si>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</si>
  <si>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</si>
  <si>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</si>
  <si>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</si>
  <si>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</si>
  <si>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</si>
  <si>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</si>
  <si>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</si>
  <si>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</si>
  <si>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</si>
  <si>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</si>
  <si>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</si>
  <si>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</si>
  <si>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</si>
  <si>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</si>
  <si>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</si>
  <si>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</si>
  <si>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</si>
  <si>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</si>
  <si>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</si>
  <si>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</si>
  <si>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</si>
  <si>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</si>
  <si>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</si>
  <si>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</si>
  <si>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</si>
  <si>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</si>
  <si>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</si>
  <si>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</si>
  <si>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</si>
  <si>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</si>
  <si>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</si>
  <si>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</si>
  <si>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</si>
  <si>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</si>
  <si>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</si>
  <si>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</si>
  <si>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</si>
  <si>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</si>
  <si>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</si>
  <si>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</si>
  <si>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</si>
  <si>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</si>
  <si>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</si>
  <si>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</si>
  <si>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</si>
  <si>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</si>
  <si>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</si>
  <si>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</si>
  <si>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</si>
  <si>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</si>
  <si>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</si>
  <si>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</si>
  <si>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</si>
  <si>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</si>
  <si>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</si>
  <si>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</si>
  <si>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</si>
  <si>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</si>
  <si>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</si>
  <si>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</si>
  <si>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</si>
  <si>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</si>
  <si>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</si>
  <si>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</si>
  <si>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</si>
  <si>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</si>
  <si>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</si>
  <si>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</si>
  <si>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</si>
  <si>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</si>
  <si>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</si>
  <si>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</si>
  <si>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</si>
  <si>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</si>
  <si>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</si>
  <si>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</si>
  <si>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</si>
  <si>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</si>
  <si>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</si>
  <si>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</si>
  <si>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</si>
  <si>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</si>
  <si>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</si>
  <si>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</si>
  <si>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</si>
  <si>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</si>
  <si>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</si>
  <si>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</si>
  <si>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</si>
  <si>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</si>
  <si>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</si>
  <si>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</si>
  <si>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</si>
  <si>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</si>
  <si>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</si>
  <si>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</si>
  <si>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</si>
  <si>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</si>
  <si>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</si>
  <si>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</si>
  <si>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</si>
  <si>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</si>
  <si>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</si>
  <si>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</si>
  <si>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</si>
  <si>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</si>
  <si>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</si>
  <si>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</si>
  <si>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</si>
  <si>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</si>
  <si>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</si>
  <si>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</si>
  <si>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</si>
  <si>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</si>
  <si>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</si>
  <si>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</si>
  <si>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</si>
  <si>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</si>
  <si>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</si>
  <si>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</si>
  <si>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</si>
  <si>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</si>
  <si>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</si>
  <si>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</si>
  <si>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</si>
  <si>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</si>
  <si>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</si>
  <si>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</si>
  <si>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</si>
  <si>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</si>
  <si>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</si>
  <si>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</si>
  <si>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</si>
  <si>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</si>
  <si>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</si>
  <si>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</si>
  <si>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</si>
  <si>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</si>
  <si>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</si>
  <si>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</si>
  <si>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</si>
  <si>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</si>
  <si>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</si>
  <si>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</si>
  <si>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</si>
  <si>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</si>
  <si>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</si>
  <si>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</si>
  <si>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</si>
  <si>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</si>
  <si>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</si>
  <si>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</si>
  <si>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</si>
  <si>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</si>
  <si>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</si>
  <si>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</si>
  <si>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</si>
  <si>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</si>
  <si>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</si>
  <si>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</si>
  <si>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</si>
  <si>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</si>
  <si>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</si>
  <si>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</si>
  <si>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</si>
  <si>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</si>
  <si>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</si>
  <si>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</si>
  <si>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</si>
  <si>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</si>
  <si>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</si>
  <si>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</si>
  <si>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</si>
  <si>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</si>
  <si>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</si>
  <si>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</si>
  <si>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</si>
  <si>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</si>
  <si>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</si>
  <si>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</si>
  <si>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</si>
  <si>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</si>
  <si>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</si>
  <si>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</si>
  <si>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</si>
  <si>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</si>
  <si>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</si>
  <si>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</si>
  <si>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</si>
  <si>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</si>
  <si>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</si>
  <si>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</si>
  <si>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</si>
  <si>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</si>
  <si>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</si>
  <si>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</si>
  <si>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</si>
  <si>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</si>
  <si>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</si>
  <si>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</si>
  <si>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</si>
  <si>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</si>
  <si>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</si>
  <si>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</si>
  <si>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</si>
  <si>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</si>
  <si>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</si>
  <si>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</si>
  <si>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</si>
  <si>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</si>
  <si>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</si>
  <si>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</si>
  <si>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</si>
  <si>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</si>
  <si>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</si>
  <si>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</si>
  <si>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</si>
  <si>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</si>
  <si>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</si>
  <si>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</si>
  <si>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</si>
  <si>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</si>
  <si>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</si>
  <si>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</si>
  <si>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</si>
  <si>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</si>
  <si>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</si>
  <si>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</si>
  <si>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</si>
  <si>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</si>
  <si>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</si>
  <si>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</si>
  <si>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</si>
  <si>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</si>
  <si>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</si>
  <si>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</si>
  <si>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</si>
  <si>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</si>
  <si>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</si>
  <si>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</si>
  <si>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</si>
  <si>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</si>
  <si>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</si>
  <si>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</si>
  <si>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</si>
  <si>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</si>
  <si>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</si>
  <si>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</si>
  <si>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</si>
  <si>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</si>
  <si>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</si>
  <si>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</si>
  <si>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</si>
  <si>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</si>
  <si>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</si>
  <si>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</si>
  <si>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</si>
  <si>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</si>
  <si>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</si>
  <si>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</si>
  <si>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</si>
  <si>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</si>
  <si>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</si>
  <si>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</si>
  <si>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</si>
  <si>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</si>
  <si>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</si>
  <si>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</si>
  <si>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</si>
  <si>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</si>
  <si>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</si>
  <si>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</si>
  <si>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</si>
  <si>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</si>
  <si>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</si>
  <si>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</si>
  <si>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</si>
  <si>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</si>
  <si>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</si>
  <si>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</si>
  <si>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</si>
  <si>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</si>
  <si>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</si>
  <si>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</si>
  <si>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</si>
  <si>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</si>
  <si>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</si>
  <si>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</si>
  <si>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</si>
  <si>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</si>
  <si>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</si>
  <si>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</si>
  <si>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</si>
  <si>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</si>
  <si>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</si>
  <si>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</si>
  <si>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</si>
  <si>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</si>
  <si>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</si>
  <si>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</si>
  <si>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</si>
  <si>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</si>
  <si>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</si>
  <si>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</si>
  <si>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</si>
  <si>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</si>
  <si>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</si>
  <si>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</si>
  <si>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</si>
  <si>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</si>
  <si>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</si>
  <si>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</si>
  <si>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</si>
  <si>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</si>
  <si>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</si>
  <si>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</si>
  <si>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</si>
  <si>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</si>
  <si>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</si>
  <si>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</si>
  <si>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</si>
  <si>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</si>
  <si>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</si>
  <si>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</si>
  <si>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</si>
  <si>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</si>
  <si>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</si>
  <si>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</si>
  <si>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</si>
  <si>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</si>
  <si>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</si>
  <si>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</si>
  <si>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</si>
  <si>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</si>
  <si>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</si>
  <si>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</si>
  <si>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</si>
  <si>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</si>
  <si>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</si>
  <si>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</si>
  <si>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</si>
  <si>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</si>
  <si>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</si>
  <si>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</si>
  <si>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</si>
  <si>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</si>
  <si>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</si>
  <si>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</si>
  <si>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</si>
  <si>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</si>
  <si>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</si>
  <si>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</si>
  <si>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</si>
  <si>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</si>
  <si>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</si>
  <si>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</si>
  <si>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</si>
  <si>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</si>
  <si>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</si>
  <si>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</si>
  <si>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</si>
  <si>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</si>
  <si>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</si>
  <si>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</si>
  <si>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</si>
  <si>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</si>
  <si>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</si>
  <si>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</si>
  <si>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</si>
  <si>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</si>
  <si>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</si>
  <si>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</si>
  <si>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</si>
  <si>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</si>
  <si>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</si>
  <si>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</si>
  <si>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</si>
  <si>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</si>
  <si>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</si>
  <si>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</si>
  <si>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</si>
  <si>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</si>
  <si>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</si>
  <si>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</si>
  <si>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</si>
  <si>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</si>
  <si>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</si>
  <si>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</si>
  <si>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</si>
  <si>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</si>
  <si>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</si>
  <si>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</si>
  <si>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</si>
  <si>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</si>
  <si>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</si>
  <si>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</si>
  <si>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</si>
  <si>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</si>
  <si>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</si>
  <si>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</si>
  <si>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</si>
  <si>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</si>
  <si>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</si>
  <si>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</si>
  <si>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</si>
  <si>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</si>
  <si>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</si>
  <si>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</si>
  <si>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</si>
  <si>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</si>
  <si>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</si>
  <si>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</si>
  <si>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</si>
  <si>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</si>
  <si>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</si>
  <si>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</si>
  <si>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</si>
  <si>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</si>
  <si>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</si>
  <si>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</si>
  <si>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</si>
  <si>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</si>
  <si>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</si>
  <si>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</si>
  <si>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</si>
  <si>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</si>
  <si>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</si>
  <si>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</si>
  <si>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</si>
  <si>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</si>
  <si>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</si>
  <si>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</si>
  <si>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</si>
  <si>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</si>
  <si>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</si>
  <si>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</si>
  <si>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</si>
  <si>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</si>
  <si>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</si>
  <si>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</si>
  <si>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</si>
  <si>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</si>
  <si>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</si>
  <si>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</si>
  <si>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</si>
  <si>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</si>
  <si>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</si>
  <si>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</si>
  <si>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</si>
  <si>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</si>
  <si>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</si>
  <si>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</si>
  <si>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</si>
  <si>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</si>
  <si>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</si>
  <si>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</si>
  <si>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</si>
  <si>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</si>
  <si>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</si>
  <si>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</si>
  <si>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</si>
  <si>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</si>
  <si>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</si>
  <si>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</si>
  <si>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</si>
  <si>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</si>
  <si>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</si>
  <si>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</si>
  <si>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</si>
  <si>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</si>
  <si>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</si>
  <si>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</si>
  <si>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</si>
  <si>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</si>
  <si>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</si>
  <si>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</si>
  <si>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</si>
  <si>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</si>
  <si>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</si>
  <si>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</si>
  <si>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</si>
  <si>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</si>
  <si>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</si>
  <si>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</si>
  <si>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</si>
  <si>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</si>
  <si>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</si>
  <si>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</si>
  <si>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</si>
  <si>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</si>
  <si>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</si>
  <si>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</si>
  <si>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</si>
  <si>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</si>
  <si>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</si>
  <si>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</si>
  <si>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</si>
  <si>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</si>
  <si>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</si>
  <si>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</si>
  <si>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</si>
  <si>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</si>
  <si>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</si>
  <si>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</si>
  <si>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</si>
  <si>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</si>
  <si>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</si>
  <si>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</si>
  <si>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</si>
  <si>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</si>
  <si>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</si>
  <si>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</si>
  <si>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</si>
  <si>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</si>
  <si>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</si>
  <si>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</si>
  <si>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</si>
  <si>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</si>
  <si>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</si>
  <si>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</si>
  <si>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</si>
  <si>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</si>
  <si>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</si>
  <si>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</si>
  <si>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</si>
  <si>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</si>
  <si>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</si>
  <si>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</si>
  <si>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</si>
  <si>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</si>
  <si>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</si>
  <si>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</si>
  <si>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</si>
  <si>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</si>
  <si>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</si>
  <si>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</si>
  <si>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</si>
  <si>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</si>
  <si>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</si>
  <si>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</si>
  <si>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</si>
  <si>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</si>
  <si>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</si>
  <si>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</si>
  <si>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</si>
  <si>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</si>
  <si>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</si>
  <si>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</si>
  <si>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</si>
  <si>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</si>
  <si>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</si>
  <si>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</si>
  <si>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</si>
  <si>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</si>
  <si>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</si>
  <si>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</si>
  <si>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</si>
  <si>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</si>
  <si>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</si>
  <si>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</si>
  <si>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</si>
  <si>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</si>
  <si>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</si>
  <si>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</si>
  <si>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</si>
  <si>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</si>
  <si>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</si>
  <si>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</si>
  <si>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</si>
  <si>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</si>
  <si>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</si>
  <si>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</si>
  <si>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</si>
  <si>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</si>
  <si>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</si>
  <si>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</si>
  <si>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</si>
  <si>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</si>
  <si>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</si>
  <si>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</si>
  <si>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</si>
  <si>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</si>
  <si>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</si>
  <si>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</si>
  <si>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</si>
  <si>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</si>
  <si>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</si>
  <si>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</si>
  <si>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</si>
  <si>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</si>
  <si>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</si>
  <si>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</si>
  <si>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</si>
  <si>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</si>
  <si>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</si>
  <si>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</si>
  <si>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</si>
  <si>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</si>
  <si>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</si>
  <si>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</si>
  <si>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</si>
  <si>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</si>
  <si>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</si>
  <si>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</si>
  <si>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</si>
  <si>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</si>
  <si>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</si>
  <si>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</si>
  <si>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</si>
  <si>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</si>
  <si>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</si>
  <si>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</si>
  <si>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</si>
  <si>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</si>
  <si>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</si>
  <si>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</si>
  <si>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</si>
  <si>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</si>
  <si>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</si>
  <si>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</si>
  <si>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</si>
  <si>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</si>
  <si>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</si>
  <si>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</si>
  <si>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</si>
  <si>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</si>
  <si>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</si>
  <si>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</si>
  <si>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</si>
  <si>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</si>
  <si>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</si>
  <si>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</si>
  <si>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</si>
  <si>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</si>
  <si>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</si>
  <si>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</si>
  <si>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</si>
  <si>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</si>
  <si>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</si>
  <si>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</si>
  <si>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</si>
  <si>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</si>
  <si>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</si>
  <si>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</si>
  <si>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</si>
  <si>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</si>
  <si>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</si>
  <si>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</si>
  <si>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</si>
  <si>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</si>
  <si>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</si>
  <si>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</si>
  <si>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</si>
  <si>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</si>
  <si>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</si>
  <si>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</si>
  <si>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</si>
  <si>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</si>
  <si>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</si>
  <si>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</si>
  <si>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</si>
  <si>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</si>
  <si>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</si>
  <si>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</si>
  <si>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</si>
  <si>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</si>
  <si>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</si>
  <si>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</si>
  <si>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</si>
  <si>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</si>
  <si>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</si>
  <si>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</si>
  <si>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</si>
  <si>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</si>
  <si>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</si>
  <si>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</si>
  <si>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</si>
  <si>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</si>
  <si>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</si>
  <si>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</si>
  <si>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</si>
  <si>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</si>
  <si>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</si>
  <si>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</si>
  <si>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</si>
  <si>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</si>
  <si>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</si>
  <si>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</si>
  <si>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</si>
  <si>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</si>
  <si>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</si>
  <si>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</si>
  <si>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</si>
  <si>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</si>
  <si>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</si>
  <si>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</si>
  <si>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</si>
  <si>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</si>
  <si>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</si>
  <si>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</si>
  <si>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</si>
  <si>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</si>
  <si>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</si>
  <si>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</si>
  <si>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</si>
  <si>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</si>
  <si>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</si>
  <si>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</si>
  <si>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</si>
  <si>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</si>
  <si>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</si>
  <si>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</si>
  <si>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</si>
  <si>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</si>
  <si>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</si>
  <si>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</si>
  <si>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</si>
  <si>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</si>
  <si>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</si>
  <si>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</si>
  <si>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</si>
  <si>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</si>
  <si>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</si>
  <si>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</si>
  <si>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</si>
  <si>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</si>
  <si>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</si>
  <si>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</si>
  <si>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</si>
  <si>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</si>
  <si>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</si>
  <si>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</si>
  <si>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</si>
  <si>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</si>
  <si>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</si>
  <si>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</si>
  <si>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</si>
  <si>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</si>
  <si>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</si>
  <si>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</si>
  <si>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</si>
  <si>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</si>
  <si>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</si>
  <si>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</si>
  <si>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</si>
  <si>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</si>
  <si>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</si>
  <si>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</si>
  <si>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</si>
  <si>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</si>
  <si>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</si>
  <si>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</si>
  <si>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</si>
  <si>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</si>
  <si>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</si>
  <si>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</si>
  <si>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</si>
  <si>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</si>
  <si>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</si>
  <si>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</si>
  <si>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</si>
  <si>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</si>
  <si>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</si>
  <si>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</si>
  <si>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</si>
  <si>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</si>
  <si>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</si>
  <si>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</si>
  <si>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</si>
  <si>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</si>
  <si>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</si>
  <si>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</si>
  <si>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</si>
  <si>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</si>
  <si>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</si>
  <si>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</si>
  <si>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</si>
  <si>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</si>
  <si>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</si>
  <si>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</si>
  <si>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</si>
  <si>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</si>
  <si>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</si>
  <si>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</si>
  <si>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</si>
  <si>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</si>
  <si>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</si>
  <si>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</si>
  <si>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</si>
  <si>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</si>
  <si>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</si>
  <si>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</si>
  <si>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</si>
  <si>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</si>
  <si>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</si>
  <si>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</si>
  <si>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</si>
  <si>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</si>
  <si>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</si>
  <si>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</si>
  <si>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</si>
  <si>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</si>
  <si>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</si>
  <si>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</si>
  <si>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</si>
  <si>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</si>
  <si>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</si>
  <si>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</si>
  <si>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</si>
  <si>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</si>
  <si>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</si>
  <si>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</si>
  <si>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</si>
  <si>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</si>
  <si>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</si>
  <si>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</si>
  <si>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</si>
  <si>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</si>
  <si>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</si>
  <si>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</si>
  <si>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</si>
  <si>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</si>
  <si>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</si>
  <si>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</si>
  <si>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</si>
  <si>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</si>
  <si>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</si>
  <si>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</si>
  <si>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</si>
  <si>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</si>
  <si>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</si>
  <si>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</si>
  <si>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</si>
  <si>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</si>
  <si>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</si>
  <si>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</si>
  <si>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</si>
  <si>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</si>
  <si>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</si>
  <si>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</si>
  <si>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</si>
  <si>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</si>
  <si>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</si>
  <si>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</si>
  <si>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</si>
  <si>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</si>
  <si>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</si>
  <si>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</si>
  <si>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</si>
  <si>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</si>
  <si>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</si>
  <si>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</si>
  <si>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</si>
  <si>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</si>
  <si>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</si>
  <si>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</si>
  <si>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</si>
  <si>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</si>
  <si>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</si>
  <si>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</si>
  <si>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</si>
  <si>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</si>
  <si>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</si>
  <si>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</si>
  <si>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</si>
  <si>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</si>
  <si>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</si>
  <si>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</si>
  <si>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</si>
  <si>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</si>
  <si>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</si>
  <si>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</si>
  <si>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</si>
  <si>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</si>
  <si>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</si>
  <si>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</si>
  <si>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</si>
  <si>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</si>
  <si>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</si>
  <si>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</si>
  <si>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</si>
  <si>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</si>
  <si>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</si>
  <si>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</si>
  <si>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</si>
  <si>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</si>
  <si>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</si>
  <si>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</si>
  <si>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</si>
  <si>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</si>
  <si>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</si>
  <si>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</si>
  <si>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</si>
  <si>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</si>
  <si>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</si>
  <si>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</si>
  <si>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</si>
  <si>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</si>
  <si>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</si>
  <si>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</si>
  <si>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</si>
  <si>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</si>
  <si>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</si>
  <si>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</si>
  <si>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</si>
  <si>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</si>
  <si>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</si>
  <si>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</si>
  <si>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</si>
  <si>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</si>
  <si>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</si>
  <si>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</si>
  <si>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</si>
  <si>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</si>
  <si>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</si>
  <si>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</si>
  <si>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</si>
  <si>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</si>
  <si>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</si>
  <si>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</si>
  <si>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</si>
  <si>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</si>
  <si>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</si>
  <si>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</si>
  <si>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</si>
  <si>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</si>
  <si>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</si>
  <si>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</si>
  <si>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</si>
  <si>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</si>
  <si>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</si>
  <si>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</si>
  <si>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</si>
  <si>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</si>
  <si>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</si>
  <si>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</si>
  <si>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</si>
  <si>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</si>
  <si>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</si>
  <si>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</si>
  <si>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</si>
  <si>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</si>
  <si>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</si>
  <si>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</si>
  <si>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</si>
  <si>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</si>
  <si>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</si>
  <si>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</si>
  <si>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</si>
  <si>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</si>
  <si>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</si>
  <si>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</si>
  <si>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</si>
  <si>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</si>
  <si>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</si>
  <si>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</si>
  <si>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</si>
  <si>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</si>
  <si>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</si>
  <si>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</si>
  <si>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</si>
  <si>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</si>
  <si>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</si>
  <si>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</si>
  <si>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</si>
  <si>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</si>
  <si>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</si>
  <si>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</si>
  <si>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</si>
  <si>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</si>
  <si>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</si>
  <si>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</si>
  <si>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</si>
  <si>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</si>
  <si>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</si>
  <si>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</si>
  <si>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</si>
  <si>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</si>
  <si>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</si>
  <si>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</si>
  <si>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</si>
  <si>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</si>
  <si>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</si>
  <si>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</si>
  <si>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</si>
  <si>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</si>
  <si>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</si>
  <si>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</si>
  <si>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</si>
  <si>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</si>
  <si>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</si>
  <si>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</si>
  <si>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</si>
  <si>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</si>
  <si>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</si>
  <si>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</si>
  <si>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</si>
  <si>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</si>
  <si>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</si>
  <si>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</si>
  <si>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</si>
  <si>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</si>
  <si>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</si>
  <si>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</si>
  <si>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</si>
  <si>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</si>
  <si>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</si>
  <si>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</si>
  <si>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</si>
  <si>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</si>
  <si>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</si>
  <si>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</si>
  <si>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</si>
  <si>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</si>
  <si>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</si>
  <si>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</si>
  <si>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</si>
  <si>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</si>
  <si>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</si>
  <si>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</si>
  <si>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</si>
  <si>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</si>
  <si>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</si>
  <si>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</si>
  <si>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</si>
  <si>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</si>
  <si>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</si>
  <si>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</si>
  <si>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</si>
  <si>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</si>
  <si>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</si>
  <si>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</si>
  <si>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</si>
  <si>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</si>
  <si>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</si>
  <si>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</si>
  <si>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</si>
  <si>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</si>
  <si>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</si>
  <si>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</si>
  <si>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</si>
  <si>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</si>
  <si>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</si>
  <si>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</si>
  <si>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</si>
  <si>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</si>
  <si>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</si>
  <si>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</si>
  <si>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</si>
  <si>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</si>
  <si>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</si>
  <si>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</si>
  <si>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</si>
  <si>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</si>
  <si>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</si>
  <si>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</si>
  <si>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</si>
  <si>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</si>
  <si>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</si>
  <si>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</si>
  <si>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</si>
  <si>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</si>
  <si>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</si>
  <si>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</si>
  <si>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</si>
  <si>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</si>
  <si>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</si>
  <si>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</si>
  <si>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</si>
  <si>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</si>
  <si>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</si>
  <si>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</si>
  <si>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</si>
  <si>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</si>
  <si>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</si>
  <si>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</si>
  <si>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</si>
  <si>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</si>
  <si>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</si>
  <si>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</si>
  <si>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</si>
  <si>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</si>
  <si>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</si>
  <si>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</si>
  <si>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</si>
  <si>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</si>
  <si>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</si>
  <si>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</si>
  <si>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</si>
  <si>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</si>
  <si>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</si>
  <si>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</si>
  <si>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</si>
  <si>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</si>
  <si>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</si>
  <si>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</si>
  <si>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</si>
  <si>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</si>
  <si>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</si>
  <si>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</si>
  <si>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</si>
  <si>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</si>
  <si>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</si>
  <si>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</si>
  <si>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</si>
  <si>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</si>
  <si>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</si>
  <si>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</si>
  <si>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</si>
  <si>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</si>
  <si>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</si>
  <si>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</si>
  <si>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</si>
  <si>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</si>
  <si>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</si>
  <si>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</si>
  <si>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</si>
  <si>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</si>
  <si>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</si>
  <si>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</si>
  <si>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</si>
  <si>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</si>
  <si>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</si>
  <si>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</si>
  <si>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</si>
  <si>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</si>
  <si>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</si>
  <si>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</si>
  <si>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</si>
  <si>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</si>
  <si>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</si>
  <si>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</si>
  <si>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</si>
  <si>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</si>
  <si>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</si>
  <si>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</si>
  <si>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</si>
  <si>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</si>
  <si>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</si>
  <si>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</si>
  <si>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</si>
  <si>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</si>
  <si>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</si>
  <si>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</si>
  <si>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</si>
  <si>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</si>
  <si>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</si>
  <si>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</si>
  <si>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</si>
  <si>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</si>
  <si>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</si>
  <si>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</si>
  <si>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</si>
  <si>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</si>
  <si>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</si>
  <si>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</si>
  <si>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</si>
  <si>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</si>
  <si>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</si>
  <si>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</si>
  <si>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</si>
  <si>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</si>
  <si>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</si>
  <si>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</si>
  <si>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</si>
  <si>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</si>
  <si>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</si>
  <si>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</si>
  <si>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</si>
  <si>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</si>
  <si>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</si>
  <si>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</si>
  <si>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</si>
  <si>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</si>
  <si>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</si>
  <si>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</si>
  <si>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</si>
  <si>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</si>
  <si>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</si>
  <si>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</si>
  <si>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</si>
  <si>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</si>
  <si>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</si>
  <si>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</si>
  <si>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</si>
  <si>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</si>
  <si>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</si>
  <si>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</si>
  <si>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</si>
  <si>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</si>
  <si>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</si>
  <si>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</si>
  <si>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</si>
  <si>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</si>
  <si>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</si>
  <si>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</si>
  <si>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</si>
  <si>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</si>
  <si>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</si>
  <si>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</si>
  <si>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</si>
  <si>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</si>
  <si>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</si>
  <si>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</si>
  <si>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</si>
  <si>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</si>
  <si>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</si>
  <si>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</si>
  <si>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</si>
  <si>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</si>
  <si>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</si>
  <si>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</si>
  <si>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</si>
  <si>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</si>
  <si>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</si>
  <si>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</si>
  <si>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</si>
  <si>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</si>
  <si>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</si>
  <si>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</si>
  <si>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</si>
  <si>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</si>
  <si>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</si>
  <si>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</si>
  <si>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</si>
  <si>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</si>
  <si>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</si>
  <si>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</si>
  <si>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</si>
  <si>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</si>
  <si>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</si>
  <si>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</si>
  <si>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</si>
  <si>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</si>
  <si>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</si>
  <si>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</si>
  <si>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</si>
  <si>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</si>
  <si>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</si>
  <si>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</si>
  <si>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</si>
  <si>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</si>
  <si>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</si>
  <si>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</si>
  <si>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</si>
  <si>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</si>
  <si>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</si>
  <si>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</si>
  <si>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</si>
  <si>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</si>
  <si>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</si>
  <si>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</si>
  <si>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</si>
  <si>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</si>
  <si>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</si>
  <si>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</si>
  <si>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</si>
  <si>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</si>
  <si>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</si>
  <si>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</si>
  <si>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</si>
  <si>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</si>
  <si>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</si>
  <si>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</si>
  <si>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</si>
  <si>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</si>
  <si>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</si>
  <si>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</si>
  <si>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</si>
  <si>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</si>
  <si>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</si>
  <si>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</si>
  <si>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</si>
  <si>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</si>
  <si>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</si>
  <si>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</si>
  <si>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</si>
  <si>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</si>
  <si>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</si>
  <si>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</si>
  <si>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</si>
  <si>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</si>
  <si>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</si>
  <si>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</si>
  <si>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</si>
  <si>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</si>
  <si>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</si>
  <si>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</si>
  <si>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</si>
  <si>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</si>
  <si>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</si>
  <si>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</si>
  <si>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</si>
  <si>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</si>
  <si>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</si>
  <si>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</si>
  <si>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</si>
  <si>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</si>
  <si>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</si>
  <si>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</si>
  <si>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</si>
  <si>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</si>
  <si>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</si>
  <si>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</si>
  <si>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</si>
  <si>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</si>
  <si>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</si>
  <si>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</si>
  <si>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</si>
  <si>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</si>
  <si>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</si>
  <si>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</si>
  <si>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</si>
  <si>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</si>
  <si>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</si>
  <si>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</si>
  <si>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</si>
  <si>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</si>
  <si>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</si>
  <si>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</si>
  <si>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</si>
  <si>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</si>
  <si>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</si>
  <si>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</si>
  <si>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</si>
  <si>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</si>
  <si>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</si>
  <si>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</si>
  <si>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</si>
  <si>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</si>
  <si>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</si>
  <si>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</si>
  <si>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</si>
  <si>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</si>
  <si>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</si>
  <si>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</si>
  <si>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</si>
  <si>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</si>
  <si>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</si>
  <si>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</si>
  <si>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</si>
  <si>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</si>
  <si>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</si>
  <si>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</si>
  <si>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</si>
  <si>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</si>
  <si>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</si>
  <si>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</si>
  <si>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</si>
  <si>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</si>
  <si>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</si>
  <si>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</si>
  <si>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</si>
  <si>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</si>
  <si>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</si>
  <si>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</si>
  <si>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</si>
  <si>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</si>
  <si>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</si>
  <si>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</si>
  <si>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</si>
  <si>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</si>
  <si>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</si>
  <si>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</si>
  <si>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</si>
  <si>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</si>
  <si>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</si>
  <si>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</si>
  <si>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</si>
  <si>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</si>
  <si>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</si>
  <si>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</si>
  <si>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</si>
  <si>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</si>
  <si>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</si>
  <si>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</si>
  <si>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</si>
  <si>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</si>
  <si>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</si>
  <si>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</si>
  <si>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</si>
  <si>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</si>
  <si>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</si>
  <si>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</si>
  <si>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</si>
  <si>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</si>
  <si>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</si>
  <si>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</si>
  <si>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</si>
  <si>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</si>
  <si>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</si>
  <si>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</si>
  <si>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</si>
  <si>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</si>
  <si>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</si>
  <si>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</si>
  <si>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</si>
  <si>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</si>
  <si>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</si>
  <si>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</si>
  <si>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</si>
  <si>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</si>
  <si>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</si>
  <si>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</si>
  <si>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</si>
  <si>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</si>
  <si>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</si>
  <si>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</si>
  <si>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</si>
  <si>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</si>
  <si>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</si>
  <si>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</si>
  <si>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</si>
  <si>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</si>
  <si>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</si>
  <si>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</si>
  <si>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</si>
  <si>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</si>
  <si>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</si>
  <si>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</si>
  <si>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</si>
  <si>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</si>
  <si>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</si>
  <si>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</si>
  <si>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</si>
  <si>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</si>
  <si>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</si>
  <si>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</si>
  <si>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</si>
  <si>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</si>
  <si>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</si>
  <si>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</si>
  <si>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</si>
  <si>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</si>
  <si>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</si>
  <si>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</si>
  <si>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</si>
  <si>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</si>
  <si>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</si>
  <si>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</si>
  <si>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</si>
  <si>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</si>
  <si>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</si>
  <si>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</si>
  <si>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</si>
  <si>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</si>
  <si>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</si>
  <si>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</si>
  <si>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</si>
  <si>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</si>
  <si>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</si>
  <si>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</si>
  <si>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</si>
  <si>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</si>
  <si>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</si>
  <si>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</si>
  <si>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</si>
  <si>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</si>
  <si>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</si>
  <si>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</si>
  <si>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</si>
  <si>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</si>
  <si>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</si>
  <si>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</si>
  <si>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</si>
  <si>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</si>
  <si>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</si>
  <si>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</si>
  <si>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</si>
  <si>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</si>
  <si>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</si>
  <si>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</si>
  <si>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</si>
  <si>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</si>
  <si>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</si>
  <si>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</si>
  <si>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</si>
  <si>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</si>
  <si>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</si>
  <si>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</si>
  <si>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</si>
  <si>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</si>
  <si>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</si>
  <si>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</si>
  <si>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</si>
  <si>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</si>
  <si>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</si>
  <si>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</si>
  <si>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</si>
  <si>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</si>
  <si>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</si>
  <si>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</si>
  <si>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</si>
  <si>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</si>
  <si>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</si>
  <si>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</si>
  <si>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</si>
  <si>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</si>
  <si>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</si>
  <si>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</si>
  <si>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</si>
  <si>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</si>
  <si>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</si>
  <si>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</si>
  <si>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</si>
  <si>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</si>
  <si>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</si>
  <si>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</si>
  <si>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</si>
  <si>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</si>
  <si>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</si>
  <si>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</si>
  <si>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</si>
  <si>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</si>
  <si>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</si>
  <si>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</si>
  <si>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</si>
  <si>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</si>
  <si>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</si>
  <si>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</si>
  <si>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</si>
  <si>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</si>
  <si>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</si>
  <si>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</si>
  <si>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</si>
  <si>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</si>
  <si>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</si>
  <si>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</si>
  <si>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</si>
  <si>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</si>
  <si>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</si>
  <si>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</si>
  <si>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</si>
  <si>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</si>
  <si>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</si>
  <si>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</si>
  <si>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</si>
  <si>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</si>
  <si>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</si>
  <si>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</si>
  <si>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</si>
  <si>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</si>
  <si>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</si>
  <si>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</si>
  <si>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</si>
  <si>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</si>
  <si>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</si>
  <si>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</si>
  <si>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</si>
  <si>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</si>
  <si>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</si>
  <si>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</si>
  <si>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</si>
  <si>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</si>
  <si>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</si>
  <si>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</si>
  <si>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</si>
  <si>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</si>
  <si>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</si>
  <si>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</si>
  <si>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</si>
  <si>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</si>
  <si>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</si>
  <si>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</si>
  <si>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</si>
  <si>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</si>
  <si>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</si>
  <si>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</si>
  <si>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</si>
  <si>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</si>
  <si>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</si>
  <si>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</si>
  <si>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</si>
  <si>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</si>
  <si>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</si>
  <si>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</si>
  <si>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</si>
  <si>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</si>
  <si>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</si>
  <si>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</si>
  <si>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</si>
  <si>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</si>
  <si>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</si>
  <si>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</si>
  <si>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</si>
  <si>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</si>
  <si>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</si>
  <si>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</si>
  <si>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</si>
  <si>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</si>
  <si>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</si>
  <si>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</si>
  <si>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</si>
  <si>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</si>
  <si>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</si>
  <si>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</si>
  <si>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</si>
  <si>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</si>
  <si>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</si>
  <si>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</si>
  <si>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</si>
  <si>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</si>
  <si>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</si>
  <si>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</si>
  <si>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</si>
  <si>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</si>
  <si>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</si>
  <si>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</si>
  <si>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</si>
  <si>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</si>
  <si>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</si>
  <si>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</si>
  <si>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</si>
  <si>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</si>
  <si>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</si>
  <si>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</si>
  <si>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</si>
  <si>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</si>
  <si>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</si>
  <si>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</si>
  <si>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</si>
  <si>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</si>
  <si>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</si>
  <si>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</si>
  <si>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</si>
  <si>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</si>
  <si>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</si>
  <si>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</si>
  <si>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</si>
  <si>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</si>
  <si>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</si>
  <si>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</si>
  <si>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</si>
  <si>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</si>
  <si>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</si>
  <si>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</si>
  <si>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</si>
  <si>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</si>
  <si>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</si>
  <si>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</si>
  <si>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</si>
  <si>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</si>
  <si>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</si>
  <si>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</si>
  <si>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</si>
  <si>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</si>
  <si>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</si>
  <si>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</si>
  <si>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</si>
  <si>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</si>
  <si>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</si>
  <si>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</si>
  <si>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</si>
  <si>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</si>
  <si>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</si>
  <si>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</si>
  <si>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</si>
  <si>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</si>
  <si>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</si>
  <si>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</si>
  <si>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</si>
  <si>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</si>
  <si>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</si>
  <si>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</si>
  <si>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</si>
  <si>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</si>
  <si>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</si>
  <si>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</si>
  <si>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</si>
  <si>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</si>
  <si>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</si>
  <si>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</si>
  <si>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</si>
  <si>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</si>
  <si>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</si>
  <si>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</si>
  <si>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</si>
  <si>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</si>
  <si>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</si>
  <si>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</si>
  <si>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</si>
  <si>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</si>
  <si>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</si>
  <si>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</si>
  <si>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</si>
  <si>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</si>
  <si>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</si>
  <si>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</si>
  <si>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</si>
  <si>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</si>
  <si>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</si>
  <si>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</si>
  <si>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</si>
  <si>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</si>
  <si>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</si>
  <si>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</si>
  <si>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</si>
  <si>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</si>
  <si>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</si>
  <si>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</si>
  <si>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</si>
  <si>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</si>
  <si>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</si>
  <si>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</si>
  <si>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</si>
  <si>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</si>
  <si>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</si>
  <si>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</si>
  <si>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</si>
  <si>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</si>
  <si>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</si>
  <si>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</si>
  <si>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</si>
  <si>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</si>
  <si>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</si>
  <si>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</si>
  <si>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</si>
  <si>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</si>
  <si>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</si>
  <si>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</si>
  <si>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</si>
  <si>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</si>
  <si>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</si>
  <si>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</si>
  <si>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</si>
  <si>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</si>
  <si>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</si>
  <si>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</si>
  <si>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</si>
  <si>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</si>
  <si>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</si>
  <si>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</si>
  <si>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</si>
  <si>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</si>
  <si>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</si>
  <si>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</si>
  <si>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</si>
  <si>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</si>
  <si>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</si>
  <si>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</si>
  <si>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</si>
  <si>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</si>
  <si>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</si>
  <si>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</si>
  <si>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</si>
  <si>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</si>
  <si>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</si>
  <si>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</si>
  <si>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</si>
  <si>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</si>
  <si>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</si>
  <si>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</si>
  <si>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</si>
  <si>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</si>
  <si>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</si>
  <si>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</si>
  <si>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</si>
  <si>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</si>
  <si>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</si>
  <si>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</si>
  <si>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</si>
  <si>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</si>
  <si>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</si>
  <si>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</si>
  <si>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</si>
  <si>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</si>
  <si>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</si>
  <si>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</si>
  <si>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</si>
  <si>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</si>
  <si>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</si>
  <si>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</si>
  <si>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</si>
  <si>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</si>
  <si>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</si>
  <si>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</si>
  <si>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</si>
  <si>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</si>
  <si>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</si>
  <si>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</si>
  <si>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</si>
  <si>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</si>
  <si>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</si>
  <si>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</si>
  <si>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</si>
  <si>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</si>
  <si>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</si>
  <si>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</si>
  <si>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</si>
  <si>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</si>
  <si>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</si>
  <si>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</si>
  <si>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</si>
  <si>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</si>
  <si>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</si>
  <si>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</si>
  <si>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</si>
  <si>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</si>
  <si>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</si>
  <si>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</si>
  <si>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</si>
  <si>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</si>
  <si>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</si>
  <si>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</si>
  <si>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</si>
  <si>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</si>
  <si>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</si>
  <si>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</si>
  <si>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</si>
  <si>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</si>
  <si>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</si>
  <si>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</si>
  <si>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</si>
  <si>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</si>
  <si>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</si>
  <si>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</si>
  <si>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</si>
  <si>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</si>
  <si>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</si>
  <si>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</si>
  <si>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</si>
  <si>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</si>
  <si>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</si>
  <si>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</si>
  <si>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</si>
  <si>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</si>
  <si>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</si>
  <si>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</si>
  <si>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</si>
  <si>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</si>
  <si>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</si>
  <si>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</si>
  <si>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</si>
  <si>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</si>
  <si>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</si>
  <si>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</si>
  <si>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</si>
  <si>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</si>
  <si>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</si>
  <si>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</si>
  <si>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</si>
  <si>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</si>
  <si>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</si>
  <si>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</si>
  <si>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</si>
  <si>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</si>
  <si>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</si>
  <si>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</si>
  <si>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</si>
  <si>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</si>
  <si>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</si>
  <si>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</si>
  <si>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</si>
  <si>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</si>
  <si>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</si>
  <si>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</si>
  <si>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</si>
  <si>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</si>
  <si>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</si>
  <si>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</si>
  <si>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</si>
  <si>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</si>
  <si>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</si>
  <si>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</si>
  <si>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</si>
  <si>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</si>
  <si>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</si>
  <si>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</si>
  <si>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</si>
  <si>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</si>
  <si>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</si>
  <si>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</si>
  <si>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</si>
  <si>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</si>
  <si>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</si>
  <si>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</si>
  <si>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</si>
  <si>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</si>
  <si>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</si>
  <si>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</si>
  <si>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</si>
  <si>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</si>
  <si>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</si>
  <si>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</si>
  <si>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</si>
  <si>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</si>
  <si>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</si>
  <si>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</si>
  <si>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</si>
  <si>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</si>
  <si>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</si>
  <si>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</si>
  <si>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</si>
  <si>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</si>
  <si>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</si>
  <si>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</si>
  <si>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</si>
  <si>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</si>
  <si>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</si>
  <si>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</si>
  <si>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</si>
  <si>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</si>
  <si>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</si>
  <si>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</si>
  <si>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</si>
  <si>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</si>
  <si>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</si>
  <si>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</si>
  <si>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</si>
  <si>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</si>
  <si>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</si>
  <si>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</si>
  <si>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</si>
  <si>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</si>
  <si>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</si>
  <si>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</si>
  <si>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</si>
  <si>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</si>
  <si>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</si>
  <si>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</si>
  <si>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</si>
  <si>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</si>
  <si>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</si>
  <si>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</si>
  <si>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</si>
  <si>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</si>
  <si>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</si>
  <si>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</si>
  <si>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</si>
  <si>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</si>
  <si>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</si>
  <si>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</si>
  <si>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</si>
  <si>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</si>
  <si>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</si>
  <si>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</si>
  <si>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</si>
  <si>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</si>
  <si>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</si>
  <si>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</si>
  <si>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</si>
  <si>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</si>
  <si>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</si>
  <si>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</si>
  <si>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</si>
  <si>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</si>
  <si>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</si>
  <si>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</si>
  <si>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</si>
  <si>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</si>
  <si>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</si>
  <si>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</si>
  <si>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</si>
  <si>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</si>
  <si>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</si>
  <si>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</si>
  <si>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</si>
  <si>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</si>
  <si>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</si>
  <si>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</si>
  <si>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</si>
  <si>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</si>
  <si>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</si>
  <si>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</si>
  <si>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</si>
  <si>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</si>
  <si>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</si>
  <si>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</si>
  <si>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</si>
  <si>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</si>
  <si>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</si>
  <si>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</si>
  <si>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</si>
  <si>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</si>
  <si>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</si>
  <si>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</si>
  <si>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</si>
  <si>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</si>
  <si>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</si>
  <si>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</si>
  <si>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</si>
  <si>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</si>
  <si>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</si>
  <si>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</si>
  <si>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</si>
  <si>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</si>
  <si>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</si>
  <si>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</si>
  <si>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</si>
  <si>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</si>
  <si>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</si>
  <si>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</si>
  <si>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</si>
  <si>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</si>
  <si>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</si>
  <si>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</si>
  <si>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</si>
  <si>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</si>
  <si>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</si>
  <si>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</si>
  <si>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</si>
  <si>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</si>
  <si>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</si>
  <si>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</si>
  <si>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</si>
  <si>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</si>
  <si>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</si>
  <si>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</si>
  <si>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</si>
  <si>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</si>
  <si>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</si>
  <si>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</si>
  <si>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</si>
  <si>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</si>
  <si>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</si>
  <si>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</si>
  <si>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</si>
  <si>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</si>
  <si>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</si>
  <si>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</si>
  <si>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</si>
  <si>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</si>
  <si>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</si>
  <si>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</si>
  <si>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</si>
  <si>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</si>
  <si>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</si>
  <si>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</si>
  <si>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</si>
  <si>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</si>
  <si>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</si>
  <si>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</si>
  <si>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</si>
  <si>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</si>
  <si>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</si>
  <si>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</si>
  <si>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</si>
  <si>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</si>
  <si>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</si>
  <si>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</si>
  <si>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</si>
  <si>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</si>
  <si>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</si>
  <si>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</si>
  <si>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</si>
  <si>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</si>
  <si>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</si>
  <si>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</si>
  <si>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</si>
  <si>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</si>
  <si>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</si>
  <si>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</si>
  <si>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</si>
  <si>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</si>
  <si>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</si>
  <si>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</si>
  <si>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</si>
  <si>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</si>
  <si>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</si>
  <si>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</si>
  <si>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</si>
  <si>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</si>
  <si>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</si>
  <si>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</si>
  <si>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</si>
  <si>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</si>
  <si>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</si>
  <si>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</si>
  <si>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</si>
  <si>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</si>
  <si>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</si>
  <si>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</si>
  <si>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</si>
  <si>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</si>
  <si>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</si>
  <si>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</si>
  <si>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</si>
  <si>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</si>
  <si>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</si>
  <si>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</si>
  <si>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</si>
  <si>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</si>
  <si>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</si>
  <si>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</si>
  <si>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</si>
  <si>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</si>
  <si>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</si>
  <si>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</si>
  <si>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</si>
  <si>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</si>
  <si>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</si>
  <si>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</si>
  <si>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</si>
  <si>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</si>
  <si>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</si>
  <si>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</si>
  <si>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</si>
  <si>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</si>
  <si>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</si>
  <si>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</si>
  <si>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</si>
  <si>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</si>
  <si>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</si>
  <si>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</si>
  <si>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</si>
  <si>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</si>
  <si>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</si>
  <si>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</si>
  <si>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</si>
  <si>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</si>
  <si>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</si>
  <si>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</si>
  <si>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</si>
  <si>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</si>
  <si>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</si>
  <si>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</si>
  <si>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</si>
  <si>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</si>
  <si>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</si>
  <si>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</si>
  <si>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</si>
  <si>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</si>
  <si>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</si>
  <si>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</si>
  <si>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</si>
  <si>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</si>
  <si>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</si>
  <si>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</si>
  <si>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</si>
  <si>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</si>
  <si>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</si>
  <si>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</si>
  <si>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</si>
  <si>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</si>
  <si>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</si>
  <si>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</si>
  <si>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</si>
  <si>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</si>
  <si>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</si>
  <si>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</si>
  <si>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</si>
  <si>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</si>
  <si>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</si>
  <si>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</si>
  <si>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</si>
  <si>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</si>
  <si>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</si>
  <si>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</si>
  <si>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</si>
  <si>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</si>
  <si>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</si>
  <si>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</si>
  <si>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</si>
  <si>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</si>
  <si>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</si>
  <si>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</si>
  <si>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</si>
  <si>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</si>
  <si>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</si>
  <si>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</si>
  <si>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</si>
  <si>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</si>
  <si>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</si>
  <si>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</si>
  <si>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</si>
  <si>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</si>
  <si>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</si>
  <si>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</si>
  <si>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</si>
  <si>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</si>
  <si>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</si>
  <si>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</si>
  <si>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</si>
  <si>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</si>
  <si>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</si>
  <si>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</si>
  <si>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</si>
  <si>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</si>
  <si>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</si>
  <si>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</si>
  <si>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</si>
  <si>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</si>
  <si>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</si>
  <si>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</si>
  <si>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</si>
  <si>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</si>
  <si>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</si>
  <si>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</si>
  <si>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</si>
  <si>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</si>
  <si>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</si>
  <si>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</si>
  <si>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</si>
  <si>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</si>
  <si>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</si>
  <si>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</si>
  <si>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</si>
  <si>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</si>
  <si>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</si>
  <si>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</si>
  <si>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</si>
  <si>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</si>
  <si>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</si>
  <si>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</si>
  <si>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</si>
  <si>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</si>
  <si>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</si>
  <si>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</si>
  <si>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</si>
  <si>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</si>
  <si>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</si>
  <si>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</si>
  <si>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</si>
  <si>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</si>
  <si>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</si>
  <si>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</si>
  <si>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</si>
  <si>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</si>
  <si>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</si>
  <si>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</si>
  <si>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</si>
  <si>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</si>
  <si>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</si>
  <si>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</si>
  <si>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</si>
  <si>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</si>
  <si>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</si>
  <si>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</si>
  <si>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</si>
  <si>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</si>
  <si>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</si>
  <si>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</si>
  <si>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</si>
  <si>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</si>
  <si>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</si>
  <si>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</si>
  <si>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</si>
  <si>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</si>
  <si>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</si>
  <si>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</si>
  <si>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</si>
  <si>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</si>
  <si>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</si>
  <si>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</si>
  <si>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</si>
  <si>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</si>
  <si>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</si>
  <si>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</si>
  <si>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</si>
  <si>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</si>
  <si>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</si>
  <si>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</si>
  <si>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</si>
  <si>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</si>
  <si>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</si>
  <si>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</si>
  <si>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</si>
  <si>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</si>
  <si>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</si>
  <si>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</si>
  <si>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</si>
  <si>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</si>
  <si>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</si>
  <si>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</si>
  <si>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</si>
  <si>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</si>
  <si>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</si>
  <si>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</si>
  <si>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</si>
  <si>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</si>
  <si>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</si>
  <si>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</si>
  <si>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</si>
  <si>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</si>
  <si>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</si>
  <si>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</si>
  <si>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</si>
  <si>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</si>
  <si>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</si>
  <si>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</si>
  <si>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</si>
  <si>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</si>
  <si>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</si>
  <si>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</si>
  <si>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</si>
  <si>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</si>
  <si>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</si>
  <si>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</si>
  <si>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</si>
  <si>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</si>
  <si>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</si>
  <si>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</si>
  <si>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</si>
  <si>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</si>
  <si>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</si>
  <si>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</si>
  <si>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</si>
  <si>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</si>
  <si>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</si>
  <si>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</si>
  <si>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</si>
  <si>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</si>
  <si>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</si>
  <si>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</si>
  <si>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</si>
  <si>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</si>
  <si>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</si>
  <si>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</si>
  <si>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</si>
  <si>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</si>
  <si>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</si>
  <si>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</si>
  <si>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</si>
  <si>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</si>
  <si>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</si>
  <si>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</si>
  <si>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</si>
  <si>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</si>
  <si>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</si>
  <si>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</si>
  <si>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</si>
  <si>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</si>
  <si>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</si>
  <si>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</si>
  <si>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</si>
  <si>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</si>
  <si>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</si>
  <si>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</si>
  <si>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</si>
  <si>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</si>
  <si>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</si>
  <si>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</si>
  <si>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</si>
  <si>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</si>
  <si>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</si>
  <si>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</si>
  <si>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</si>
  <si>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</si>
  <si>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</si>
  <si>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</si>
  <si>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</si>
  <si>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</si>
  <si>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</si>
  <si>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</si>
  <si>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</si>
  <si>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</si>
  <si>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</si>
  <si>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</si>
  <si>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</si>
  <si>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</si>
  <si>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</si>
  <si>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</si>
  <si>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</si>
  <si>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</si>
  <si>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</si>
  <si>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</si>
  <si>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</si>
  <si>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</si>
  <si>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</si>
  <si>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</si>
  <si>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</si>
  <si>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</si>
  <si>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</si>
  <si>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</si>
  <si>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</si>
  <si>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</si>
  <si>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</si>
  <si>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</si>
  <si>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</si>
  <si>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</si>
  <si>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</si>
  <si>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</si>
  <si>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</si>
  <si>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</si>
  <si>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</si>
  <si>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</si>
  <si>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</si>
  <si>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</si>
  <si>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</si>
  <si>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</si>
  <si>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</si>
  <si>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</si>
  <si>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</si>
  <si>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</si>
  <si>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</si>
  <si>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</si>
  <si>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</si>
  <si>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</si>
  <si>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</si>
  <si>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</si>
  <si>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</si>
  <si>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</si>
  <si>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</si>
  <si>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</si>
  <si>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</si>
  <si>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</si>
  <si>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</si>
  <si>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</si>
  <si>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</si>
  <si>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</si>
  <si>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</si>
  <si>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</si>
  <si>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</si>
  <si>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</si>
  <si>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</si>
  <si>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</si>
  <si>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</si>
  <si>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</si>
  <si>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</si>
  <si>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</si>
  <si>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</si>
  <si>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</si>
  <si>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</si>
  <si>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</si>
  <si>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</si>
  <si>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</si>
  <si>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</si>
  <si>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</si>
  <si>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</si>
  <si>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</si>
  <si>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</si>
  <si>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</si>
  <si>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</si>
  <si>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</si>
  <si>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</si>
  <si>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</si>
  <si>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</si>
  <si>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</si>
  <si>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</si>
  <si>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</si>
  <si>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</si>
  <si>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</si>
  <si>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</si>
  <si>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</si>
  <si>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</si>
  <si>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</si>
  <si>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</si>
  <si>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</si>
  <si>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</si>
  <si>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</si>
  <si>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</si>
  <si>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</si>
  <si>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</si>
  <si>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</si>
  <si>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</si>
  <si>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</si>
  <si>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</si>
  <si>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</si>
  <si>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</si>
  <si>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</si>
  <si>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</si>
  <si>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</si>
  <si>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</si>
  <si>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</si>
  <si>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</si>
  <si>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</si>
  <si>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</si>
  <si>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</si>
  <si>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</si>
  <si>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</si>
  <si>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</si>
  <si>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</si>
  <si>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</si>
  <si>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</si>
  <si>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</si>
  <si>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</si>
  <si>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</si>
  <si>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</si>
  <si>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</si>
  <si>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</si>
  <si>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</si>
  <si>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</si>
  <si>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</si>
  <si>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</si>
  <si>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</si>
  <si>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</si>
  <si>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</si>
  <si>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</si>
  <si>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</si>
  <si>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</si>
  <si>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</si>
  <si>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</si>
  <si>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</si>
  <si>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</si>
  <si>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</si>
  <si>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</si>
  <si>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</si>
  <si>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</si>
  <si>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</si>
  <si>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</si>
  <si>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</si>
  <si>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</si>
  <si>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</si>
  <si>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</si>
  <si>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</si>
  <si>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</si>
  <si>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</si>
  <si>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</si>
  <si>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</si>
  <si>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</si>
  <si>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</si>
  <si>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</si>
  <si>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</si>
  <si>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</si>
  <si>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</si>
  <si>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</si>
  <si>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</si>
  <si>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</si>
  <si>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</si>
  <si>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</si>
  <si>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</si>
  <si>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</si>
  <si>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</si>
  <si>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</si>
  <si>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</si>
  <si>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</si>
  <si>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</si>
  <si>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</si>
  <si>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</si>
  <si>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</si>
  <si>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</si>
  <si>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</si>
  <si>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</si>
  <si>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</si>
  <si>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</si>
  <si>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</si>
  <si>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</si>
  <si>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</si>
  <si>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</si>
  <si>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</si>
  <si>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</si>
  <si>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</si>
  <si>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</si>
  <si>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</si>
  <si>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</si>
  <si>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</si>
  <si>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</si>
  <si>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</si>
  <si>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</si>
  <si>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</si>
  <si>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</si>
  <si>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</si>
  <si>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</si>
  <si>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</si>
  <si>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</si>
  <si>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</si>
  <si>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</si>
  <si>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</si>
  <si>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</si>
  <si>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</si>
  <si>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</si>
  <si>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</si>
  <si>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</si>
  <si>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</si>
  <si>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</si>
  <si>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</si>
  <si>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</si>
  <si>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</si>
  <si>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</si>
  <si>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</si>
  <si>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</si>
  <si>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</si>
  <si>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</si>
  <si>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</si>
  <si>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</si>
  <si>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</si>
  <si>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</si>
  <si>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Diviation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</si>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</sst>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73637713928376E-2"/>
          <c:y val="0.38008787267084537"/>
          <c:w val="0.70458290443327332"/>
          <c:h val="0.4293882318199319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3-4315-8EF1-3012D9F460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3-4315-8EF1-3012D9F460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3-4315-8EF1-3012D9F46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357375"/>
        <c:axId val="1805362783"/>
      </c:lineChart>
      <c:catAx>
        <c:axId val="18053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2783"/>
        <c:crosses val="autoZero"/>
        <c:auto val="1"/>
        <c:lblAlgn val="ctr"/>
        <c:lblOffset val="100"/>
        <c:noMultiLvlLbl val="0"/>
      </c:catAx>
      <c:valAx>
        <c:axId val="18053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8383952005999E-2"/>
          <c:y val="0.15140642303433002"/>
          <c:w val="0.89577284982234362"/>
          <c:h val="0.5471828812096162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9-4D23-9F0D-3F78B7D59C66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39-4D23-9F0D-3F78B7D59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957231"/>
        <c:axId val="1682943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339-4D23-9F0D-3F78B7D59C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339-4D23-9F0D-3F78B7D59C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39-4D23-9F0D-3F78B7D59C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39-4D23-9F0D-3F78B7D59C66}"/>
                  </c:ext>
                </c:extLst>
              </c15:ser>
            </c15:filteredLineSeries>
          </c:ext>
        </c:extLst>
      </c:lineChart>
      <c:catAx>
        <c:axId val="16829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43919"/>
        <c:crosses val="autoZero"/>
        <c:auto val="0"/>
        <c:lblAlgn val="ctr"/>
        <c:lblOffset val="100"/>
        <c:tickLblSkip val="1"/>
        <c:noMultiLvlLbl val="0"/>
      </c:catAx>
      <c:valAx>
        <c:axId val="16829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57231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069201715639205"/>
          <c:y val="0.84594621526639191"/>
          <c:w val="0.37861583765443951"/>
          <c:h val="0.13198046888125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2-48CC-AB98-F3A0ED73E534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2-48CC-AB98-F3A0ED73E534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32-48CC-AB98-F3A0ED73E534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32-48CC-AB98-F3A0ED73E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5815311"/>
        <c:axId val="2045817391"/>
      </c:barChart>
      <c:catAx>
        <c:axId val="204581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17391"/>
        <c:crosses val="autoZero"/>
        <c:auto val="1"/>
        <c:lblAlgn val="ctr"/>
        <c:lblOffset val="100"/>
        <c:noMultiLvlLbl val="0"/>
      </c:catAx>
      <c:valAx>
        <c:axId val="20458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1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[Kickstarter_Challenge1.xlsx]SubCatagory Statistics!PivotTable1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C-4308-B739-61E396A34548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C-4308-B739-61E396A34548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C-4308-B739-61E396A34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8870143"/>
        <c:axId val="1428872639"/>
      </c:barChart>
      <c:catAx>
        <c:axId val="142887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872639"/>
        <c:crosses val="autoZero"/>
        <c:auto val="1"/>
        <c:lblAlgn val="ctr"/>
        <c:lblOffset val="100"/>
        <c:noMultiLvlLbl val="0"/>
      </c:catAx>
      <c:valAx>
        <c:axId val="142887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87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F-49DB-8B6A-961145B0489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F-49DB-8B6A-961145B0489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F-49DB-8B6A-961145B0489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1F-49DB-8B6A-961145B0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830607"/>
        <c:axId val="1374832687"/>
      </c:lineChart>
      <c:catAx>
        <c:axId val="137483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32687"/>
        <c:crosses val="autoZero"/>
        <c:auto val="1"/>
        <c:lblAlgn val="ctr"/>
        <c:lblOffset val="100"/>
        <c:noMultiLvlLbl val="0"/>
      </c:catAx>
      <c:valAx>
        <c:axId val="137483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3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209551</xdr:colOff>
      <xdr:row>18</xdr:row>
      <xdr:rowOff>7327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787D3-E8EB-468E-8ADE-5A29D5731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598715</xdr:colOff>
      <xdr:row>12</xdr:row>
      <xdr:rowOff>180975</xdr:rowOff>
    </xdr:from>
    <xdr:to>
      <xdr:col>8</xdr:col>
      <xdr:colOff>1</xdr:colOff>
      <xdr:row>31</xdr:row>
      <xdr:rowOff>13607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3ACACB-1006-41C2-9EF8-E165DC4D1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9525</xdr:rowOff>
    </xdr:from>
    <xdr:to>
      <xdr:col>13</xdr:col>
      <xdr:colOff>533400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85400-02DE-4280-A70C-6891EA402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52387</xdr:rowOff>
    </xdr:from>
    <xdr:to>
      <xdr:col>13</xdr:col>
      <xdr:colOff>409575</xdr:colOff>
      <xdr:row>14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B86C-A06A-4C7C-92BE-DCE5CAB74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9525</xdr:rowOff>
    </xdr:from>
    <xdr:to>
      <xdr:col>13</xdr:col>
      <xdr:colOff>457200</xdr:colOff>
      <xdr:row>17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F6509A-DB9A-4C8D-92E1-0F7D408FB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Conner Pavlat" refreshedDate="44642.773676736113" createdVersion="7" refreshedVersion="7" minRefreshableVersion="3" recordCount="4114" xr:uid="{F123101E-B382-435E-B213-291C292952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Conner Pavlat" refreshedDate="44643.852293518517" createdVersion="7" refreshedVersion="7" minRefreshableVersion="3" recordCount="4114" xr:uid="{BB3278F5-571C-41F6-8847-DBF4BC6144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Conner Pavlat" refreshedDate="44648.800061111113" createdVersion="7" refreshedVersion="7" minRefreshableVersion="3" recordCount="4114" xr:uid="{ADABA0A4-8BEE-4B83-93A3-ABC61FF8BC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7EDCD-A4E8-42E6-934B-F3664D7C694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56E94-3DFD-4BA7-8C12-DD66BEA70DC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B36E5-4D85-45D3-9327-6267D704E5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208A1-17B1-463B-AC04-376790CA6BA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D7" sqref="D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8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0.85546875" customWidth="1"/>
    <col min="16" max="16" width="26" customWidth="1"/>
    <col min="17" max="17" width="41.140625" customWidth="1"/>
    <col min="18" max="18" width="21.85546875" customWidth="1"/>
    <col min="19" max="19" width="29.5703125" customWidth="1"/>
    <col min="20" max="20" width="31.140625" style="14" customWidth="1"/>
    <col min="21" max="21" width="1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2" operator="equal">
      <formula>"failed"</formula>
    </cfRule>
    <cfRule type="cellIs" dxfId="3" priority="3" operator="equal">
      <formula>"successful"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5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8C77E-23C3-4C12-A269-71B2DE4423B8}">
  <dimension ref="A1:E18"/>
  <sheetViews>
    <sheetView topLeftCell="A3" zoomScale="115" zoomScaleNormal="115"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DF39-B2C8-4D57-BD06-E69F128CD021}">
  <dimension ref="B1:I13"/>
  <sheetViews>
    <sheetView topLeftCell="A4" zoomScale="85" zoomScaleNormal="85" workbookViewId="0">
      <selection activeCell="L16" sqref="L16"/>
    </sheetView>
  </sheetViews>
  <sheetFormatPr defaultRowHeight="15" x14ac:dyDescent="0.25"/>
  <cols>
    <col min="2" max="2" width="15.140625" customWidth="1"/>
    <col min="3" max="3" width="17.85546875" customWidth="1"/>
    <col min="4" max="4" width="14.140625" customWidth="1"/>
    <col min="5" max="5" width="17.42578125" customWidth="1"/>
    <col min="6" max="6" width="13.28515625" customWidth="1"/>
    <col min="7" max="7" width="20.85546875" style="21" customWidth="1"/>
    <col min="8" max="8" width="18.28515625" style="21" customWidth="1"/>
    <col min="9" max="9" width="22.42578125" style="20" customWidth="1"/>
  </cols>
  <sheetData>
    <row r="1" spans="2:9" x14ac:dyDescent="0.25">
      <c r="B1" t="s">
        <v>8381</v>
      </c>
      <c r="C1" t="s">
        <v>8400</v>
      </c>
      <c r="D1" t="s">
        <v>8401</v>
      </c>
      <c r="E1" t="s">
        <v>8418</v>
      </c>
      <c r="F1" t="s">
        <v>8402</v>
      </c>
      <c r="G1" s="21" t="s">
        <v>8403</v>
      </c>
      <c r="H1" s="21" t="s">
        <v>8404</v>
      </c>
      <c r="I1" s="20" t="s">
        <v>8405</v>
      </c>
    </row>
    <row r="2" spans="2:9" x14ac:dyDescent="0.25">
      <c r="B2" t="s">
        <v>8406</v>
      </c>
      <c r="C2">
        <f>COUNTIFS(Kickstarter!$F:$F,"successful",Kickstarter!$D:$D,"&lt;1000",Kickstarter!$R:$R,"plays")</f>
        <v>141</v>
      </c>
      <c r="D2">
        <f>COUNTIFS(Kickstarter!$F:$F,"failed",Kickstarter!$D:$D,"&lt;1000",Kickstarter!$R:$R,"plays")</f>
        <v>45</v>
      </c>
      <c r="E2">
        <f>COUNTIFS(Kickstarter!$F:$F,"canceled",Kickstarter!$D:$D,"&lt;1000",Kickstarter!$R:$R,"plays")</f>
        <v>0</v>
      </c>
      <c r="F2">
        <f>SUM(C2,D2,E2)</f>
        <v>186</v>
      </c>
      <c r="G2" s="21">
        <f>(C2/F2)</f>
        <v>0.75806451612903225</v>
      </c>
      <c r="H2" s="21">
        <f>(D2/F2)</f>
        <v>0.24193548387096775</v>
      </c>
      <c r="I2" s="20">
        <f>(E2/F2)</f>
        <v>0</v>
      </c>
    </row>
    <row r="3" spans="2:9" x14ac:dyDescent="0.25">
      <c r="B3" t="s">
        <v>8407</v>
      </c>
      <c r="C3">
        <f>COUNTIFS(Kickstarter!$F:$F,"successful",Kickstarter!$D:$D,"&gt;=1000",Kickstarter!$D:$D,"&lt;5000",Kickstarter!$R:$R,"plays")</f>
        <v>388</v>
      </c>
      <c r="D3">
        <f>COUNTIFS(Kickstarter!$F:$F,"failed",Kickstarter!$D:$D,"&gt;=1000",Kickstarter!$D:$D,"&lt;5000",Kickstarter!$R:$R,"plays")</f>
        <v>146</v>
      </c>
      <c r="E3">
        <f>COUNTIFS(Kickstarter!$F:$F,"canceled",Kickstarter!$D:$D,"&gt;=1000",Kickstarter!$D:$D,"&lt;5000",Kickstarter!$R:$R,"plays")</f>
        <v>0</v>
      </c>
      <c r="F3">
        <f t="shared" ref="F3:F13" si="0">SUM(C3,D3,E3)</f>
        <v>534</v>
      </c>
      <c r="G3" s="21">
        <f t="shared" ref="G3:G13" si="1">(C3/F3)</f>
        <v>0.72659176029962547</v>
      </c>
      <c r="H3" s="21">
        <f t="shared" ref="H3:H13" si="2">(D3/F3)</f>
        <v>0.27340823970037453</v>
      </c>
      <c r="I3" s="20">
        <f t="shared" ref="I3:I13" si="3">(E3/F3)</f>
        <v>0</v>
      </c>
    </row>
    <row r="4" spans="2:9" x14ac:dyDescent="0.25">
      <c r="B4" t="s">
        <v>8408</v>
      </c>
      <c r="C4">
        <f>COUNTIFS(Kickstarter!$F:$F,"successful",Kickstarter!$D:$D,"&gt;=5000",Kickstarter!$D:$D,"&lt;10000",Kickstarter!$R:$R,"plays")</f>
        <v>93</v>
      </c>
      <c r="D4">
        <f>COUNTIFS(Kickstarter!$F:$F,"failed",Kickstarter!$D:$D,"&gt;=5000",Kickstarter!$D:$D,"&lt;10000",Kickstarter!$R:$R,"plays")</f>
        <v>76</v>
      </c>
      <c r="E4">
        <f>COUNTIFS(Kickstarter!$F:$F,"canceled",Kickstarter!$D:$D,"&gt;=5000",Kickstarter!$D:$D,"&lt;10000",Kickstarter!$R:$R,"plays")</f>
        <v>0</v>
      </c>
      <c r="F4">
        <f t="shared" si="0"/>
        <v>169</v>
      </c>
      <c r="G4" s="21">
        <f t="shared" si="1"/>
        <v>0.55029585798816572</v>
      </c>
      <c r="H4" s="21">
        <f t="shared" si="2"/>
        <v>0.44970414201183434</v>
      </c>
      <c r="I4" s="20">
        <f t="shared" si="3"/>
        <v>0</v>
      </c>
    </row>
    <row r="5" spans="2:9" x14ac:dyDescent="0.25">
      <c r="B5" t="s">
        <v>8409</v>
      </c>
      <c r="C5">
        <f>COUNTIFS(Kickstarter!$F:$F,"successful",Kickstarter!$D:$D,"&gt;=10000",Kickstarter!$D:$D,"&lt;15000",Kickstarter!$R:$R,"plays")</f>
        <v>39</v>
      </c>
      <c r="D5">
        <f>COUNTIFS(Kickstarter!$F:$F,"failed",Kickstarter!$D:$D,"&gt;=10000",Kickstarter!$D:$D,"&lt;15000",Kickstarter!$R:$R,"plays")</f>
        <v>33</v>
      </c>
      <c r="E5">
        <f>COUNTIFS(Kickstarter!$F:$F,"canceled",Kickstarter!$D:$D,"&gt;=10000",Kickstarter!$D:$D,"&lt;15000",Kickstarter!$R:$R,"plays")</f>
        <v>0</v>
      </c>
      <c r="F5">
        <f t="shared" si="0"/>
        <v>72</v>
      </c>
      <c r="G5" s="21">
        <f t="shared" si="1"/>
        <v>0.54166666666666663</v>
      </c>
      <c r="H5" s="21">
        <f t="shared" si="2"/>
        <v>0.45833333333333331</v>
      </c>
      <c r="I5" s="20">
        <f t="shared" si="3"/>
        <v>0</v>
      </c>
    </row>
    <row r="6" spans="2:9" x14ac:dyDescent="0.25">
      <c r="B6" t="s">
        <v>8410</v>
      </c>
      <c r="C6">
        <f>COUNTIFS(Kickstarter!$F:$F,"successful",Kickstarter!$D:$D,"&gt;=15000",Kickstarter!$D:$D,"&lt;20000",Kickstarter!$R:$R,"plays")</f>
        <v>12</v>
      </c>
      <c r="D6">
        <f>COUNTIFS(Kickstarter!$F:$F,"failed",Kickstarter!$D:$D,"&gt;=15000",Kickstarter!$D:$D,"&lt;20000",Kickstarter!$R:$R,"plays")</f>
        <v>12</v>
      </c>
      <c r="E6">
        <f>COUNTIFS(Kickstarter!$F:$F,"canceled",Kickstarter!$D:$D,"&gt;=15000",Kickstarter!$D:$D,"&lt;20000",Kickstarter!$R:$R,"plays")</f>
        <v>0</v>
      </c>
      <c r="F6">
        <f t="shared" si="0"/>
        <v>24</v>
      </c>
      <c r="G6" s="21">
        <f t="shared" si="1"/>
        <v>0.5</v>
      </c>
      <c r="H6" s="21">
        <f t="shared" si="2"/>
        <v>0.5</v>
      </c>
      <c r="I6" s="20">
        <f t="shared" si="3"/>
        <v>0</v>
      </c>
    </row>
    <row r="7" spans="2:9" x14ac:dyDescent="0.25">
      <c r="B7" t="s">
        <v>8411</v>
      </c>
      <c r="C7">
        <f>COUNTIFS(Kickstarter!$F:$F,"successful",Kickstarter!$D:$D,"&gt;=20000",Kickstarter!$D:$D,"&lt;25000",Kickstarter!$R:$R,"plays")</f>
        <v>9</v>
      </c>
      <c r="D7">
        <f>COUNTIFS(Kickstarter!$F:$F,"failed",Kickstarter!$D:$D,"&gt;=20000",Kickstarter!$D:$D,"&lt;25000",Kickstarter!$R:$R,"plays")</f>
        <v>11</v>
      </c>
      <c r="E7">
        <f>COUNTIFS(Kickstarter!$F:$F,"canceled",Kickstarter!$D:$D,"&gt;=20000",Kickstarter!$D:$D,"&lt;25000",Kickstarter!$R:$R,"plays")</f>
        <v>0</v>
      </c>
      <c r="F7">
        <f t="shared" si="0"/>
        <v>20</v>
      </c>
      <c r="G7" s="21">
        <f t="shared" si="1"/>
        <v>0.45</v>
      </c>
      <c r="H7" s="21">
        <f t="shared" si="2"/>
        <v>0.55000000000000004</v>
      </c>
      <c r="I7" s="20">
        <f t="shared" si="3"/>
        <v>0</v>
      </c>
    </row>
    <row r="8" spans="2:9" x14ac:dyDescent="0.25">
      <c r="B8" t="s">
        <v>8412</v>
      </c>
      <c r="C8">
        <f>COUNTIFS(Kickstarter!$F:$F,"successful",Kickstarter!$D:$D,"&gt;=25000",Kickstarter!$D:$D,"&lt;30000",Kickstarter!$R:$R,"plays")</f>
        <v>1</v>
      </c>
      <c r="D8">
        <f>COUNTIFS(Kickstarter!$F:$F,"failed",Kickstarter!$D:$D,"&gt;=25000",Kickstarter!$D:$D,"&lt;30000",Kickstarter!$R:$R,"plays")</f>
        <v>4</v>
      </c>
      <c r="E8">
        <f>COUNTIFS(Kickstarter!$F:$F,"canceled",Kickstarter!$D:$D,"&gt;=25000",Kickstarter!$D:$D,"&lt;30000",Kickstarter!$R:$R,"plays")</f>
        <v>0</v>
      </c>
      <c r="F8">
        <f t="shared" si="0"/>
        <v>5</v>
      </c>
      <c r="G8" s="21">
        <f t="shared" si="1"/>
        <v>0.2</v>
      </c>
      <c r="H8" s="21">
        <f t="shared" si="2"/>
        <v>0.8</v>
      </c>
      <c r="I8" s="20">
        <f t="shared" si="3"/>
        <v>0</v>
      </c>
    </row>
    <row r="9" spans="2:9" x14ac:dyDescent="0.25">
      <c r="B9" t="s">
        <v>8413</v>
      </c>
      <c r="C9">
        <f>COUNTIFS(Kickstarter!$F:$F,"successful",Kickstarter!$D:$D,"&gt;=30000",Kickstarter!$D:$D,"&lt;35000",Kickstarter!$R:$R,"plays")</f>
        <v>3</v>
      </c>
      <c r="D9">
        <f>COUNTIFS(Kickstarter!$F:$F,"failed",Kickstarter!$D:$D,"&gt;=30000",Kickstarter!$D:$D,"&lt;35000",Kickstarter!$R:$R,"plays")</f>
        <v>8</v>
      </c>
      <c r="E9">
        <f>COUNTIFS(Kickstarter!$F:$F,"canceled",Kickstarter!$D:$D,"&gt;=30000",Kickstarter!$D:$D,"&lt;35000",Kickstarter!$R:$R,"plays")</f>
        <v>0</v>
      </c>
      <c r="F9">
        <f t="shared" si="0"/>
        <v>11</v>
      </c>
      <c r="G9" s="21">
        <f t="shared" si="1"/>
        <v>0.27272727272727271</v>
      </c>
      <c r="H9" s="21">
        <f t="shared" si="2"/>
        <v>0.72727272727272729</v>
      </c>
      <c r="I9" s="20">
        <f t="shared" si="3"/>
        <v>0</v>
      </c>
    </row>
    <row r="10" spans="2:9" x14ac:dyDescent="0.25">
      <c r="B10" t="s">
        <v>8414</v>
      </c>
      <c r="C10">
        <f>COUNTIFS(Kickstarter!$F:$F,"successful",Kickstarter!$D:$D,"&gt;=35000",Kickstarter!$D:$D,"&lt;40000",Kickstarter!$R:$R,"plays")</f>
        <v>4</v>
      </c>
      <c r="D10">
        <f>COUNTIFS(Kickstarter!$F:$F,"failed",Kickstarter!$D:$D,"&gt;=35000",Kickstarter!$D:$D,"&lt;40000",Kickstarter!$R:$R,"plays")</f>
        <v>2</v>
      </c>
      <c r="E10">
        <f>COUNTIFS(Kickstarter!$F:$F,"canceled",Kickstarter!$D:$D,"&gt;=35000",Kickstarter!$D:$D,"&lt;40000",Kickstarter!$R:$R,"plays")</f>
        <v>0</v>
      </c>
      <c r="F10">
        <f t="shared" si="0"/>
        <v>6</v>
      </c>
      <c r="G10" s="21">
        <f t="shared" si="1"/>
        <v>0.66666666666666663</v>
      </c>
      <c r="H10" s="21">
        <f t="shared" si="2"/>
        <v>0.33333333333333331</v>
      </c>
      <c r="I10" s="20">
        <f t="shared" si="3"/>
        <v>0</v>
      </c>
    </row>
    <row r="11" spans="2:9" x14ac:dyDescent="0.25">
      <c r="B11" t="s">
        <v>8415</v>
      </c>
      <c r="C11">
        <f>COUNTIFS(Kickstarter!$F:$F,"successful",Kickstarter!$D:$D,"&gt;=40000",Kickstarter!$D:$D,"&lt;45000",Kickstarter!$R:$R,"plays")</f>
        <v>2</v>
      </c>
      <c r="D11">
        <f>COUNTIFS(Kickstarter!$F:$F,"failed",Kickstarter!$D:$D,"&gt;=40000",Kickstarter!$D:$D,"&lt;45000",Kickstarter!$R:$R,"plays")</f>
        <v>1</v>
      </c>
      <c r="E11">
        <f>COUNTIFS(Kickstarter!$F:$F,"canceled",Kickstarter!$D:$D,"&gt;=40000",Kickstarter!$D:$D,"&lt;45000",Kickstarter!$R:$R,"plays")</f>
        <v>0</v>
      </c>
      <c r="F11">
        <f t="shared" si="0"/>
        <v>3</v>
      </c>
      <c r="G11" s="21">
        <f t="shared" si="1"/>
        <v>0.66666666666666663</v>
      </c>
      <c r="H11" s="21">
        <f t="shared" si="2"/>
        <v>0.33333333333333331</v>
      </c>
      <c r="I11" s="20">
        <f t="shared" si="3"/>
        <v>0</v>
      </c>
    </row>
    <row r="12" spans="2:9" x14ac:dyDescent="0.25">
      <c r="B12" t="s">
        <v>8416</v>
      </c>
      <c r="C12">
        <f>COUNTIFS(Kickstarter!$F:$F,"successful",Kickstarter!$D:$D,"&gt;=45000",Kickstarter!$D:$D,"&lt;50000",Kickstarter!$R:$R,"plays")</f>
        <v>0</v>
      </c>
      <c r="D12">
        <f>COUNTIFS(Kickstarter!$F:$F,"failed",Kickstarter!$D:$D,"&gt;=45000",Kickstarter!$D:$D,"&lt;50000",Kickstarter!$R:$R,"plays")</f>
        <v>1</v>
      </c>
      <c r="E12">
        <f>COUNTIFS(Kickstarter!$F:$F,"canceled",Kickstarter!$D:$D,"&gt;=45000",Kickstarter!$D:$D,"&lt;50000",Kickstarter!$R:$R,"plays")</f>
        <v>0</v>
      </c>
      <c r="F12">
        <f t="shared" si="0"/>
        <v>1</v>
      </c>
      <c r="G12" s="21">
        <f t="shared" si="1"/>
        <v>0</v>
      </c>
      <c r="H12" s="21">
        <f t="shared" si="2"/>
        <v>1</v>
      </c>
      <c r="I12" s="20">
        <f t="shared" si="3"/>
        <v>0</v>
      </c>
    </row>
    <row r="13" spans="2:9" x14ac:dyDescent="0.25">
      <c r="B13" t="s">
        <v>8417</v>
      </c>
      <c r="C13">
        <f>COUNTIFS(Kickstarter!$F:$F,"successful",Kickstarter!$D:$D,"&gt;=50000",Kickstarter!$R:$R,"plays")</f>
        <v>2</v>
      </c>
      <c r="D13">
        <f>COUNTIFS(Kickstarter!$F:$F,"failed",Kickstarter!$D:$D,"&gt;=50000",Kickstarter!$R:$R,"plays")</f>
        <v>14</v>
      </c>
      <c r="E13">
        <f>COUNTIFS(Kickstarter!$F:$F,"canceled",Kickstarter!$D:$D,"&gt;=50000",Kickstarter!$R:$R,"plays")</f>
        <v>0</v>
      </c>
      <c r="F13">
        <f t="shared" si="0"/>
        <v>16</v>
      </c>
      <c r="G13" s="21">
        <f t="shared" si="1"/>
        <v>0.125</v>
      </c>
      <c r="H13" s="21">
        <f t="shared" si="2"/>
        <v>0.875</v>
      </c>
      <c r="I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37177-AD2A-4C88-B164-91FC087F06E1}">
  <dimension ref="A1:C14"/>
  <sheetViews>
    <sheetView workbookViewId="0">
      <selection activeCell="B4" sqref="B4"/>
    </sheetView>
  </sheetViews>
  <sheetFormatPr defaultRowHeight="15" x14ac:dyDescent="0.25"/>
  <cols>
    <col min="1" max="1" width="28.140625" customWidth="1"/>
    <col min="2" max="2" width="14.5703125" customWidth="1"/>
    <col min="3" max="3" width="11.7109375" customWidth="1"/>
    <col min="5" max="6" width="16.5703125" customWidth="1"/>
    <col min="8" max="9" width="17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0CCA-19E0-48D8-9953-6E8DCC5E5410}">
  <dimension ref="A1:F6"/>
  <sheetViews>
    <sheetView zoomScale="85" zoomScaleNormal="85" workbookViewId="0">
      <selection activeCell="B9" sqref="B9"/>
    </sheetView>
  </sheetViews>
  <sheetFormatPr defaultRowHeight="15" x14ac:dyDescent="0.25"/>
  <cols>
    <col min="1" max="1" width="32.85546875" customWidth="1"/>
    <col min="2" max="2" width="67.85546875" customWidth="1"/>
    <col min="3" max="3" width="15" customWidth="1"/>
    <col min="4" max="4" width="16.42578125" customWidth="1"/>
    <col min="5" max="5" width="13.85546875" customWidth="1"/>
    <col min="6" max="6" width="16.140625" customWidth="1"/>
  </cols>
  <sheetData>
    <row r="1" spans="1:6" ht="46.5" customHeight="1" x14ac:dyDescent="0.35">
      <c r="A1" s="18" t="s">
        <v>8379</v>
      </c>
      <c r="B1" s="17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46.5" customHeight="1" x14ac:dyDescent="0.25">
      <c r="A2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6.5" customHeight="1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6.5" customHeight="1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6.5" customHeight="1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6.5" customHeight="1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741F5-D72A-4828-9975-B7091434FB43}">
  <dimension ref="A1:F6"/>
  <sheetViews>
    <sheetView zoomScale="115" zoomScaleNormal="115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D885-B62F-44C0-B2D8-8F98F8BB7AD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762C2-DE2D-4EC4-84BE-9E3967516249}">
  <dimension ref="A1:F17"/>
  <sheetViews>
    <sheetView workbookViewId="0">
      <selection activeCell="A10" sqref="A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Catagory Statistics</vt:lpstr>
      <vt:lpstr>SubCatagory Statistics</vt:lpstr>
      <vt:lpstr>Outcomes based on Launch Date</vt:lpstr>
      <vt:lpstr>Blurb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Warren Conner Pavlat</cp:lastModifiedBy>
  <dcterms:created xsi:type="dcterms:W3CDTF">2017-04-20T15:17:24Z</dcterms:created>
  <dcterms:modified xsi:type="dcterms:W3CDTF">2022-03-29T08:46:28Z</dcterms:modified>
</cp:coreProperties>
</file>