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avid\Desktop\研究所課程\VLSI\"/>
    </mc:Choice>
  </mc:AlternateContent>
  <xr:revisionPtr revIDLastSave="0" documentId="13_ncr:1_{761D10A6-2B95-4036-A28A-E50B2348C30F}" xr6:coauthVersionLast="47" xr6:coauthVersionMax="47" xr10:uidLastSave="{00000000-0000-0000-0000-000000000000}"/>
  <bookViews>
    <workbookView xWindow="-110" yWindow="-110" windowWidth="25820" windowHeight="13900" activeTab="5" xr2:uid="{00000000-000D-0000-FFFF-FFFF00000000}"/>
  </bookViews>
  <sheets>
    <sheet name="工作表1" sheetId="1" r:id="rId1"/>
    <sheet name="工作表2" sheetId="2" r:id="rId2"/>
    <sheet name="工作表3" sheetId="5" r:id="rId3"/>
    <sheet name="工作表4" sheetId="6" r:id="rId4"/>
    <sheet name="report" sheetId="4" r:id="rId5"/>
    <sheet name="truth table" sheetId="3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5" l="1"/>
  <c r="C38" i="5" s="1"/>
  <c r="I67" i="5"/>
  <c r="F19" i="5"/>
  <c r="F21" i="5"/>
  <c r="K2" i="5"/>
  <c r="E11" i="5"/>
  <c r="C18" i="5"/>
  <c r="F7" i="5"/>
  <c r="F4" i="5"/>
  <c r="C13" i="6"/>
  <c r="L51" i="5"/>
  <c r="L50" i="5"/>
  <c r="K3" i="4"/>
  <c r="I3" i="4"/>
  <c r="M6" i="4"/>
  <c r="M5" i="4"/>
  <c r="J4" i="4"/>
  <c r="J3" i="4"/>
  <c r="I4" i="4"/>
  <c r="K52" i="5"/>
  <c r="K68" i="5" s="1"/>
  <c r="L72" i="5"/>
  <c r="L71" i="5"/>
  <c r="L70" i="5"/>
  <c r="L69" i="5"/>
  <c r="K67" i="5"/>
  <c r="N49" i="6"/>
  <c r="M49" i="6"/>
  <c r="I71" i="5"/>
  <c r="K72" i="5"/>
  <c r="K71" i="5"/>
  <c r="F1" i="5"/>
  <c r="F3" i="5" s="1"/>
  <c r="M15" i="5"/>
  <c r="M14" i="5"/>
  <c r="M13" i="5"/>
  <c r="P14" i="5"/>
  <c r="F5" i="5"/>
  <c r="P15" i="5" s="1"/>
  <c r="F9" i="5"/>
  <c r="H34" i="2"/>
  <c r="H33" i="2"/>
  <c r="C4" i="2"/>
  <c r="H10" i="2"/>
  <c r="F5" i="6"/>
  <c r="C15" i="6"/>
  <c r="F7" i="6"/>
  <c r="H2" i="6"/>
  <c r="F9" i="6"/>
  <c r="F1" i="6"/>
  <c r="F3" i="6"/>
  <c r="N72" i="6"/>
  <c r="M72" i="6"/>
  <c r="K72" i="6"/>
  <c r="N71" i="6"/>
  <c r="M71" i="6"/>
  <c r="K71" i="6"/>
  <c r="N70" i="6"/>
  <c r="M70" i="6"/>
  <c r="K70" i="6"/>
  <c r="N69" i="6"/>
  <c r="M69" i="6"/>
  <c r="K69" i="6"/>
  <c r="O66" i="6"/>
  <c r="M66" i="6"/>
  <c r="K66" i="6"/>
  <c r="O65" i="6"/>
  <c r="M65" i="6"/>
  <c r="K65" i="6" s="1"/>
  <c r="I65" i="6" s="1"/>
  <c r="O64" i="6"/>
  <c r="N64" i="6"/>
  <c r="K64" i="6" s="1"/>
  <c r="O63" i="6"/>
  <c r="N63" i="6"/>
  <c r="K63" i="6" s="1"/>
  <c r="I63" i="6" s="1"/>
  <c r="O62" i="6"/>
  <c r="K62" i="6"/>
  <c r="M62" i="6" s="1"/>
  <c r="O61" i="6"/>
  <c r="K61" i="6"/>
  <c r="M61" i="6" s="1"/>
  <c r="K60" i="6"/>
  <c r="O60" i="6" s="1"/>
  <c r="K59" i="6"/>
  <c r="O59" i="6" s="1"/>
  <c r="L48" i="6"/>
  <c r="L49" i="6" s="1"/>
  <c r="C47" i="6"/>
  <c r="L43" i="6"/>
  <c r="G37" i="6"/>
  <c r="F37" i="6"/>
  <c r="E37" i="6"/>
  <c r="C29" i="6"/>
  <c r="C27" i="6"/>
  <c r="C21" i="6"/>
  <c r="C19" i="6"/>
  <c r="G18" i="6"/>
  <c r="G14" i="6"/>
  <c r="G11" i="6"/>
  <c r="C11" i="6"/>
  <c r="C10" i="6"/>
  <c r="C9" i="6"/>
  <c r="C8" i="6"/>
  <c r="K2" i="6" s="1"/>
  <c r="C7" i="6"/>
  <c r="C6" i="6"/>
  <c r="C5" i="6"/>
  <c r="M4" i="6"/>
  <c r="F4" i="6"/>
  <c r="E21" i="6" s="1"/>
  <c r="M2" i="6"/>
  <c r="M3" i="6" s="1"/>
  <c r="C2" i="6"/>
  <c r="F11" i="6" s="1"/>
  <c r="H1" i="6"/>
  <c r="F8" i="6" s="1"/>
  <c r="M69" i="1"/>
  <c r="N72" i="1"/>
  <c r="M72" i="1"/>
  <c r="K72" i="1"/>
  <c r="N71" i="1"/>
  <c r="M71" i="1"/>
  <c r="K71" i="1"/>
  <c r="N70" i="1"/>
  <c r="M70" i="1"/>
  <c r="K70" i="1"/>
  <c r="N69" i="1"/>
  <c r="K69" i="1"/>
  <c r="K68" i="1"/>
  <c r="I67" i="1" s="1"/>
  <c r="K67" i="1"/>
  <c r="O66" i="1"/>
  <c r="M66" i="1"/>
  <c r="K66" i="1"/>
  <c r="O65" i="1"/>
  <c r="M65" i="1"/>
  <c r="K65" i="1" s="1"/>
  <c r="I65" i="1" s="1"/>
  <c r="O64" i="1"/>
  <c r="N64" i="1"/>
  <c r="K64" i="1"/>
  <c r="O63" i="1"/>
  <c r="N63" i="1"/>
  <c r="K63" i="1" s="1"/>
  <c r="I63" i="1" s="1"/>
  <c r="O62" i="1"/>
  <c r="N62" i="1"/>
  <c r="M62" i="1"/>
  <c r="K62" i="1"/>
  <c r="O61" i="1"/>
  <c r="N61" i="1"/>
  <c r="M61" i="1"/>
  <c r="K61" i="1"/>
  <c r="K60" i="1"/>
  <c r="O60" i="1" s="1"/>
  <c r="K59" i="1"/>
  <c r="O59" i="1" s="1"/>
  <c r="L48" i="1"/>
  <c r="L49" i="1" s="1"/>
  <c r="L39" i="1" s="1"/>
  <c r="C47" i="1"/>
  <c r="L43" i="1"/>
  <c r="G37" i="1"/>
  <c r="F37" i="1"/>
  <c r="E37" i="1"/>
  <c r="C29" i="1"/>
  <c r="C27" i="1"/>
  <c r="C23" i="1"/>
  <c r="C21" i="1"/>
  <c r="C19" i="1"/>
  <c r="G18" i="1"/>
  <c r="F18" i="1"/>
  <c r="G14" i="1"/>
  <c r="I13" i="1"/>
  <c r="C11" i="1"/>
  <c r="C10" i="1"/>
  <c r="C9" i="1"/>
  <c r="F8" i="1"/>
  <c r="C8" i="1"/>
  <c r="K2" i="1" s="1"/>
  <c r="F7" i="1"/>
  <c r="E18" i="1" s="1"/>
  <c r="C7" i="1"/>
  <c r="C6" i="1"/>
  <c r="C5" i="1"/>
  <c r="M4" i="1"/>
  <c r="M3" i="1"/>
  <c r="F3" i="1"/>
  <c r="C3" i="1"/>
  <c r="M2" i="1"/>
  <c r="C2" i="1"/>
  <c r="G11" i="1" s="1"/>
  <c r="H1" i="1"/>
  <c r="F9" i="1" s="1"/>
  <c r="F1" i="1"/>
  <c r="F5" i="1" s="1"/>
  <c r="C25" i="1" s="1"/>
  <c r="L43" i="5"/>
  <c r="K61" i="5"/>
  <c r="L48" i="5"/>
  <c r="L49" i="5"/>
  <c r="C3" i="5"/>
  <c r="C4" i="5"/>
  <c r="O61" i="5"/>
  <c r="K70" i="5"/>
  <c r="K69" i="5"/>
  <c r="N63" i="5"/>
  <c r="N62" i="5"/>
  <c r="N64" i="5"/>
  <c r="N72" i="5"/>
  <c r="M71" i="5"/>
  <c r="O64" i="5"/>
  <c r="O66" i="5"/>
  <c r="O65" i="5"/>
  <c r="O62" i="5"/>
  <c r="N70" i="5"/>
  <c r="N69" i="5"/>
  <c r="M70" i="5"/>
  <c r="M69" i="5"/>
  <c r="K62" i="5"/>
  <c r="M61" i="5"/>
  <c r="K60" i="5"/>
  <c r="O60" i="5" s="1"/>
  <c r="K59" i="5"/>
  <c r="O59" i="5" s="1"/>
  <c r="G11" i="5"/>
  <c r="M4" i="5"/>
  <c r="M2" i="5"/>
  <c r="C8" i="5"/>
  <c r="G18" i="5"/>
  <c r="C9" i="5"/>
  <c r="E18" i="5"/>
  <c r="G14" i="5"/>
  <c r="M3" i="5"/>
  <c r="F11" i="5" s="1"/>
  <c r="C29" i="5"/>
  <c r="C27" i="5"/>
  <c r="C11" i="5"/>
  <c r="C10" i="5"/>
  <c r="F18" i="5"/>
  <c r="H1" i="5"/>
  <c r="C21" i="5"/>
  <c r="C19" i="5"/>
  <c r="C7" i="5"/>
  <c r="C6" i="5"/>
  <c r="C5" i="5"/>
  <c r="C2" i="5"/>
  <c r="H38" i="2"/>
  <c r="H37" i="2"/>
  <c r="H16" i="2"/>
  <c r="J7" i="2"/>
  <c r="C3" i="2"/>
  <c r="H25" i="2"/>
  <c r="H23" i="2"/>
  <c r="H17" i="2"/>
  <c r="H15" i="2"/>
  <c r="H14" i="2"/>
  <c r="H9" i="2"/>
  <c r="C5" i="2"/>
  <c r="C14" i="2"/>
  <c r="C7" i="2"/>
  <c r="C10" i="2"/>
  <c r="Q7" i="2"/>
  <c r="I6" i="2"/>
  <c r="Q32" i="2"/>
  <c r="Q19" i="2"/>
  <c r="R14" i="2"/>
  <c r="L6" i="2"/>
  <c r="R7" i="2" s="1"/>
  <c r="R10" i="2"/>
  <c r="Q14" i="2"/>
  <c r="N7" i="2"/>
  <c r="N14" i="2"/>
  <c r="N10" i="2"/>
  <c r="F6" i="2"/>
  <c r="K7" i="2"/>
  <c r="L14" i="2"/>
  <c r="L10" i="2"/>
  <c r="L7" i="2"/>
  <c r="I14" i="2"/>
  <c r="J14" i="2"/>
  <c r="I27" i="2"/>
  <c r="I29" i="2"/>
  <c r="K14" i="2"/>
  <c r="F14" i="2"/>
  <c r="E14" i="2"/>
  <c r="N62" i="6" l="1"/>
  <c r="C14" i="5"/>
  <c r="P13" i="5"/>
  <c r="C25" i="5"/>
  <c r="C23" i="5"/>
  <c r="I13" i="5"/>
  <c r="J13" i="5"/>
  <c r="L39" i="5"/>
  <c r="E21" i="5"/>
  <c r="K67" i="6"/>
  <c r="C25" i="6"/>
  <c r="N61" i="6"/>
  <c r="F19" i="6"/>
  <c r="F14" i="6"/>
  <c r="C14" i="6"/>
  <c r="F21" i="6"/>
  <c r="E19" i="6"/>
  <c r="E14" i="6"/>
  <c r="J13" i="6"/>
  <c r="I13" i="6"/>
  <c r="C23" i="6"/>
  <c r="G13" i="6"/>
  <c r="L39" i="6"/>
  <c r="K68" i="6"/>
  <c r="I67" i="6" s="1"/>
  <c r="C3" i="6"/>
  <c r="C4" i="6"/>
  <c r="E11" i="6"/>
  <c r="C14" i="1"/>
  <c r="E14" i="1"/>
  <c r="E19" i="1"/>
  <c r="F21" i="1"/>
  <c r="F4" i="1"/>
  <c r="E21" i="1" s="1"/>
  <c r="F14" i="1"/>
  <c r="F19" i="1"/>
  <c r="J13" i="1"/>
  <c r="C4" i="1"/>
  <c r="E11" i="1"/>
  <c r="F11" i="1"/>
  <c r="C18" i="1"/>
  <c r="K63" i="5"/>
  <c r="M66" i="5"/>
  <c r="K66" i="5" s="1"/>
  <c r="M65" i="5"/>
  <c r="K65" i="5" s="1"/>
  <c r="M72" i="5"/>
  <c r="O63" i="5"/>
  <c r="N71" i="5"/>
  <c r="N61" i="5"/>
  <c r="K64" i="5"/>
  <c r="M62" i="5"/>
  <c r="C47" i="5"/>
  <c r="F8" i="5"/>
  <c r="E14" i="5"/>
  <c r="E19" i="5"/>
  <c r="E37" i="5"/>
  <c r="F14" i="5"/>
  <c r="F37" i="5"/>
  <c r="G37" i="5"/>
  <c r="C11" i="2"/>
  <c r="N11" i="2"/>
  <c r="N13" i="2" s="1"/>
  <c r="N31" i="2" s="1"/>
  <c r="F19" i="2"/>
  <c r="E21" i="2"/>
  <c r="C19" i="2"/>
  <c r="E19" i="2"/>
  <c r="F4" i="2"/>
  <c r="J17" i="2" s="1"/>
  <c r="F3" i="2"/>
  <c r="F5" i="2"/>
  <c r="H21" i="2" s="1"/>
  <c r="L65" i="5" l="1"/>
  <c r="L66" i="5"/>
  <c r="L64" i="5"/>
  <c r="L63" i="5"/>
  <c r="C17" i="6"/>
  <c r="C28" i="6" s="1"/>
  <c r="L63" i="6"/>
  <c r="L66" i="6"/>
  <c r="L65" i="6"/>
  <c r="C22" i="6"/>
  <c r="C30" i="6"/>
  <c r="C26" i="6"/>
  <c r="C20" i="6"/>
  <c r="C38" i="6" s="1"/>
  <c r="F18" i="6"/>
  <c r="C18" i="6"/>
  <c r="E18" i="6"/>
  <c r="C15" i="1"/>
  <c r="C17" i="1" s="1"/>
  <c r="I65" i="5"/>
  <c r="I63" i="5"/>
  <c r="C15" i="5"/>
  <c r="Q10" i="2"/>
  <c r="R9" i="2"/>
  <c r="R11" i="2" s="1"/>
  <c r="R13" i="2" s="1"/>
  <c r="K17" i="2"/>
  <c r="Q9" i="2"/>
  <c r="K15" i="2"/>
  <c r="N16" i="2"/>
  <c r="N18" i="2"/>
  <c r="C13" i="2"/>
  <c r="C31" i="2" s="1"/>
  <c r="J10" i="2"/>
  <c r="J11" i="2" s="1"/>
  <c r="J13" i="2" s="1"/>
  <c r="J20" i="2" s="1"/>
  <c r="L9" i="2"/>
  <c r="L11" i="2" s="1"/>
  <c r="L13" i="2" s="1"/>
  <c r="L16" i="2" s="1"/>
  <c r="K10" i="2"/>
  <c r="J15" i="2"/>
  <c r="I23" i="2"/>
  <c r="F9" i="2"/>
  <c r="E9" i="2"/>
  <c r="I25" i="2"/>
  <c r="F10" i="2"/>
  <c r="E10" i="2"/>
  <c r="H19" i="2"/>
  <c r="I9" i="2"/>
  <c r="I10" i="2"/>
  <c r="C26" i="5" l="1"/>
  <c r="C35" i="5"/>
  <c r="C24" i="6"/>
  <c r="C35" i="6"/>
  <c r="C39" i="6"/>
  <c r="G38" i="6"/>
  <c r="C48" i="6"/>
  <c r="F38" i="6"/>
  <c r="F39" i="6" s="1"/>
  <c r="N39" i="6"/>
  <c r="E38" i="6"/>
  <c r="E39" i="6" s="1"/>
  <c r="C20" i="1"/>
  <c r="C38" i="1" s="1"/>
  <c r="C30" i="1"/>
  <c r="C26" i="1"/>
  <c r="C24" i="1"/>
  <c r="C22" i="1"/>
  <c r="C28" i="1"/>
  <c r="C35" i="1"/>
  <c r="C28" i="5"/>
  <c r="C22" i="5"/>
  <c r="C24" i="5"/>
  <c r="C30" i="5"/>
  <c r="R31" i="2"/>
  <c r="R18" i="2"/>
  <c r="R16" i="2"/>
  <c r="E11" i="2"/>
  <c r="Q11" i="2"/>
  <c r="Q13" i="2" s="1"/>
  <c r="N52" i="2"/>
  <c r="N51" i="2"/>
  <c r="K11" i="2"/>
  <c r="K13" i="2" s="1"/>
  <c r="J22" i="2"/>
  <c r="J18" i="2"/>
  <c r="J16" i="2"/>
  <c r="H11" i="2"/>
  <c r="H13" i="2" s="1"/>
  <c r="L31" i="2"/>
  <c r="F11" i="2"/>
  <c r="F13" i="2" s="1"/>
  <c r="F18" i="2" s="1"/>
  <c r="I11" i="2"/>
  <c r="I13" i="2" s="1"/>
  <c r="L20" i="2"/>
  <c r="L22" i="2"/>
  <c r="L18" i="2"/>
  <c r="C16" i="2"/>
  <c r="C33" i="2" s="1"/>
  <c r="C22" i="2"/>
  <c r="C18" i="2"/>
  <c r="C24" i="2"/>
  <c r="C20" i="2"/>
  <c r="E13" i="2"/>
  <c r="E26" i="2" s="1"/>
  <c r="C48" i="5" l="1"/>
  <c r="C39" i="5"/>
  <c r="C49" i="5" s="1"/>
  <c r="F49" i="5" s="1"/>
  <c r="Q39" i="6"/>
  <c r="P39" i="6"/>
  <c r="J7" i="6" s="1"/>
  <c r="G48" i="6"/>
  <c r="G39" i="6"/>
  <c r="G10" i="6"/>
  <c r="G15" i="6" s="1"/>
  <c r="G17" i="6" s="1"/>
  <c r="E10" i="6"/>
  <c r="E15" i="6" s="1"/>
  <c r="E17" i="6" s="1"/>
  <c r="F10" i="6"/>
  <c r="F15" i="6" s="1"/>
  <c r="F17" i="6" s="1"/>
  <c r="C59" i="6"/>
  <c r="G59" i="6" s="1"/>
  <c r="C60" i="6"/>
  <c r="G60" i="6" s="1"/>
  <c r="C49" i="6"/>
  <c r="C42" i="6"/>
  <c r="C43" i="5"/>
  <c r="N39" i="1"/>
  <c r="E38" i="1"/>
  <c r="E39" i="1" s="1"/>
  <c r="C39" i="1"/>
  <c r="G38" i="1"/>
  <c r="C48" i="1"/>
  <c r="F38" i="1"/>
  <c r="F39" i="1" s="1"/>
  <c r="G38" i="5"/>
  <c r="G10" i="5" s="1"/>
  <c r="G15" i="5" s="1"/>
  <c r="Q18" i="2"/>
  <c r="Q20" i="2"/>
  <c r="C51" i="2"/>
  <c r="C52" i="2"/>
  <c r="H18" i="2"/>
  <c r="Q16" i="2"/>
  <c r="Q33" i="2" s="1"/>
  <c r="Q31" i="2"/>
  <c r="H24" i="2"/>
  <c r="J31" i="2"/>
  <c r="H22" i="2"/>
  <c r="H31" i="2"/>
  <c r="H26" i="2"/>
  <c r="K20" i="2"/>
  <c r="K22" i="2"/>
  <c r="K16" i="2"/>
  <c r="K31" i="2"/>
  <c r="K18" i="2"/>
  <c r="F16" i="2"/>
  <c r="F58" i="2" s="1"/>
  <c r="F31" i="2"/>
  <c r="F20" i="2"/>
  <c r="F24" i="2"/>
  <c r="F22" i="2"/>
  <c r="I28" i="2"/>
  <c r="I20" i="2"/>
  <c r="H20" i="2"/>
  <c r="I16" i="2"/>
  <c r="I26" i="2"/>
  <c r="I30" i="2"/>
  <c r="I24" i="2"/>
  <c r="I18" i="2"/>
  <c r="I31" i="2"/>
  <c r="I22" i="2"/>
  <c r="E20" i="2"/>
  <c r="E24" i="2"/>
  <c r="E31" i="2"/>
  <c r="E16" i="2"/>
  <c r="E22" i="2"/>
  <c r="E18" i="2"/>
  <c r="G49" i="6" l="1"/>
  <c r="G28" i="6"/>
  <c r="G24" i="6"/>
  <c r="G35" i="6"/>
  <c r="G26" i="6"/>
  <c r="G20" i="6"/>
  <c r="R39" i="6" s="1"/>
  <c r="G22" i="6"/>
  <c r="G40" i="6" s="1"/>
  <c r="C62" i="6"/>
  <c r="C61" i="6"/>
  <c r="E49" i="6"/>
  <c r="F49" i="6"/>
  <c r="F24" i="6"/>
  <c r="F26" i="6"/>
  <c r="F20" i="6"/>
  <c r="F40" i="6" s="1"/>
  <c r="F22" i="6"/>
  <c r="F35" i="6"/>
  <c r="C52" i="6"/>
  <c r="C43" i="6"/>
  <c r="E24" i="6"/>
  <c r="E22" i="6"/>
  <c r="E20" i="6"/>
  <c r="E41" i="6" s="1"/>
  <c r="E26" i="6"/>
  <c r="E35" i="6"/>
  <c r="G48" i="5"/>
  <c r="G17" i="5"/>
  <c r="F10" i="1"/>
  <c r="F15" i="1" s="1"/>
  <c r="F17" i="1" s="1"/>
  <c r="E10" i="1"/>
  <c r="E15" i="1" s="1"/>
  <c r="E17" i="1" s="1"/>
  <c r="Q39" i="1"/>
  <c r="P39" i="1"/>
  <c r="J7" i="1" s="1"/>
  <c r="C60" i="1"/>
  <c r="G60" i="1" s="1"/>
  <c r="C59" i="1"/>
  <c r="G59" i="1" s="1"/>
  <c r="G39" i="1"/>
  <c r="G48" i="1"/>
  <c r="G10" i="1"/>
  <c r="G15" i="1" s="1"/>
  <c r="G17" i="1" s="1"/>
  <c r="C42" i="1"/>
  <c r="C49" i="1"/>
  <c r="E38" i="5"/>
  <c r="E39" i="5" s="1"/>
  <c r="N39" i="5"/>
  <c r="C59" i="5"/>
  <c r="F38" i="5"/>
  <c r="F39" i="5" s="1"/>
  <c r="G39" i="5" s="1"/>
  <c r="Q52" i="2"/>
  <c r="Q51" i="2"/>
  <c r="Q34" i="2"/>
  <c r="F57" i="2"/>
  <c r="E53" i="2"/>
  <c r="E54" i="2"/>
  <c r="E52" i="2"/>
  <c r="E51" i="2"/>
  <c r="E60" i="2"/>
  <c r="E59" i="2"/>
  <c r="E63" i="2"/>
  <c r="E62" i="2"/>
  <c r="E61" i="2"/>
  <c r="E64" i="2"/>
  <c r="G49" i="5" l="1"/>
  <c r="E49" i="5"/>
  <c r="E10" i="5"/>
  <c r="E15" i="5" s="1"/>
  <c r="E17" i="5" s="1"/>
  <c r="G50" i="6"/>
  <c r="G41" i="6"/>
  <c r="G51" i="6" s="1"/>
  <c r="E51" i="6"/>
  <c r="E43" i="6"/>
  <c r="C44" i="6"/>
  <c r="C54" i="6" s="1"/>
  <c r="C53" i="6"/>
  <c r="F43" i="6"/>
  <c r="F50" i="6"/>
  <c r="F64" i="6" s="1"/>
  <c r="C64" i="6" s="1"/>
  <c r="C68" i="6"/>
  <c r="C67" i="6"/>
  <c r="E61" i="6"/>
  <c r="F61" i="6"/>
  <c r="F63" i="6" s="1"/>
  <c r="C63" i="6" s="1"/>
  <c r="G62" i="6"/>
  <c r="G61" i="6"/>
  <c r="F62" i="6"/>
  <c r="E62" i="6"/>
  <c r="F10" i="5"/>
  <c r="F20" i="1"/>
  <c r="F40" i="1" s="1"/>
  <c r="F26" i="1"/>
  <c r="F22" i="1"/>
  <c r="F24" i="1"/>
  <c r="F35" i="1"/>
  <c r="G49" i="1"/>
  <c r="F49" i="1"/>
  <c r="E49" i="1"/>
  <c r="C62" i="1"/>
  <c r="C61" i="1"/>
  <c r="C43" i="1"/>
  <c r="C52" i="1"/>
  <c r="G22" i="1"/>
  <c r="G40" i="1" s="1"/>
  <c r="G28" i="1"/>
  <c r="G24" i="1"/>
  <c r="G35" i="1"/>
  <c r="G20" i="1"/>
  <c r="R39" i="1" s="1"/>
  <c r="G26" i="1"/>
  <c r="E26" i="1"/>
  <c r="E24" i="1"/>
  <c r="E20" i="1"/>
  <c r="E41" i="1" s="1"/>
  <c r="E22" i="1"/>
  <c r="E35" i="1"/>
  <c r="G28" i="5"/>
  <c r="G35" i="5"/>
  <c r="G22" i="5"/>
  <c r="G40" i="5" s="1"/>
  <c r="G26" i="5"/>
  <c r="G24" i="5"/>
  <c r="G20" i="5"/>
  <c r="R39" i="5" s="1"/>
  <c r="P39" i="5"/>
  <c r="J7" i="5" s="1"/>
  <c r="C60" i="5"/>
  <c r="G60" i="5" s="1"/>
  <c r="G59" i="5"/>
  <c r="C52" i="5"/>
  <c r="Q39" i="5"/>
  <c r="Q54" i="2"/>
  <c r="Q53" i="2"/>
  <c r="H51" i="2"/>
  <c r="L51" i="2" s="1"/>
  <c r="L33" i="2"/>
  <c r="L34" i="2" s="1"/>
  <c r="H52" i="2"/>
  <c r="L52" i="2" s="1"/>
  <c r="C71" i="6" l="1"/>
  <c r="C72" i="6"/>
  <c r="E53" i="6"/>
  <c r="E44" i="6"/>
  <c r="E54" i="6" s="1"/>
  <c r="F44" i="6"/>
  <c r="F54" i="6" s="1"/>
  <c r="F53" i="6"/>
  <c r="C70" i="6"/>
  <c r="C69" i="6"/>
  <c r="G66" i="6"/>
  <c r="G65" i="6"/>
  <c r="E66" i="6"/>
  <c r="C66" i="6" s="1"/>
  <c r="E65" i="6"/>
  <c r="C65" i="6" s="1"/>
  <c r="G64" i="6"/>
  <c r="G63" i="6"/>
  <c r="G50" i="1"/>
  <c r="G41" i="1"/>
  <c r="G51" i="1" s="1"/>
  <c r="F62" i="1"/>
  <c r="E62" i="1"/>
  <c r="F43" i="1"/>
  <c r="F50" i="1"/>
  <c r="F64" i="1" s="1"/>
  <c r="C64" i="1" s="1"/>
  <c r="E51" i="1"/>
  <c r="E43" i="1"/>
  <c r="G62" i="1"/>
  <c r="G61" i="1"/>
  <c r="C67" i="1"/>
  <c r="C68" i="1"/>
  <c r="C53" i="1"/>
  <c r="C44" i="1"/>
  <c r="C54" i="1" s="1"/>
  <c r="F61" i="1"/>
  <c r="F63" i="1" s="1"/>
  <c r="C63" i="1" s="1"/>
  <c r="E61" i="1"/>
  <c r="G41" i="5"/>
  <c r="G51" i="5" s="1"/>
  <c r="G66" i="5" s="1"/>
  <c r="G50" i="5"/>
  <c r="G63" i="5" s="1"/>
  <c r="G61" i="5"/>
  <c r="C62" i="5"/>
  <c r="C61" i="5"/>
  <c r="F15" i="5"/>
  <c r="F17" i="5" s="1"/>
  <c r="G62" i="5"/>
  <c r="K34" i="2"/>
  <c r="K35" i="2" s="1"/>
  <c r="K38" i="2" s="1"/>
  <c r="H54" i="2"/>
  <c r="J34" i="2"/>
  <c r="J36" i="2" s="1"/>
  <c r="H53" i="2"/>
  <c r="L53" i="2"/>
  <c r="L35" i="2"/>
  <c r="L54" i="2"/>
  <c r="E71" i="6" l="1"/>
  <c r="E72" i="6"/>
  <c r="F69" i="6"/>
  <c r="F70" i="6"/>
  <c r="F71" i="6"/>
  <c r="F72" i="6"/>
  <c r="E70" i="6"/>
  <c r="E69" i="6"/>
  <c r="G66" i="1"/>
  <c r="G65" i="1"/>
  <c r="G63" i="1"/>
  <c r="G64" i="1"/>
  <c r="E53" i="1"/>
  <c r="E44" i="1"/>
  <c r="E54" i="1" s="1"/>
  <c r="E65" i="1"/>
  <c r="C65" i="1" s="1"/>
  <c r="E66" i="1"/>
  <c r="C66" i="1" s="1"/>
  <c r="C71" i="1"/>
  <c r="C72" i="1"/>
  <c r="C70" i="1"/>
  <c r="C69" i="1"/>
  <c r="F53" i="1"/>
  <c r="F44" i="1"/>
  <c r="F54" i="1" s="1"/>
  <c r="G64" i="5"/>
  <c r="G65" i="5"/>
  <c r="F20" i="5"/>
  <c r="F35" i="5"/>
  <c r="E22" i="5"/>
  <c r="E26" i="5"/>
  <c r="E24" i="5"/>
  <c r="E35" i="5"/>
  <c r="E20" i="5"/>
  <c r="C67" i="5"/>
  <c r="C68" i="5"/>
  <c r="C44" i="5"/>
  <c r="C54" i="5" s="1"/>
  <c r="C53" i="5"/>
  <c r="E61" i="5"/>
  <c r="F61" i="5"/>
  <c r="F62" i="5"/>
  <c r="E62" i="5"/>
  <c r="L36" i="2"/>
  <c r="L55" i="2"/>
  <c r="L56" i="2"/>
  <c r="J53" i="2"/>
  <c r="K53" i="2"/>
  <c r="K55" i="2" s="1"/>
  <c r="H60" i="2"/>
  <c r="H59" i="2"/>
  <c r="J58" i="2"/>
  <c r="J57" i="2"/>
  <c r="J38" i="2"/>
  <c r="J54" i="2"/>
  <c r="K54" i="2"/>
  <c r="K56" i="2" s="1"/>
  <c r="K39" i="2"/>
  <c r="K62" i="2"/>
  <c r="K61" i="2"/>
  <c r="F50" i="5" l="1"/>
  <c r="F64" i="5" s="1"/>
  <c r="C64" i="5" s="1"/>
  <c r="F72" i="1"/>
  <c r="F71" i="1"/>
  <c r="E71" i="1"/>
  <c r="E72" i="1"/>
  <c r="F69" i="1"/>
  <c r="F70" i="1"/>
  <c r="E70" i="1"/>
  <c r="E69" i="1"/>
  <c r="E51" i="5"/>
  <c r="F63" i="5"/>
  <c r="C63" i="5" s="1"/>
  <c r="C69" i="5"/>
  <c r="C70" i="5"/>
  <c r="C71" i="5"/>
  <c r="C72" i="5"/>
  <c r="K64" i="2"/>
  <c r="K63" i="2"/>
  <c r="H62" i="2"/>
  <c r="H61" i="2"/>
  <c r="H39" i="2"/>
  <c r="J39" i="2"/>
  <c r="J62" i="2"/>
  <c r="J61" i="2"/>
  <c r="L57" i="2"/>
  <c r="L58" i="2"/>
  <c r="F22" i="5" l="1"/>
  <c r="F43" i="5" s="1"/>
  <c r="E43" i="5"/>
  <c r="E53" i="5" s="1"/>
  <c r="E65" i="5"/>
  <c r="C65" i="5" s="1"/>
  <c r="E66" i="5"/>
  <c r="C66" i="5" s="1"/>
  <c r="F53" i="5"/>
  <c r="J64" i="2"/>
  <c r="J63" i="2"/>
  <c r="H63" i="2"/>
  <c r="H64" i="2"/>
  <c r="E44" i="5" l="1"/>
  <c r="E54" i="5" s="1"/>
  <c r="E72" i="5" s="1"/>
  <c r="F69" i="5"/>
  <c r="F70" i="5"/>
  <c r="E69" i="5"/>
  <c r="E70" i="5"/>
  <c r="F26" i="5" l="1"/>
  <c r="F24" i="5"/>
  <c r="F44" i="5" s="1"/>
  <c r="F54" i="5" s="1"/>
  <c r="E71" i="5"/>
  <c r="F72" i="5" l="1"/>
  <c r="F71" i="5"/>
</calcChain>
</file>

<file path=xl/sharedStrings.xml><?xml version="1.0" encoding="utf-8"?>
<sst xmlns="http://schemas.openxmlformats.org/spreadsheetml/2006/main" count="897" uniqueCount="209">
  <si>
    <t>Cout</t>
    <phoneticPr fontId="1" type="noConversion"/>
  </si>
  <si>
    <t>Cin</t>
    <phoneticPr fontId="1" type="noConversion"/>
  </si>
  <si>
    <t>H</t>
    <phoneticPr fontId="1" type="noConversion"/>
  </si>
  <si>
    <t>B</t>
    <phoneticPr fontId="1" type="noConversion"/>
  </si>
  <si>
    <t>G</t>
    <phoneticPr fontId="1" type="noConversion"/>
  </si>
  <si>
    <t>ginv</t>
    <phoneticPr fontId="1" type="noConversion"/>
  </si>
  <si>
    <t>gnand2</t>
    <phoneticPr fontId="1" type="noConversion"/>
  </si>
  <si>
    <t>gnand4</t>
    <phoneticPr fontId="1" type="noConversion"/>
  </si>
  <si>
    <t>gnand8</t>
    <phoneticPr fontId="1" type="noConversion"/>
  </si>
  <si>
    <t>F</t>
    <phoneticPr fontId="1" type="noConversion"/>
  </si>
  <si>
    <t>f1</t>
    <phoneticPr fontId="1" type="noConversion"/>
  </si>
  <si>
    <t>N</t>
    <phoneticPr fontId="1" type="noConversion"/>
  </si>
  <si>
    <t>fi</t>
    <phoneticPr fontId="1" type="noConversion"/>
  </si>
  <si>
    <t>g1</t>
    <phoneticPr fontId="1" type="noConversion"/>
  </si>
  <si>
    <t>h1</t>
    <phoneticPr fontId="1" type="noConversion"/>
  </si>
  <si>
    <t>g2</t>
    <phoneticPr fontId="1" type="noConversion"/>
  </si>
  <si>
    <t>h2</t>
    <phoneticPr fontId="1" type="noConversion"/>
  </si>
  <si>
    <t>g3</t>
    <phoneticPr fontId="1" type="noConversion"/>
  </si>
  <si>
    <t>h3</t>
    <phoneticPr fontId="1" type="noConversion"/>
  </si>
  <si>
    <t>g4</t>
    <phoneticPr fontId="1" type="noConversion"/>
  </si>
  <si>
    <t>h4</t>
    <phoneticPr fontId="1" type="noConversion"/>
  </si>
  <si>
    <t>g5</t>
    <phoneticPr fontId="1" type="noConversion"/>
  </si>
  <si>
    <t>h5</t>
    <phoneticPr fontId="1" type="noConversion"/>
  </si>
  <si>
    <t>path1</t>
    <phoneticPr fontId="1" type="noConversion"/>
  </si>
  <si>
    <t>path2</t>
    <phoneticPr fontId="1" type="noConversion"/>
  </si>
  <si>
    <t>h6</t>
    <phoneticPr fontId="1" type="noConversion"/>
  </si>
  <si>
    <t>g6</t>
    <phoneticPr fontId="1" type="noConversion"/>
  </si>
  <si>
    <t>D</t>
    <phoneticPr fontId="1" type="noConversion"/>
  </si>
  <si>
    <t>P</t>
    <phoneticPr fontId="1" type="noConversion"/>
  </si>
  <si>
    <t>pinv</t>
    <phoneticPr fontId="1" type="noConversion"/>
  </si>
  <si>
    <t>pnand2</t>
    <phoneticPr fontId="1" type="noConversion"/>
  </si>
  <si>
    <t>pnand4</t>
    <phoneticPr fontId="1" type="noConversion"/>
  </si>
  <si>
    <t>pnand8</t>
    <phoneticPr fontId="1" type="noConversion"/>
  </si>
  <si>
    <t>Cｉｎ大小會跟著Ｗ／Ｌ改變嗎？</t>
    <phoneticPr fontId="1" type="noConversion"/>
  </si>
  <si>
    <t>T[0]</t>
  </si>
  <si>
    <t>T[1]</t>
  </si>
  <si>
    <t>T[2]</t>
  </si>
  <si>
    <t>T[3]</t>
  </si>
  <si>
    <t>T[4]</t>
  </si>
  <si>
    <t>T[5]</t>
  </si>
  <si>
    <t>T[6]</t>
  </si>
  <si>
    <t>T[7]</t>
  </si>
  <si>
    <t>T[8]</t>
  </si>
  <si>
    <t>T[9]</t>
  </si>
  <si>
    <t>T[10]</t>
  </si>
  <si>
    <t>T[11]</t>
  </si>
  <si>
    <t>T[12]</t>
  </si>
  <si>
    <t>B[0]</t>
  </si>
  <si>
    <t>B[1]</t>
  </si>
  <si>
    <t>B[3]</t>
    <phoneticPr fontId="1" type="noConversion"/>
  </si>
  <si>
    <t>B[2]</t>
    <phoneticPr fontId="1" type="noConversion"/>
  </si>
  <si>
    <t>T[14]</t>
    <phoneticPr fontId="1" type="noConversion"/>
  </si>
  <si>
    <t>T[13]</t>
    <phoneticPr fontId="1" type="noConversion"/>
  </si>
  <si>
    <t>Wnnand8</t>
    <phoneticPr fontId="1" type="noConversion"/>
  </si>
  <si>
    <t>Wpnand8</t>
    <phoneticPr fontId="1" type="noConversion"/>
  </si>
  <si>
    <t>Wnnand4</t>
    <phoneticPr fontId="1" type="noConversion"/>
  </si>
  <si>
    <t>Wpnand4</t>
    <phoneticPr fontId="1" type="noConversion"/>
  </si>
  <si>
    <t>Wnnand2</t>
    <phoneticPr fontId="1" type="noConversion"/>
  </si>
  <si>
    <t>Wpnand2</t>
    <phoneticPr fontId="1" type="noConversion"/>
  </si>
  <si>
    <t>Wpinv</t>
    <phoneticPr fontId="1" type="noConversion"/>
  </si>
  <si>
    <t>Wninv</t>
    <phoneticPr fontId="1" type="noConversion"/>
  </si>
  <si>
    <t>Wninv1</t>
    <phoneticPr fontId="1" type="noConversion"/>
  </si>
  <si>
    <t>Wpinv1</t>
    <phoneticPr fontId="1" type="noConversion"/>
  </si>
  <si>
    <t>Wninv2</t>
    <phoneticPr fontId="1" type="noConversion"/>
  </si>
  <si>
    <t>Wpinv2</t>
    <phoneticPr fontId="1" type="noConversion"/>
  </si>
  <si>
    <t>Wninv3</t>
    <phoneticPr fontId="1" type="noConversion"/>
  </si>
  <si>
    <t>Wpinv3</t>
    <phoneticPr fontId="1" type="noConversion"/>
  </si>
  <si>
    <t>path0</t>
  </si>
  <si>
    <t>Wninv71</t>
    <phoneticPr fontId="1" type="noConversion"/>
  </si>
  <si>
    <t>Wpinv71</t>
    <phoneticPr fontId="1" type="noConversion"/>
  </si>
  <si>
    <t>Wninv72</t>
    <phoneticPr fontId="1" type="noConversion"/>
  </si>
  <si>
    <t>Wpinv72</t>
    <phoneticPr fontId="1" type="noConversion"/>
  </si>
  <si>
    <t>Wninv75</t>
    <phoneticPr fontId="1" type="noConversion"/>
  </si>
  <si>
    <t>Wpinv75</t>
    <phoneticPr fontId="1" type="noConversion"/>
  </si>
  <si>
    <t>Wninv76</t>
    <phoneticPr fontId="1" type="noConversion"/>
  </si>
  <si>
    <t>Wpinv76</t>
    <phoneticPr fontId="1" type="noConversion"/>
  </si>
  <si>
    <t>Wninv0</t>
    <phoneticPr fontId="1" type="noConversion"/>
  </si>
  <si>
    <t>Wpinv0</t>
    <phoneticPr fontId="1" type="noConversion"/>
  </si>
  <si>
    <t xml:space="preserve">  </t>
    <phoneticPr fontId="1" type="noConversion"/>
  </si>
  <si>
    <t>path1-1</t>
    <phoneticPr fontId="1" type="noConversion"/>
  </si>
  <si>
    <t>Wninv73</t>
    <phoneticPr fontId="1" type="noConversion"/>
  </si>
  <si>
    <t>Wpinv73</t>
    <phoneticPr fontId="1" type="noConversion"/>
  </si>
  <si>
    <t>Wninv74</t>
    <phoneticPr fontId="1" type="noConversion"/>
  </si>
  <si>
    <t>Wpinv74</t>
    <phoneticPr fontId="1" type="noConversion"/>
  </si>
  <si>
    <t>path3-1</t>
    <phoneticPr fontId="1" type="noConversion"/>
  </si>
  <si>
    <t>path2-1</t>
    <phoneticPr fontId="1" type="noConversion"/>
  </si>
  <si>
    <t>net72</t>
    <phoneticPr fontId="1" type="noConversion"/>
  </si>
  <si>
    <t>T[7]</t>
    <phoneticPr fontId="1" type="noConversion"/>
  </si>
  <si>
    <t>Wnnand2</t>
    <phoneticPr fontId="1" type="noConversion"/>
  </si>
  <si>
    <t>Wpnand2</t>
    <phoneticPr fontId="1" type="noConversion"/>
  </si>
  <si>
    <t>nd8in</t>
    <phoneticPr fontId="1" type="noConversion"/>
  </si>
  <si>
    <t>Wninv142</t>
    <phoneticPr fontId="1" type="noConversion"/>
  </si>
  <si>
    <t>Wpinv142</t>
    <phoneticPr fontId="1" type="noConversion"/>
  </si>
  <si>
    <t>path0</t>
    <phoneticPr fontId="1" type="noConversion"/>
  </si>
  <si>
    <t>path1</t>
    <phoneticPr fontId="1" type="noConversion"/>
  </si>
  <si>
    <t>nd4in</t>
    <phoneticPr fontId="1" type="noConversion"/>
  </si>
  <si>
    <t>Size(inv71)</t>
    <phoneticPr fontId="1" type="noConversion"/>
  </si>
  <si>
    <t>Size(inv72)</t>
    <phoneticPr fontId="1" type="noConversion"/>
  </si>
  <si>
    <t>Size(nand2)</t>
  </si>
  <si>
    <t>Size(nand2)</t>
    <phoneticPr fontId="1" type="noConversion"/>
  </si>
  <si>
    <t>Size(nand22)</t>
    <phoneticPr fontId="1" type="noConversion"/>
  </si>
  <si>
    <t>Size(nand4)</t>
    <phoneticPr fontId="1" type="noConversion"/>
  </si>
  <si>
    <t>Size(nand8)</t>
    <phoneticPr fontId="1" type="noConversion"/>
  </si>
  <si>
    <t>Size(invB01)</t>
    <phoneticPr fontId="1" type="noConversion"/>
  </si>
  <si>
    <t>Size(invB02)</t>
    <phoneticPr fontId="1" type="noConversion"/>
  </si>
  <si>
    <t>Size(inv73)</t>
    <phoneticPr fontId="1" type="noConversion"/>
  </si>
  <si>
    <t>Size(inv74)</t>
    <phoneticPr fontId="1" type="noConversion"/>
  </si>
  <si>
    <t>Size(inv75)</t>
    <phoneticPr fontId="1" type="noConversion"/>
  </si>
  <si>
    <t>Size(inv1)</t>
    <phoneticPr fontId="1" type="noConversion"/>
  </si>
  <si>
    <t>Size(inv2)</t>
    <phoneticPr fontId="1" type="noConversion"/>
  </si>
  <si>
    <t>Transition</t>
  </si>
  <si>
    <t>Delay</t>
  </si>
  <si>
    <t>0 to 1</t>
  </si>
  <si>
    <t>15 to 14</t>
  </si>
  <si>
    <t>1 to 2</t>
  </si>
  <si>
    <t>14 to 13</t>
  </si>
  <si>
    <t>2 to 3</t>
  </si>
  <si>
    <t>13 to 12</t>
  </si>
  <si>
    <t>3 to 4</t>
  </si>
  <si>
    <t>12 to 11</t>
  </si>
  <si>
    <t>4 to 5</t>
  </si>
  <si>
    <t>11 to 10</t>
  </si>
  <si>
    <t>5 to 6</t>
  </si>
  <si>
    <t>10 to 9</t>
  </si>
  <si>
    <t>6 to 7</t>
  </si>
  <si>
    <t>9 to 8</t>
  </si>
  <si>
    <t>7 to 8</t>
  </si>
  <si>
    <t>8 to 7</t>
  </si>
  <si>
    <t>8 to 9</t>
  </si>
  <si>
    <t>7 to 6</t>
  </si>
  <si>
    <t>9 to 10</t>
  </si>
  <si>
    <t>6 to 5</t>
  </si>
  <si>
    <t>10 to 11</t>
  </si>
  <si>
    <t>5 to 4</t>
  </si>
  <si>
    <t>11 to 12</t>
  </si>
  <si>
    <t>4 to 3</t>
  </si>
  <si>
    <t>12 to 13</t>
  </si>
  <si>
    <t>3 to 2</t>
  </si>
  <si>
    <t>13 to 14</t>
  </si>
  <si>
    <t>2 to 1</t>
  </si>
  <si>
    <t>14 to 15</t>
  </si>
  <si>
    <t>1 to 0</t>
  </si>
  <si>
    <t>CL</t>
    <phoneticPr fontId="1" type="noConversion"/>
  </si>
  <si>
    <t>f1+p1</t>
    <phoneticPr fontId="1" type="noConversion"/>
  </si>
  <si>
    <t>inv72</t>
  </si>
  <si>
    <t>nand22</t>
    <phoneticPr fontId="1" type="noConversion"/>
  </si>
  <si>
    <t>nand2</t>
    <phoneticPr fontId="1" type="noConversion"/>
  </si>
  <si>
    <t>nand4</t>
  </si>
  <si>
    <t>nand8</t>
  </si>
  <si>
    <t>invB01</t>
    <phoneticPr fontId="1" type="noConversion"/>
  </si>
  <si>
    <t>invB02</t>
    <phoneticPr fontId="1" type="noConversion"/>
  </si>
  <si>
    <t>inv71</t>
    <phoneticPr fontId="1" type="noConversion"/>
  </si>
  <si>
    <t>Cin</t>
    <phoneticPr fontId="1" type="noConversion"/>
  </si>
  <si>
    <t>inv</t>
    <phoneticPr fontId="1" type="noConversion"/>
  </si>
  <si>
    <t>nand2</t>
    <phoneticPr fontId="1" type="noConversion"/>
  </si>
  <si>
    <t>nand4</t>
    <phoneticPr fontId="1" type="noConversion"/>
  </si>
  <si>
    <t>nand8</t>
    <phoneticPr fontId="1" type="noConversion"/>
  </si>
  <si>
    <t>Ct7</t>
    <phoneticPr fontId="1" type="noConversion"/>
  </si>
  <si>
    <t>Cinv7</t>
    <phoneticPr fontId="1" type="noConversion"/>
  </si>
  <si>
    <t>inv72</t>
    <phoneticPr fontId="1" type="noConversion"/>
  </si>
  <si>
    <t>inv74</t>
    <phoneticPr fontId="1" type="noConversion"/>
  </si>
  <si>
    <t>inv73</t>
    <phoneticPr fontId="1" type="noConversion"/>
  </si>
  <si>
    <t>inv75</t>
  </si>
  <si>
    <t>Wnnand22</t>
    <phoneticPr fontId="1" type="noConversion"/>
  </si>
  <si>
    <t>Wpnand22</t>
    <phoneticPr fontId="1" type="noConversion"/>
  </si>
  <si>
    <t>inv70</t>
    <phoneticPr fontId="1" type="noConversion"/>
  </si>
  <si>
    <t>gunitinv</t>
    <phoneticPr fontId="1" type="noConversion"/>
  </si>
  <si>
    <t>punitinv</t>
    <phoneticPr fontId="1" type="noConversion"/>
  </si>
  <si>
    <t>Cinv0</t>
    <phoneticPr fontId="1" type="noConversion"/>
  </si>
  <si>
    <t>Cinv1</t>
    <phoneticPr fontId="1" type="noConversion"/>
  </si>
  <si>
    <t>Cinv1gtot</t>
    <phoneticPr fontId="1" type="noConversion"/>
  </si>
  <si>
    <t>Vin</t>
    <phoneticPr fontId="1" type="noConversion"/>
  </si>
  <si>
    <t>Cpath1in</t>
    <phoneticPr fontId="1" type="noConversion"/>
  </si>
  <si>
    <t>Cpath2in</t>
    <phoneticPr fontId="1" type="noConversion"/>
  </si>
  <si>
    <t>Cpath3in(CT7in)</t>
    <phoneticPr fontId="1" type="noConversion"/>
  </si>
  <si>
    <t>Size(inv71)</t>
  </si>
  <si>
    <t>Size(inv72)</t>
  </si>
  <si>
    <t>inv73</t>
  </si>
  <si>
    <t>Size(nand22)</t>
  </si>
  <si>
    <t>inv74</t>
  </si>
  <si>
    <t>Size(nand4)</t>
  </si>
  <si>
    <t>Size(nand8)</t>
  </si>
  <si>
    <t>Size(invB01)</t>
  </si>
  <si>
    <t>Size(invB02)</t>
  </si>
  <si>
    <t>Cunitinv</t>
    <phoneticPr fontId="1" type="noConversion"/>
  </si>
  <si>
    <t>NAND2</t>
    <phoneticPr fontId="1" type="noConversion"/>
  </si>
  <si>
    <t>NAND4</t>
    <phoneticPr fontId="1" type="noConversion"/>
  </si>
  <si>
    <t>NAND8</t>
    <phoneticPr fontId="1" type="noConversion"/>
  </si>
  <si>
    <t>Design item</t>
  </si>
  <si>
    <t>Your Design</t>
  </si>
  <si>
    <t>Power Supply</t>
  </si>
  <si>
    <t>Max. Delay at TT corner (Pre-sim)</t>
  </si>
  <si>
    <t>Max. Delay at TT corner (Post-sim)</t>
  </si>
  <si>
    <t>Total Power consumption at TT corner (Post-sim)</t>
  </si>
  <si>
    <t>Layout Area</t>
  </si>
  <si>
    <t>Layout Aspect Ratio</t>
  </si>
  <si>
    <t>Figure of Merit (FoM)</t>
  </si>
  <si>
    <t>Power</t>
    <phoneticPr fontId="1" type="noConversion"/>
  </si>
  <si>
    <t>FF</t>
    <phoneticPr fontId="1" type="noConversion"/>
  </si>
  <si>
    <t>SS</t>
    <phoneticPr fontId="1" type="noConversion"/>
  </si>
  <si>
    <t>FS</t>
    <phoneticPr fontId="1" type="noConversion"/>
  </si>
  <si>
    <t>SF</t>
    <phoneticPr fontId="1" type="noConversion"/>
  </si>
  <si>
    <t>post</t>
    <phoneticPr fontId="1" type="noConversion"/>
  </si>
  <si>
    <t>pre</t>
    <phoneticPr fontId="1" type="noConversion"/>
  </si>
  <si>
    <t>第一級</t>
    <phoneticPr fontId="1" type="noConversion"/>
  </si>
  <si>
    <t>g</t>
    <phoneticPr fontId="1" type="noConversion"/>
  </si>
  <si>
    <t>h</t>
    <phoneticPr fontId="1" type="noConversion"/>
  </si>
  <si>
    <t>f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</si>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</sst>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_);[Red]\(0.000\)"/>
  </numFmts>
  <fonts count="1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color theme="5" tint="-0.249977111117893"/>
      <name val="新細明體"/>
      <family val="2"/>
      <scheme val="minor"/>
    </font>
    <font>
      <sz val="11"/>
      <color theme="5" tint="-0.249977111117893"/>
      <name val="新細明體"/>
      <family val="1"/>
      <charset val="136"/>
      <scheme val="minor"/>
    </font>
    <font>
      <sz val="11"/>
      <color theme="7" tint="-0.249977111117893"/>
      <name val="新細明體"/>
      <family val="2"/>
      <scheme val="minor"/>
    </font>
    <font>
      <sz val="11"/>
      <color theme="7" tint="-0.249977111117893"/>
      <name val="新細明體"/>
      <family val="1"/>
      <charset val="136"/>
      <scheme val="minor"/>
    </font>
    <font>
      <sz val="11"/>
      <color theme="8" tint="-0.249977111117893"/>
      <name val="新細明體"/>
      <family val="2"/>
      <scheme val="minor"/>
    </font>
    <font>
      <sz val="11"/>
      <color theme="8" tint="-0.249977111117893"/>
      <name val="新細明體"/>
      <family val="1"/>
      <charset val="136"/>
      <scheme val="minor"/>
    </font>
    <font>
      <sz val="11"/>
      <color theme="9" tint="-0.249977111117893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name val="新細明體"/>
      <family val="2"/>
      <scheme val="minor"/>
    </font>
    <font>
      <sz val="12"/>
      <color theme="1"/>
      <name val="Arial"/>
      <family val="2"/>
    </font>
    <font>
      <sz val="12"/>
      <color rgb="FF5B0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11" fontId="0" fillId="0" borderId="0" xfId="0" applyNumberFormat="1"/>
    <xf numFmtId="176" fontId="0" fillId="0" borderId="0" xfId="0" applyNumberFormat="1"/>
    <xf numFmtId="176" fontId="2" fillId="0" borderId="0" xfId="0" applyNumberFormat="1" applyFont="1"/>
    <xf numFmtId="176" fontId="3" fillId="0" borderId="0" xfId="0" applyNumberFormat="1" applyFont="1"/>
    <xf numFmtId="176" fontId="4" fillId="0" borderId="0" xfId="0" applyNumberFormat="1" applyFont="1"/>
    <xf numFmtId="176" fontId="6" fillId="0" borderId="0" xfId="0" applyNumberFormat="1" applyFont="1"/>
    <xf numFmtId="176" fontId="7" fillId="0" borderId="0" xfId="0" applyNumberFormat="1" applyFont="1"/>
    <xf numFmtId="176" fontId="9" fillId="0" borderId="0" xfId="0" applyNumberFormat="1" applyFont="1"/>
    <xf numFmtId="176" fontId="8" fillId="0" borderId="0" xfId="0" applyNumberFormat="1" applyFont="1"/>
    <xf numFmtId="176" fontId="5" fillId="0" borderId="0" xfId="0" applyNumberFormat="1" applyFont="1"/>
    <xf numFmtId="0" fontId="0" fillId="0" borderId="0" xfId="0" applyAlignment="1">
      <alignment vertical="center" wrapText="1"/>
    </xf>
    <xf numFmtId="176" fontId="11" fillId="0" borderId="0" xfId="0" applyNumberFormat="1" applyFont="1"/>
    <xf numFmtId="176" fontId="10" fillId="0" borderId="0" xfId="0" applyNumberFormat="1" applyFont="1"/>
    <xf numFmtId="177" fontId="0" fillId="0" borderId="0" xfId="0" applyNumberFormat="1"/>
    <xf numFmtId="177" fontId="10" fillId="0" borderId="0" xfId="0" applyNumberFormat="1" applyFont="1"/>
    <xf numFmtId="177" fontId="2" fillId="0" borderId="0" xfId="0" applyNumberFormat="1" applyFont="1"/>
    <xf numFmtId="177" fontId="11" fillId="0" borderId="0" xfId="0" applyNumberFormat="1" applyFont="1"/>
    <xf numFmtId="177" fontId="3" fillId="0" borderId="0" xfId="0" applyNumberFormat="1" applyFont="1"/>
    <xf numFmtId="177" fontId="4" fillId="0" borderId="0" xfId="0" applyNumberFormat="1" applyFont="1"/>
    <xf numFmtId="177" fontId="6" fillId="0" borderId="0" xfId="0" applyNumberFormat="1" applyFont="1"/>
    <xf numFmtId="177" fontId="7" fillId="0" borderId="0" xfId="0" applyNumberFormat="1" applyFont="1"/>
    <xf numFmtId="177" fontId="9" fillId="0" borderId="0" xfId="0" applyNumberFormat="1" applyFont="1"/>
    <xf numFmtId="177" fontId="8" fillId="0" borderId="0" xfId="0" applyNumberFormat="1" applyFont="1"/>
    <xf numFmtId="177" fontId="5" fillId="0" borderId="0" xfId="0" applyNumberFormat="1" applyFont="1"/>
    <xf numFmtId="177" fontId="10" fillId="0" borderId="0" xfId="0" applyNumberFormat="1" applyFont="1" applyAlignment="1">
      <alignment horizontal="center" vertical="center" wrapText="1"/>
    </xf>
    <xf numFmtId="177" fontId="0" fillId="0" borderId="0" xfId="0" applyNumberFormat="1" applyAlignment="1">
      <alignment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177" fontId="13" fillId="2" borderId="2" xfId="0" applyNumberFormat="1" applyFont="1" applyFill="1" applyBorder="1" applyAlignment="1">
      <alignment horizontal="center" vertical="center" wrapText="1"/>
    </xf>
    <xf numFmtId="177" fontId="12" fillId="2" borderId="2" xfId="0" applyNumberFormat="1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195964</xdr:colOff>
      <xdr:row>4</xdr:row>
      <xdr:rowOff>25400</xdr:rowOff>
    </xdr:from>
    <xdr:to>
      <xdr:col>19</xdr:col>
      <xdr:colOff>340748</xdr:colOff>
      <xdr:row>8</xdr:row>
      <xdr:rowOff>31749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C10719C6-6A08-16FC-48FB-4ED754028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5914" y="762000"/>
          <a:ext cx="5389884" cy="742949"/>
        </a:xfrm>
        <a:prstGeom prst="rect">
          <a:avLst/>
        </a:prstGeom>
      </xdr:spPr>
    </xdr:pic>
    <xdr:clientData/>
  </xdr:twoCellAnchor>
  <xdr:twoCellAnchor editAs="oneCell">
    <xdr:from>
      <xdr:col>18</xdr:col>
      <xdr:colOff>361950</xdr:colOff>
      <xdr:row>23</xdr:row>
      <xdr:rowOff>152300</xdr:rowOff>
    </xdr:from>
    <xdr:to>
      <xdr:col>23</xdr:col>
      <xdr:colOff>551386</xdr:colOff>
      <xdr:row>34</xdr:row>
      <xdr:rowOff>114300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9AA2C688-CE0A-585D-6353-5F9C86252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68200" y="4387750"/>
          <a:ext cx="2983436" cy="1987650"/>
        </a:xfrm>
        <a:prstGeom prst="rect">
          <a:avLst/>
        </a:prstGeom>
      </xdr:spPr>
    </xdr:pic>
    <xdr:clientData/>
  </xdr:twoCellAnchor>
  <xdr:twoCellAnchor editAs="oneCell">
    <xdr:from>
      <xdr:col>20</xdr:col>
      <xdr:colOff>279401</xdr:colOff>
      <xdr:row>10</xdr:row>
      <xdr:rowOff>114300</xdr:rowOff>
    </xdr:from>
    <xdr:to>
      <xdr:col>26</xdr:col>
      <xdr:colOff>171450</xdr:colOff>
      <xdr:row>22</xdr:row>
      <xdr:rowOff>77656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4B13687F-4242-BA03-BC54-FAC720A90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03251" y="1955800"/>
          <a:ext cx="3244849" cy="2173156"/>
        </a:xfrm>
        <a:prstGeom prst="rect">
          <a:avLst/>
        </a:prstGeom>
      </xdr:spPr>
    </xdr:pic>
    <xdr:clientData/>
  </xdr:twoCellAnchor>
  <xdr:twoCellAnchor editAs="oneCell">
    <xdr:from>
      <xdr:col>20</xdr:col>
      <xdr:colOff>266700</xdr:colOff>
      <xdr:row>19</xdr:row>
      <xdr:rowOff>63500</xdr:rowOff>
    </xdr:from>
    <xdr:to>
      <xdr:col>22</xdr:col>
      <xdr:colOff>501839</xdr:colOff>
      <xdr:row>45</xdr:row>
      <xdr:rowOff>153081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338D5815-6C65-DE6C-F671-247293CF9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90550" y="3562350"/>
          <a:ext cx="1352739" cy="4877481"/>
        </a:xfrm>
        <a:prstGeom prst="rect">
          <a:avLst/>
        </a:prstGeom>
      </xdr:spPr>
    </xdr:pic>
    <xdr:clientData/>
  </xdr:twoCellAnchor>
  <xdr:twoCellAnchor editAs="oneCell">
    <xdr:from>
      <xdr:col>17</xdr:col>
      <xdr:colOff>82550</xdr:colOff>
      <xdr:row>17</xdr:row>
      <xdr:rowOff>19050</xdr:rowOff>
    </xdr:from>
    <xdr:to>
      <xdr:col>21</xdr:col>
      <xdr:colOff>84129</xdr:colOff>
      <xdr:row>43</xdr:row>
      <xdr:rowOff>105460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47F85A9-2D3C-4F1A-EA5C-4221279F3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23650" y="3149600"/>
          <a:ext cx="2243129" cy="48743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189614</xdr:colOff>
      <xdr:row>2</xdr:row>
      <xdr:rowOff>82550</xdr:rowOff>
    </xdr:from>
    <xdr:to>
      <xdr:col>26</xdr:col>
      <xdr:colOff>16898</xdr:colOff>
      <xdr:row>6</xdr:row>
      <xdr:rowOff>88899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496BF09-DDC7-48CC-A650-A94981710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03664" y="450850"/>
          <a:ext cx="5389884" cy="742949"/>
        </a:xfrm>
        <a:prstGeom prst="rect">
          <a:avLst/>
        </a:prstGeom>
      </xdr:spPr>
    </xdr:pic>
    <xdr:clientData/>
  </xdr:twoCellAnchor>
  <xdr:twoCellAnchor editAs="oneCell">
    <xdr:from>
      <xdr:col>19</xdr:col>
      <xdr:colOff>508000</xdr:colOff>
      <xdr:row>10</xdr:row>
      <xdr:rowOff>120550</xdr:rowOff>
    </xdr:from>
    <xdr:to>
      <xdr:col>23</xdr:col>
      <xdr:colOff>461387</xdr:colOff>
      <xdr:row>18</xdr:row>
      <xdr:rowOff>105449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26870017-ADDC-41B2-9538-33A6BF358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73050" y="1962050"/>
          <a:ext cx="2188587" cy="1458099"/>
        </a:xfrm>
        <a:prstGeom prst="rect">
          <a:avLst/>
        </a:prstGeom>
      </xdr:spPr>
    </xdr:pic>
    <xdr:clientData/>
  </xdr:twoCellAnchor>
  <xdr:twoCellAnchor editAs="oneCell">
    <xdr:from>
      <xdr:col>21</xdr:col>
      <xdr:colOff>6351</xdr:colOff>
      <xdr:row>4</xdr:row>
      <xdr:rowOff>95250</xdr:rowOff>
    </xdr:from>
    <xdr:to>
      <xdr:col>24</xdr:col>
      <xdr:colOff>412750</xdr:colOff>
      <xdr:row>12</xdr:row>
      <xdr:rowOff>16952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C3744FD7-EB80-4285-8EDE-BD75C91C3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89001" y="831850"/>
          <a:ext cx="2082799" cy="1394902"/>
        </a:xfrm>
        <a:prstGeom prst="rect">
          <a:avLst/>
        </a:prstGeom>
      </xdr:spPr>
    </xdr:pic>
    <xdr:clientData/>
  </xdr:twoCellAnchor>
  <xdr:twoCellAnchor editAs="oneCell">
    <xdr:from>
      <xdr:col>24</xdr:col>
      <xdr:colOff>368300</xdr:colOff>
      <xdr:row>16</xdr:row>
      <xdr:rowOff>107950</xdr:rowOff>
    </xdr:from>
    <xdr:to>
      <xdr:col>27</xdr:col>
      <xdr:colOff>44639</xdr:colOff>
      <xdr:row>43</xdr:row>
      <xdr:rowOff>13381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5962C447-56F6-45B4-A92A-2E26FDB4C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627350" y="3054350"/>
          <a:ext cx="1352739" cy="4877481"/>
        </a:xfrm>
        <a:prstGeom prst="rect">
          <a:avLst/>
        </a:prstGeom>
      </xdr:spPr>
    </xdr:pic>
    <xdr:clientData/>
  </xdr:twoCellAnchor>
  <xdr:twoCellAnchor editAs="oneCell">
    <xdr:from>
      <xdr:col>21</xdr:col>
      <xdr:colOff>215900</xdr:colOff>
      <xdr:row>16</xdr:row>
      <xdr:rowOff>38100</xdr:rowOff>
    </xdr:from>
    <xdr:to>
      <xdr:col>25</xdr:col>
      <xdr:colOff>223829</xdr:colOff>
      <xdr:row>42</xdr:row>
      <xdr:rowOff>124510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B7DE4D27-4B4B-456A-9513-079EC0875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798550" y="2984500"/>
          <a:ext cx="2243129" cy="48743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"/>
  <sheetViews>
    <sheetView workbookViewId="0">
      <selection activeCell="M70" sqref="M70"/>
    </sheetView>
  </sheetViews>
  <sheetFormatPr defaultRowHeight="14.5" x14ac:dyDescent="0.3"/>
  <cols>
    <col min="1" max="1" width="8.796875" style="2"/>
    <col min="2" max="2" width="11.3984375" style="2" customWidth="1"/>
    <col min="3" max="3" width="9.5" style="2" customWidth="1"/>
    <col min="4" max="4" width="8.796875" style="2"/>
    <col min="5" max="5" width="9.59765625" style="2" customWidth="1"/>
    <col min="6" max="6" width="10.5" style="2" customWidth="1"/>
    <col min="7" max="7" width="12.19921875" style="2" customWidth="1"/>
    <col min="8" max="8" width="11.09765625" style="2" customWidth="1"/>
    <col min="9" max="9" width="10.69921875" style="2" customWidth="1"/>
    <col min="10" max="10" width="12" style="2" customWidth="1"/>
    <col min="11" max="11" width="9.09765625" style="2" customWidth="1"/>
    <col min="12" max="12" width="15.3984375" style="2" customWidth="1"/>
    <col min="13" max="13" width="10.5" style="2" customWidth="1"/>
    <col min="14" max="14" width="9.296875" style="2" customWidth="1"/>
    <col min="15" max="15" width="9.5" style="2" customWidth="1"/>
    <col min="16" max="16" width="11.8984375" style="2" customWidth="1"/>
    <col min="17" max="17" width="8.296875" style="2" customWidth="1"/>
    <col min="18" max="18" width="8.8984375" style="2" customWidth="1"/>
    <col min="19" max="16384" width="8.796875" style="2"/>
  </cols>
  <sheetData>
    <row r="1" spans="2:13" x14ac:dyDescent="0.3">
      <c r="B1" s="2" t="s">
        <v>171</v>
      </c>
      <c r="C1" s="2">
        <v>0.9</v>
      </c>
      <c r="E1" s="2" t="s">
        <v>166</v>
      </c>
      <c r="F1" s="2">
        <f>2/0.968</f>
        <v>2.0661157024793391</v>
      </c>
      <c r="G1" s="2" t="s">
        <v>167</v>
      </c>
      <c r="H1" s="2">
        <f>2/1.033</f>
        <v>1.9361084220716362</v>
      </c>
      <c r="I1" s="2" t="s">
        <v>1</v>
      </c>
    </row>
    <row r="2" spans="2:13" x14ac:dyDescent="0.3">
      <c r="B2" s="2" t="s">
        <v>142</v>
      </c>
      <c r="C2" s="2">
        <f>0.0000000000015</f>
        <v>1.5000000000000001E-12</v>
      </c>
      <c r="E2" s="2" t="s">
        <v>5</v>
      </c>
      <c r="F2" s="2">
        <v>0.96799999999999997</v>
      </c>
      <c r="G2" s="2" t="s">
        <v>53</v>
      </c>
      <c r="H2" s="2">
        <v>4</v>
      </c>
      <c r="I2" s="2" t="s">
        <v>153</v>
      </c>
      <c r="J2" s="2">
        <v>2</v>
      </c>
      <c r="K2" s="2">
        <f>C8</f>
        <v>3.7803999999999997E-15</v>
      </c>
      <c r="L2" s="2" t="s">
        <v>172</v>
      </c>
      <c r="M2" s="2">
        <f>0.0000000000000164092</f>
        <v>1.6409199999999999E-14</v>
      </c>
    </row>
    <row r="3" spans="2:13" x14ac:dyDescent="0.3">
      <c r="B3" s="2" t="s">
        <v>1</v>
      </c>
      <c r="C3" s="2">
        <f>C8</f>
        <v>3.7803999999999997E-15</v>
      </c>
      <c r="E3" s="2" t="s">
        <v>6</v>
      </c>
      <c r="F3" s="2">
        <f>(H6+H7)/F1</f>
        <v>1.21</v>
      </c>
      <c r="G3" s="2" t="s">
        <v>54</v>
      </c>
      <c r="H3" s="2">
        <v>1.5</v>
      </c>
      <c r="I3" s="2" t="s">
        <v>146</v>
      </c>
      <c r="J3" s="2">
        <v>2.5</v>
      </c>
      <c r="L3" s="2" t="s">
        <v>173</v>
      </c>
      <c r="M3" s="2">
        <f>M2</f>
        <v>1.6409199999999999E-14</v>
      </c>
    </row>
    <row r="4" spans="2:13" x14ac:dyDescent="0.3">
      <c r="B4" s="2" t="s">
        <v>2</v>
      </c>
      <c r="C4" s="2">
        <f>C2/C3</f>
        <v>396.7834091630516</v>
      </c>
      <c r="E4" s="2" t="s">
        <v>7</v>
      </c>
      <c r="F4" s="2">
        <f>(H4+H5)/F1</f>
        <v>1.6939999999999997</v>
      </c>
      <c r="G4" s="2" t="s">
        <v>55</v>
      </c>
      <c r="H4" s="2">
        <v>2</v>
      </c>
      <c r="I4" s="2" t="s">
        <v>155</v>
      </c>
      <c r="J4" s="2">
        <v>3.5</v>
      </c>
      <c r="L4" s="2" t="s">
        <v>174</v>
      </c>
      <c r="M4" s="2">
        <f>0.0000000000000117599</f>
        <v>1.1759899999999999E-14</v>
      </c>
    </row>
    <row r="5" spans="2:13" x14ac:dyDescent="0.3">
      <c r="B5" s="2" t="s">
        <v>143</v>
      </c>
      <c r="C5" s="2">
        <f>F2*1+F6*1</f>
        <v>2.0009999999999999</v>
      </c>
      <c r="E5" s="2" t="s">
        <v>8</v>
      </c>
      <c r="F5" s="2">
        <f>(H2+H3)/F1</f>
        <v>2.6619999999999999</v>
      </c>
      <c r="G5" s="2" t="s">
        <v>56</v>
      </c>
      <c r="H5" s="2">
        <v>1.5</v>
      </c>
      <c r="I5" s="2" t="s">
        <v>156</v>
      </c>
      <c r="J5" s="2">
        <v>5.5</v>
      </c>
    </row>
    <row r="6" spans="2:13" x14ac:dyDescent="0.3">
      <c r="B6" s="2" t="s">
        <v>158</v>
      </c>
      <c r="C6" s="2">
        <f>0.0000000000001102951</f>
        <v>1.1029510000000001E-13</v>
      </c>
      <c r="E6" s="2" t="s">
        <v>29</v>
      </c>
      <c r="F6" s="2">
        <v>1.0329999999999999</v>
      </c>
      <c r="G6" s="2" t="s">
        <v>57</v>
      </c>
      <c r="H6" s="2">
        <v>1</v>
      </c>
    </row>
    <row r="7" spans="2:13" x14ac:dyDescent="0.3">
      <c r="B7" s="2" t="s">
        <v>157</v>
      </c>
      <c r="C7" s="2">
        <f>0.0000000000000298947</f>
        <v>2.9894699999999999E-14</v>
      </c>
      <c r="E7" s="2" t="s">
        <v>30</v>
      </c>
      <c r="F7" s="2">
        <f>(H7*2+H6)/H1</f>
        <v>2.0659999999999998</v>
      </c>
      <c r="G7" s="2" t="s">
        <v>58</v>
      </c>
      <c r="H7" s="2">
        <v>1.5</v>
      </c>
      <c r="J7" s="1">
        <f>P39*K2/J2</f>
        <v>1.7216601497134076E-14</v>
      </c>
    </row>
    <row r="8" spans="2:13" x14ac:dyDescent="0.3">
      <c r="B8" s="13" t="s">
        <v>168</v>
      </c>
      <c r="C8" s="2">
        <f>0.0000000000000037804</f>
        <v>3.7803999999999997E-15</v>
      </c>
      <c r="E8" s="2" t="s">
        <v>31</v>
      </c>
      <c r="F8" s="2">
        <f>(H5*4+H4)/H1</f>
        <v>4.1319999999999997</v>
      </c>
      <c r="G8" s="2" t="s">
        <v>60</v>
      </c>
      <c r="H8" s="2">
        <v>0.5</v>
      </c>
    </row>
    <row r="9" spans="2:13" x14ac:dyDescent="0.3">
      <c r="B9" s="2" t="s">
        <v>169</v>
      </c>
      <c r="C9" s="2">
        <f>0.0000000000000066993</f>
        <v>6.6992999999999998E-15</v>
      </c>
      <c r="E9" s="2" t="s">
        <v>32</v>
      </c>
      <c r="F9" s="2">
        <f>(H3*8+H2)/H1</f>
        <v>8.2639999999999993</v>
      </c>
      <c r="G9" s="2" t="s">
        <v>59</v>
      </c>
      <c r="H9" s="2">
        <v>1.5</v>
      </c>
    </row>
    <row r="10" spans="2:13" x14ac:dyDescent="0.3">
      <c r="B10" s="2" t="s">
        <v>169</v>
      </c>
      <c r="C10" s="2">
        <f>0.0000000000000081632</f>
        <v>8.1631999999999998E-15</v>
      </c>
      <c r="E10" s="2">
        <f>C2/(E39*K2/J2)</f>
        <v>95.379901564905211</v>
      </c>
      <c r="F10" s="2">
        <f>C2/(E39*K2/J2)</f>
        <v>95.379901564905211</v>
      </c>
      <c r="G10" s="2">
        <f>C2/(G38*K2/J2)</f>
        <v>95.379901564905211</v>
      </c>
    </row>
    <row r="11" spans="2:13" customFormat="1" x14ac:dyDescent="0.3">
      <c r="B11" s="2" t="s">
        <v>170</v>
      </c>
      <c r="C11" s="1">
        <f>(3.3631+0.83)*10^(-15)</f>
        <v>4.1931000000000002E-15</v>
      </c>
      <c r="E11">
        <f>C2/M2</f>
        <v>91.412134656168504</v>
      </c>
      <c r="F11">
        <f>C2/M3</f>
        <v>91.412134656168504</v>
      </c>
      <c r="G11">
        <f>C2/M4</f>
        <v>127.55210503490677</v>
      </c>
    </row>
    <row r="12" spans="2:13" x14ac:dyDescent="0.3">
      <c r="B12">
        <v>7</v>
      </c>
      <c r="C12" t="s">
        <v>67</v>
      </c>
      <c r="D12"/>
      <c r="E12" t="s">
        <v>79</v>
      </c>
      <c r="F12" t="s">
        <v>85</v>
      </c>
      <c r="G12" t="s">
        <v>84</v>
      </c>
    </row>
    <row r="13" spans="2:13" x14ac:dyDescent="0.3">
      <c r="B13" s="2" t="s">
        <v>3</v>
      </c>
      <c r="C13" s="2">
        <v>4</v>
      </c>
      <c r="E13" s="2">
        <v>1</v>
      </c>
      <c r="F13" s="2">
        <v>1</v>
      </c>
      <c r="G13" s="2">
        <v>4</v>
      </c>
      <c r="I13" s="2">
        <f>(F3*3+F2)/F3</f>
        <v>3.8</v>
      </c>
      <c r="J13" s="2">
        <f>(F3*3+F2)/F2</f>
        <v>4.75</v>
      </c>
    </row>
    <row r="14" spans="2:13" x14ac:dyDescent="0.3">
      <c r="B14" s="2" t="s">
        <v>4</v>
      </c>
      <c r="C14" s="2">
        <f>F2^(C16-2)*F3*F5</f>
        <v>2.8281005788308269</v>
      </c>
      <c r="E14" s="2">
        <f>F2^(E16-2)*F3*F4</f>
        <v>1.9206555737599997</v>
      </c>
      <c r="F14" s="2">
        <f>F2^(F16-2)*F3*F3</f>
        <v>1.3718968383999999</v>
      </c>
      <c r="G14" s="2">
        <f>F2^G16</f>
        <v>0.87801397657599989</v>
      </c>
    </row>
    <row r="15" spans="2:13" x14ac:dyDescent="0.3">
      <c r="B15" s="2" t="s">
        <v>9</v>
      </c>
      <c r="C15" s="2">
        <f>$C$4*I13*C14</f>
        <v>4264.1448786730816</v>
      </c>
      <c r="E15" s="2">
        <f>E10*E13*E14</f>
        <v>183.19193956531532</v>
      </c>
      <c r="F15" s="2">
        <f>$F$10*F13*F14</f>
        <v>130.85138540379666</v>
      </c>
      <c r="G15" s="2">
        <f>G10*J13*G14</f>
        <v>397.78821162754184</v>
      </c>
    </row>
    <row r="16" spans="2:13" x14ac:dyDescent="0.3">
      <c r="B16" s="2" t="s">
        <v>11</v>
      </c>
      <c r="C16" s="2">
        <v>6</v>
      </c>
      <c r="E16" s="2">
        <v>4</v>
      </c>
      <c r="F16" s="2">
        <v>4</v>
      </c>
      <c r="G16" s="2">
        <v>4</v>
      </c>
    </row>
    <row r="17" spans="2:7" x14ac:dyDescent="0.3">
      <c r="B17" s="2" t="s">
        <v>12</v>
      </c>
      <c r="C17" s="2">
        <f>C15^(1/C16)</f>
        <v>4.0269106359736222</v>
      </c>
      <c r="E17" s="2">
        <f t="shared" ref="E17:F17" si="0">E15^(1/E16)</f>
        <v>3.6789729123360968</v>
      </c>
      <c r="F17" s="2">
        <f t="shared" si="0"/>
        <v>3.3821633670077462</v>
      </c>
      <c r="G17" s="2">
        <f>G15^(1/G16)</f>
        <v>4.4659409580740785</v>
      </c>
    </row>
    <row r="18" spans="2:7" x14ac:dyDescent="0.3">
      <c r="B18" s="2" t="s">
        <v>28</v>
      </c>
      <c r="C18" s="2">
        <f>F6*(C16-2)+F7+F9</f>
        <v>14.462</v>
      </c>
      <c r="E18" s="2">
        <f>F6*(E16-2)+F7+F8+F6</f>
        <v>9.2969999999999988</v>
      </c>
      <c r="F18" s="2">
        <f>F6*3+F7+F7</f>
        <v>7.230999999999999</v>
      </c>
      <c r="G18" s="2">
        <f>F6*G16</f>
        <v>4.1319999999999997</v>
      </c>
    </row>
    <row r="19" spans="2:7" x14ac:dyDescent="0.3">
      <c r="B19" s="2" t="s">
        <v>13</v>
      </c>
      <c r="C19" s="2">
        <f>F2</f>
        <v>0.96799999999999997</v>
      </c>
      <c r="E19" s="2">
        <f>F3</f>
        <v>1.21</v>
      </c>
      <c r="F19" s="2">
        <f>F3</f>
        <v>1.21</v>
      </c>
      <c r="G19" s="2">
        <v>0.96799999999999997</v>
      </c>
    </row>
    <row r="20" spans="2:7" x14ac:dyDescent="0.3">
      <c r="B20" s="2" t="s">
        <v>14</v>
      </c>
      <c r="C20" s="2">
        <f>C$17/C19</f>
        <v>4.1600316487330806</v>
      </c>
      <c r="E20" s="2">
        <f>E$17/E19</f>
        <v>3.0404734812695016</v>
      </c>
      <c r="F20" s="2">
        <f>F$17/F19</f>
        <v>2.7951763363700382</v>
      </c>
      <c r="G20" s="2">
        <f>G$17/G19</f>
        <v>4.6135753699112385</v>
      </c>
    </row>
    <row r="21" spans="2:7" x14ac:dyDescent="0.3">
      <c r="B21" s="2" t="s">
        <v>15</v>
      </c>
      <c r="C21" s="2">
        <f>F2</f>
        <v>0.96799999999999997</v>
      </c>
      <c r="E21" s="2">
        <f>F4</f>
        <v>1.6939999999999997</v>
      </c>
      <c r="F21" s="2">
        <f>F3</f>
        <v>1.21</v>
      </c>
      <c r="G21" s="2">
        <v>0.96799999999999997</v>
      </c>
    </row>
    <row r="22" spans="2:7" x14ac:dyDescent="0.3">
      <c r="B22" s="2" t="s">
        <v>16</v>
      </c>
      <c r="C22" s="2">
        <f>C$17/C21</f>
        <v>4.1600316487330806</v>
      </c>
      <c r="E22" s="2">
        <f>E$17/E21</f>
        <v>2.1717667723353586</v>
      </c>
      <c r="F22" s="2">
        <f>F$17/F21</f>
        <v>2.7951763363700382</v>
      </c>
      <c r="G22" s="2">
        <f>G$17/G21</f>
        <v>4.6135753699112385</v>
      </c>
    </row>
    <row r="23" spans="2:7" x14ac:dyDescent="0.3">
      <c r="B23" s="2" t="s">
        <v>17</v>
      </c>
      <c r="C23" s="2">
        <f>F3</f>
        <v>1.21</v>
      </c>
      <c r="E23" s="2">
        <v>0.96799999999999997</v>
      </c>
      <c r="F23" s="2">
        <v>0.96799999999999997</v>
      </c>
      <c r="G23" s="2">
        <v>0.96799999999999997</v>
      </c>
    </row>
    <row r="24" spans="2:7" x14ac:dyDescent="0.3">
      <c r="B24" s="2" t="s">
        <v>18</v>
      </c>
      <c r="C24" s="2">
        <f>C$17/C23</f>
        <v>3.3280253189864646</v>
      </c>
      <c r="E24" s="2">
        <f>E$17/E23</f>
        <v>3.8005918515868768</v>
      </c>
      <c r="F24" s="2">
        <f>F$17/F23</f>
        <v>3.4939704204625479</v>
      </c>
      <c r="G24" s="2">
        <f>G$17/G23</f>
        <v>4.6135753699112385</v>
      </c>
    </row>
    <row r="25" spans="2:7" x14ac:dyDescent="0.3">
      <c r="B25" s="2" t="s">
        <v>19</v>
      </c>
      <c r="C25" s="2">
        <f>F5</f>
        <v>2.6619999999999999</v>
      </c>
      <c r="E25" s="2">
        <v>0.96799999999999997</v>
      </c>
      <c r="F25" s="2">
        <v>0.96799999999999997</v>
      </c>
      <c r="G25" s="2">
        <v>0.96799999999999997</v>
      </c>
    </row>
    <row r="26" spans="2:7" x14ac:dyDescent="0.3">
      <c r="B26" s="2" t="s">
        <v>20</v>
      </c>
      <c r="C26" s="2">
        <f>C$17/C25</f>
        <v>1.512738781357484</v>
      </c>
      <c r="E26" s="2">
        <f>E$17/E25</f>
        <v>3.8005918515868768</v>
      </c>
      <c r="F26" s="2">
        <f>F$17/F25</f>
        <v>3.4939704204625479</v>
      </c>
      <c r="G26" s="2">
        <f>G$17/G25</f>
        <v>4.6135753699112385</v>
      </c>
    </row>
    <row r="27" spans="2:7" x14ac:dyDescent="0.3">
      <c r="B27" s="2" t="s">
        <v>21</v>
      </c>
      <c r="C27" s="2">
        <f>F2</f>
        <v>0.96799999999999997</v>
      </c>
      <c r="G27" s="2">
        <v>0.96799999999999997</v>
      </c>
    </row>
    <row r="28" spans="2:7" x14ac:dyDescent="0.3">
      <c r="B28" s="2" t="s">
        <v>22</v>
      </c>
      <c r="C28" s="2">
        <f>C$17/C27</f>
        <v>4.1600316487330806</v>
      </c>
      <c r="G28" s="2">
        <f>G$17/G27</f>
        <v>4.6135753699112385</v>
      </c>
    </row>
    <row r="29" spans="2:7" x14ac:dyDescent="0.3">
      <c r="B29" s="2" t="s">
        <v>26</v>
      </c>
      <c r="C29" s="2">
        <f>F2</f>
        <v>0.96799999999999997</v>
      </c>
    </row>
    <row r="30" spans="2:7" x14ac:dyDescent="0.3">
      <c r="B30" s="2" t="s">
        <v>25</v>
      </c>
      <c r="C30" s="2">
        <f>C$17/C29</f>
        <v>4.1600316487330806</v>
      </c>
    </row>
    <row r="35" spans="1:18" x14ac:dyDescent="0.3">
      <c r="B35" s="2" t="s">
        <v>27</v>
      </c>
      <c r="C35" s="3">
        <f>$C$5+C16*C17+F6+C18</f>
        <v>41.657463815841737</v>
      </c>
      <c r="D35" s="3"/>
      <c r="E35" s="3">
        <f>$C$5+E16*E17+E18+(C17+F6)*2</f>
        <v>36.133712921291632</v>
      </c>
      <c r="F35" s="3">
        <f>$C$5+F16*F17+F18</f>
        <v>22.760653468030984</v>
      </c>
      <c r="G35" s="3">
        <f>$C$5+G16*G17+G18</f>
        <v>23.996763832296317</v>
      </c>
    </row>
    <row r="36" spans="1:18" x14ac:dyDescent="0.3">
      <c r="A36" s="2" t="s">
        <v>1</v>
      </c>
      <c r="B36" s="2" t="s">
        <v>165</v>
      </c>
      <c r="C36" s="12">
        <v>2</v>
      </c>
      <c r="D36" s="3"/>
      <c r="E36" s="3"/>
      <c r="F36" s="3"/>
      <c r="G36" s="3"/>
    </row>
    <row r="37" spans="1:18" x14ac:dyDescent="0.3">
      <c r="B37" t="s">
        <v>151</v>
      </c>
      <c r="C37" s="2">
        <v>2</v>
      </c>
      <c r="E37" s="2">
        <f>C37</f>
        <v>2</v>
      </c>
      <c r="F37" s="2">
        <f>C37</f>
        <v>2</v>
      </c>
      <c r="G37" s="2">
        <f>C37</f>
        <v>2</v>
      </c>
    </row>
    <row r="38" spans="1:18" x14ac:dyDescent="0.3">
      <c r="B38" s="2" t="s">
        <v>144</v>
      </c>
      <c r="C38" s="2">
        <f>C37*C20</f>
        <v>8.3200632974661612</v>
      </c>
      <c r="E38" s="2">
        <f>C38</f>
        <v>8.3200632974661612</v>
      </c>
      <c r="F38" s="2">
        <f>C38</f>
        <v>8.3200632974661612</v>
      </c>
      <c r="G38" s="2">
        <f>C38</f>
        <v>8.3200632974661612</v>
      </c>
      <c r="H38" s="2" t="s">
        <v>159</v>
      </c>
      <c r="M38" s="4"/>
      <c r="O38" s="5"/>
    </row>
    <row r="39" spans="1:18" x14ac:dyDescent="0.3">
      <c r="B39" s="2" t="s">
        <v>146</v>
      </c>
      <c r="C39" s="2">
        <f>C38</f>
        <v>8.3200632974661612</v>
      </c>
      <c r="E39" s="2">
        <f>E38</f>
        <v>8.3200632974661612</v>
      </c>
      <c r="F39" s="2">
        <f>F38</f>
        <v>8.3200632974661612</v>
      </c>
      <c r="G39" s="2">
        <f>G38</f>
        <v>8.3200632974661612</v>
      </c>
      <c r="H39" s="2" t="s">
        <v>161</v>
      </c>
      <c r="L39" s="2">
        <f>L49*F3*F1</f>
        <v>8.3200000000000021</v>
      </c>
      <c r="M39" s="5"/>
      <c r="N39" s="2">
        <f>C38*C22/I13</f>
        <v>9.1083491149794078</v>
      </c>
      <c r="P39" s="2">
        <f>N39</f>
        <v>9.1083491149794078</v>
      </c>
      <c r="Q39" s="2">
        <f>N39</f>
        <v>9.1083491149794078</v>
      </c>
      <c r="R39" s="2">
        <f>G38*G20/J13</f>
        <v>8.0811029695352339</v>
      </c>
    </row>
    <row r="40" spans="1:18" x14ac:dyDescent="0.3">
      <c r="B40" s="2" t="s">
        <v>145</v>
      </c>
      <c r="F40" s="2">
        <f>F39*F20</f>
        <v>23.256044046178282</v>
      </c>
      <c r="G40" s="2">
        <f>G39*G22</f>
        <v>38.385239105292364</v>
      </c>
      <c r="H40" s="2" t="s">
        <v>160</v>
      </c>
      <c r="M40" s="5"/>
    </row>
    <row r="41" spans="1:18" x14ac:dyDescent="0.3">
      <c r="B41" s="2" t="s">
        <v>147</v>
      </c>
      <c r="E41" s="2">
        <f>E39*E20</f>
        <v>25.296931818429549</v>
      </c>
      <c r="G41" s="2">
        <f>G40*G24</f>
        <v>177.09319370433056</v>
      </c>
      <c r="H41" s="2" t="s">
        <v>162</v>
      </c>
    </row>
    <row r="42" spans="1:18" x14ac:dyDescent="0.3">
      <c r="B42" s="2" t="s">
        <v>148</v>
      </c>
      <c r="C42" s="2">
        <f>C39*C24</f>
        <v>27.689381309537399</v>
      </c>
    </row>
    <row r="43" spans="1:18" x14ac:dyDescent="0.3">
      <c r="B43" s="2" t="s">
        <v>149</v>
      </c>
      <c r="C43" s="2">
        <f>C42*C26</f>
        <v>41.8868009387323</v>
      </c>
      <c r="E43" s="2">
        <f>E41*E22</f>
        <v>54.939035965298373</v>
      </c>
      <c r="F43" s="2">
        <f>F40*F22</f>
        <v>65.004743995456849</v>
      </c>
      <c r="L43" s="2">
        <f>1.7/6</f>
        <v>0.28333333333333333</v>
      </c>
      <c r="M43" s="5"/>
    </row>
    <row r="44" spans="1:18" x14ac:dyDescent="0.3">
      <c r="B44" s="2" t="s">
        <v>150</v>
      </c>
      <c r="C44" s="2">
        <f>C43*C28</f>
        <v>174.25041756930887</v>
      </c>
      <c r="E44" s="2">
        <f>E43*E24</f>
        <v>208.80085242375137</v>
      </c>
      <c r="F44" s="2">
        <f>F43*F24</f>
        <v>227.12465270986667</v>
      </c>
    </row>
    <row r="45" spans="1:18" x14ac:dyDescent="0.3">
      <c r="M45" s="5"/>
    </row>
    <row r="47" spans="1:18" x14ac:dyDescent="0.3">
      <c r="B47" s="4" t="s">
        <v>96</v>
      </c>
      <c r="C47" s="2">
        <f>C37/J2</f>
        <v>1</v>
      </c>
      <c r="J47" s="2" t="s">
        <v>175</v>
      </c>
      <c r="K47" s="2">
        <v>1</v>
      </c>
    </row>
    <row r="48" spans="1:18" x14ac:dyDescent="0.3">
      <c r="B48" s="5" t="s">
        <v>97</v>
      </c>
      <c r="C48" s="2">
        <f>C38/J2</f>
        <v>4.1600316487330806</v>
      </c>
      <c r="G48" s="2">
        <f>G38/J2</f>
        <v>4.1600316487330806</v>
      </c>
      <c r="H48" s="2" t="s">
        <v>159</v>
      </c>
      <c r="J48" s="2" t="s">
        <v>176</v>
      </c>
      <c r="K48" s="2">
        <v>4.16</v>
      </c>
      <c r="L48" s="2">
        <f>2*K48</f>
        <v>8.32</v>
      </c>
      <c r="O48" s="2">
        <v>4.1600316487330806</v>
      </c>
      <c r="P48" s="2" t="s">
        <v>144</v>
      </c>
    </row>
    <row r="49" spans="2:16" x14ac:dyDescent="0.3">
      <c r="B49" s="6" t="s">
        <v>99</v>
      </c>
      <c r="C49" s="2">
        <f>C39/J3</f>
        <v>3.3280253189864646</v>
      </c>
      <c r="E49" s="2">
        <f>C49</f>
        <v>3.3280253189864646</v>
      </c>
      <c r="F49" s="2">
        <f>C49</f>
        <v>3.3280253189864646</v>
      </c>
      <c r="G49" s="2">
        <f>G39/J2</f>
        <v>4.1600316487330806</v>
      </c>
      <c r="H49" s="2" t="s">
        <v>161</v>
      </c>
      <c r="J49" s="2" t="s">
        <v>98</v>
      </c>
      <c r="K49" s="2">
        <v>3.33</v>
      </c>
      <c r="L49" s="2">
        <f>L48/2.5</f>
        <v>3.3280000000000003</v>
      </c>
      <c r="M49" s="2">
        <v>3.33</v>
      </c>
      <c r="N49" s="2">
        <v>3.33</v>
      </c>
      <c r="O49" s="2">
        <v>4</v>
      </c>
      <c r="P49" s="2" t="s">
        <v>177</v>
      </c>
    </row>
    <row r="50" spans="2:16" x14ac:dyDescent="0.3">
      <c r="B50" s="6" t="s">
        <v>100</v>
      </c>
      <c r="F50" s="2">
        <f>F40/J3</f>
        <v>9.3024176184713134</v>
      </c>
      <c r="G50" s="2">
        <f>G40/J2</f>
        <v>19.192619552646182</v>
      </c>
      <c r="H50" s="2" t="s">
        <v>160</v>
      </c>
      <c r="J50" s="2" t="s">
        <v>178</v>
      </c>
      <c r="N50" s="2">
        <v>11</v>
      </c>
      <c r="O50" s="2">
        <v>18.641388810982161</v>
      </c>
      <c r="P50" s="2" t="s">
        <v>179</v>
      </c>
    </row>
    <row r="51" spans="2:16" x14ac:dyDescent="0.3">
      <c r="B51" s="7" t="s">
        <v>101</v>
      </c>
      <c r="E51" s="2">
        <f>E41/J4</f>
        <v>7.2276948052655854</v>
      </c>
      <c r="G51" s="2">
        <f>G41/J2</f>
        <v>88.54659685216528</v>
      </c>
      <c r="H51" s="2" t="s">
        <v>162</v>
      </c>
      <c r="J51" s="2" t="s">
        <v>180</v>
      </c>
      <c r="M51" s="2">
        <v>8</v>
      </c>
      <c r="O51" s="2">
        <v>86.00345227928625</v>
      </c>
      <c r="P51" s="2" t="s">
        <v>162</v>
      </c>
    </row>
    <row r="52" spans="2:16" x14ac:dyDescent="0.3">
      <c r="B52" s="8" t="s">
        <v>102</v>
      </c>
      <c r="C52" s="2">
        <f>C42/J5</f>
        <v>5.0344329653704358</v>
      </c>
      <c r="J52" s="2" t="s">
        <v>181</v>
      </c>
      <c r="K52" s="2">
        <v>5</v>
      </c>
    </row>
    <row r="53" spans="2:16" x14ac:dyDescent="0.3">
      <c r="B53" s="4" t="s">
        <v>103</v>
      </c>
      <c r="C53" s="2">
        <f>C43/J2</f>
        <v>20.94340046936615</v>
      </c>
      <c r="E53" s="2">
        <f>E43/J2</f>
        <v>27.469517982649187</v>
      </c>
      <c r="F53" s="2">
        <f>F43/J2</f>
        <v>32.502371997728424</v>
      </c>
      <c r="J53" s="2" t="s">
        <v>182</v>
      </c>
      <c r="K53" s="2">
        <v>21</v>
      </c>
      <c r="M53" s="4">
        <v>26</v>
      </c>
      <c r="N53" s="2">
        <v>31</v>
      </c>
      <c r="P53" s="4"/>
    </row>
    <row r="54" spans="2:16" x14ac:dyDescent="0.3">
      <c r="B54" s="5" t="s">
        <v>104</v>
      </c>
      <c r="C54" s="2">
        <f>C44/J2</f>
        <v>87.125208784654433</v>
      </c>
      <c r="E54" s="2">
        <f>E44/J2</f>
        <v>104.40042621187568</v>
      </c>
      <c r="F54" s="2">
        <f>F44/J2</f>
        <v>113.56232635493333</v>
      </c>
      <c r="J54" s="2" t="s">
        <v>183</v>
      </c>
      <c r="K54" s="2">
        <v>88</v>
      </c>
      <c r="M54" s="5">
        <v>97</v>
      </c>
      <c r="N54" s="2">
        <v>106</v>
      </c>
      <c r="P54" s="5"/>
    </row>
    <row r="55" spans="2:16" x14ac:dyDescent="0.3">
      <c r="M55" s="5"/>
      <c r="O55" s="5"/>
      <c r="P55" s="5"/>
    </row>
    <row r="56" spans="2:16" x14ac:dyDescent="0.3">
      <c r="B56" s="9"/>
      <c r="M56" s="5"/>
      <c r="O56" s="5"/>
      <c r="P56" s="5"/>
    </row>
    <row r="57" spans="2:16" x14ac:dyDescent="0.3">
      <c r="B57" s="4" t="s">
        <v>68</v>
      </c>
      <c r="C57" s="2">
        <v>0.5</v>
      </c>
      <c r="J57" s="4" t="s">
        <v>68</v>
      </c>
      <c r="K57" s="2">
        <v>0.5</v>
      </c>
      <c r="P57" s="10"/>
    </row>
    <row r="58" spans="2:16" x14ac:dyDescent="0.3">
      <c r="B58" s="5" t="s">
        <v>69</v>
      </c>
      <c r="C58" s="2">
        <v>1.5</v>
      </c>
      <c r="J58" s="5" t="s">
        <v>69</v>
      </c>
      <c r="K58" s="2">
        <v>1.5</v>
      </c>
      <c r="P58" s="6"/>
    </row>
    <row r="59" spans="2:16" x14ac:dyDescent="0.3">
      <c r="B59" s="5" t="s">
        <v>70</v>
      </c>
      <c r="C59" s="2">
        <f>$H$8*C48</f>
        <v>2.0800158243665403</v>
      </c>
      <c r="G59" s="2">
        <f>C59</f>
        <v>2.0800158243665403</v>
      </c>
      <c r="J59" s="5" t="s">
        <v>70</v>
      </c>
      <c r="K59" s="2">
        <f>$H$8*K48</f>
        <v>2.08</v>
      </c>
      <c r="O59" s="2">
        <f>K59</f>
        <v>2.08</v>
      </c>
    </row>
    <row r="60" spans="2:16" x14ac:dyDescent="0.3">
      <c r="B60" s="5" t="s">
        <v>71</v>
      </c>
      <c r="C60" s="2">
        <f>$H$9*C48</f>
        <v>6.2400474730996205</v>
      </c>
      <c r="G60" s="2">
        <f>C60</f>
        <v>6.2400474730996205</v>
      </c>
      <c r="J60" s="5" t="s">
        <v>71</v>
      </c>
      <c r="K60" s="2">
        <f>$H$9*K48</f>
        <v>6.24</v>
      </c>
      <c r="O60" s="2">
        <f>K60</f>
        <v>6.24</v>
      </c>
    </row>
    <row r="61" spans="2:16" x14ac:dyDescent="0.3">
      <c r="B61" s="10" t="s">
        <v>57</v>
      </c>
      <c r="C61" s="2">
        <f>$H$6*C49</f>
        <v>3.3280253189864646</v>
      </c>
      <c r="E61" s="2">
        <f>C61</f>
        <v>3.3280253189864646</v>
      </c>
      <c r="F61" s="2">
        <f>C61</f>
        <v>3.3280253189864646</v>
      </c>
      <c r="G61" s="2">
        <f>H8*G49</f>
        <v>2.0800158243665403</v>
      </c>
      <c r="J61" s="10" t="s">
        <v>57</v>
      </c>
      <c r="K61" s="2">
        <f>$H$6*K49</f>
        <v>3.33</v>
      </c>
      <c r="L61" s="2">
        <v>3.32</v>
      </c>
      <c r="M61" s="2">
        <f>K61</f>
        <v>3.33</v>
      </c>
      <c r="N61" s="2">
        <f>K61</f>
        <v>3.33</v>
      </c>
      <c r="O61" s="2">
        <f>H8*O49</f>
        <v>2</v>
      </c>
    </row>
    <row r="62" spans="2:16" x14ac:dyDescent="0.3">
      <c r="B62" s="6" t="s">
        <v>58</v>
      </c>
      <c r="C62" s="2">
        <f>$H$7*C49</f>
        <v>4.9920379784796971</v>
      </c>
      <c r="E62" s="2">
        <f>C62</f>
        <v>4.9920379784796971</v>
      </c>
      <c r="F62" s="2">
        <f>C62</f>
        <v>4.9920379784796971</v>
      </c>
      <c r="G62" s="2">
        <f>H9*G49</f>
        <v>6.2400474730996205</v>
      </c>
      <c r="J62" s="6" t="s">
        <v>58</v>
      </c>
      <c r="K62" s="2">
        <f>$H$7*K49</f>
        <v>4.9950000000000001</v>
      </c>
      <c r="M62" s="2">
        <f>K62</f>
        <v>4.9950000000000001</v>
      </c>
      <c r="N62" s="2">
        <f>K62</f>
        <v>4.9950000000000001</v>
      </c>
      <c r="O62" s="2">
        <f>H9*O49</f>
        <v>6</v>
      </c>
    </row>
    <row r="63" spans="2:16" x14ac:dyDescent="0.3">
      <c r="B63" s="10" t="s">
        <v>163</v>
      </c>
      <c r="C63" s="2">
        <f>F63</f>
        <v>9.3024176184713134</v>
      </c>
      <c r="F63" s="2">
        <f>F61*F20</f>
        <v>9.3024176184713134</v>
      </c>
      <c r="G63" s="2">
        <f>H8*G50</f>
        <v>9.5963097763230909</v>
      </c>
      <c r="I63" s="2">
        <f>K63+K64</f>
        <v>27.5</v>
      </c>
      <c r="J63" s="10" t="s">
        <v>163</v>
      </c>
      <c r="K63" s="2">
        <f>N63</f>
        <v>11</v>
      </c>
      <c r="N63" s="2">
        <f>H6*N50</f>
        <v>11</v>
      </c>
      <c r="O63" s="2">
        <f>H8*O50</f>
        <v>9.3206944054910803</v>
      </c>
    </row>
    <row r="64" spans="2:16" x14ac:dyDescent="0.3">
      <c r="B64" s="6" t="s">
        <v>164</v>
      </c>
      <c r="C64" s="2">
        <f>F64</f>
        <v>13.95362642770697</v>
      </c>
      <c r="F64" s="2">
        <f>H7*F50</f>
        <v>13.95362642770697</v>
      </c>
      <c r="G64" s="2">
        <f>H9*G50</f>
        <v>28.788929328969274</v>
      </c>
      <c r="J64" s="6" t="s">
        <v>164</v>
      </c>
      <c r="K64" s="2">
        <f>N64</f>
        <v>16.5</v>
      </c>
      <c r="N64" s="2">
        <f>H7*N50</f>
        <v>16.5</v>
      </c>
      <c r="O64" s="2">
        <f>H9*O50</f>
        <v>27.962083216473239</v>
      </c>
    </row>
    <row r="65" spans="2:15" x14ac:dyDescent="0.3">
      <c r="B65" s="7" t="s">
        <v>55</v>
      </c>
      <c r="C65" s="2">
        <f>E65</f>
        <v>14.455389610531171</v>
      </c>
      <c r="E65" s="2">
        <f>H4*E51</f>
        <v>14.455389610531171</v>
      </c>
      <c r="G65" s="2">
        <f>H8*G51</f>
        <v>44.27329842608264</v>
      </c>
      <c r="I65" s="2">
        <f>K65+K66</f>
        <v>28</v>
      </c>
      <c r="J65" s="7" t="s">
        <v>55</v>
      </c>
      <c r="K65" s="2">
        <f>M65</f>
        <v>16</v>
      </c>
      <c r="L65" s="2">
        <v>15.76</v>
      </c>
      <c r="M65" s="2">
        <f>H4*M51</f>
        <v>16</v>
      </c>
      <c r="O65" s="2">
        <f>H8*O51</f>
        <v>43.001726139643125</v>
      </c>
    </row>
    <row r="66" spans="2:15" x14ac:dyDescent="0.3">
      <c r="B66" s="9" t="s">
        <v>56</v>
      </c>
      <c r="C66" s="2">
        <f>E66</f>
        <v>10.841542207898378</v>
      </c>
      <c r="E66" s="2">
        <f>H5*E51</f>
        <v>10.841542207898378</v>
      </c>
      <c r="G66" s="2">
        <f>H9*G51</f>
        <v>132.81989527824791</v>
      </c>
      <c r="J66" s="9" t="s">
        <v>56</v>
      </c>
      <c r="K66" s="2">
        <f>M66</f>
        <v>12</v>
      </c>
      <c r="L66" s="2">
        <v>11.74</v>
      </c>
      <c r="M66" s="2">
        <f>H5*M51</f>
        <v>12</v>
      </c>
      <c r="O66" s="2">
        <f>H9*O51</f>
        <v>129.00517841892938</v>
      </c>
    </row>
    <row r="67" spans="2:15" x14ac:dyDescent="0.3">
      <c r="B67" s="8" t="s">
        <v>53</v>
      </c>
      <c r="C67" s="2">
        <f>H2*C52</f>
        <v>20.137731861481743</v>
      </c>
      <c r="I67" s="2">
        <f>K67+K68</f>
        <v>27.5</v>
      </c>
      <c r="J67" s="8" t="s">
        <v>53</v>
      </c>
      <c r="K67" s="2">
        <f>H2*K52</f>
        <v>20</v>
      </c>
    </row>
    <row r="68" spans="2:15" x14ac:dyDescent="0.3">
      <c r="B68" s="8" t="s">
        <v>54</v>
      </c>
      <c r="C68" s="2">
        <f>H3*C52</f>
        <v>7.5516494480556542</v>
      </c>
      <c r="J68" s="8" t="s">
        <v>54</v>
      </c>
      <c r="K68" s="2">
        <f>H3*K52</f>
        <v>7.5</v>
      </c>
    </row>
    <row r="69" spans="2:15" x14ac:dyDescent="0.3">
      <c r="B69" s="4" t="s">
        <v>72</v>
      </c>
      <c r="C69" s="2">
        <f>H8*C53</f>
        <v>10.471700234683075</v>
      </c>
      <c r="E69" s="2">
        <f>H8*E53</f>
        <v>13.734758991324593</v>
      </c>
      <c r="F69" s="2">
        <f>H8*F53</f>
        <v>16.251185998864212</v>
      </c>
      <c r="J69" s="4" t="s">
        <v>72</v>
      </c>
      <c r="K69" s="2">
        <f>H8*K53</f>
        <v>10.5</v>
      </c>
      <c r="M69" s="2">
        <f>H8*M53</f>
        <v>13</v>
      </c>
      <c r="N69" s="2">
        <f>H8*N53</f>
        <v>15.5</v>
      </c>
    </row>
    <row r="70" spans="2:15" x14ac:dyDescent="0.3">
      <c r="B70" s="5" t="s">
        <v>73</v>
      </c>
      <c r="C70" s="2">
        <f>H9*C53</f>
        <v>31.415100704049223</v>
      </c>
      <c r="E70" s="2">
        <f>H9*E53</f>
        <v>41.204276973973776</v>
      </c>
      <c r="F70" s="2">
        <f>H9*F53</f>
        <v>48.753557996592633</v>
      </c>
      <c r="J70" s="5" t="s">
        <v>73</v>
      </c>
      <c r="K70" s="2">
        <f>H9*K53</f>
        <v>31.5</v>
      </c>
      <c r="M70" s="2">
        <f>H9*M53</f>
        <v>39</v>
      </c>
      <c r="N70" s="2">
        <f>H9*N53</f>
        <v>46.5</v>
      </c>
    </row>
    <row r="71" spans="2:15" x14ac:dyDescent="0.3">
      <c r="B71" s="5" t="s">
        <v>74</v>
      </c>
      <c r="C71" s="2">
        <f>$H$8*C54</f>
        <v>43.562604392327216</v>
      </c>
      <c r="E71" s="2">
        <f>H8*E54</f>
        <v>52.200213105937841</v>
      </c>
      <c r="F71" s="2">
        <f>H8*F54</f>
        <v>56.781163177466667</v>
      </c>
      <c r="J71" s="5" t="s">
        <v>74</v>
      </c>
      <c r="K71" s="2">
        <f>$H$8*K54</f>
        <v>44</v>
      </c>
      <c r="M71" s="2">
        <f>H8*M54</f>
        <v>48.5</v>
      </c>
      <c r="N71" s="2">
        <f>H8*N54</f>
        <v>53</v>
      </c>
    </row>
    <row r="72" spans="2:15" x14ac:dyDescent="0.3">
      <c r="B72" s="5" t="s">
        <v>75</v>
      </c>
      <c r="C72" s="2">
        <f>$H$9*C54</f>
        <v>130.68781317698165</v>
      </c>
      <c r="E72" s="2">
        <f>H9*E54</f>
        <v>156.60063931781352</v>
      </c>
      <c r="F72" s="2">
        <f>H9*F54</f>
        <v>170.34348953239999</v>
      </c>
      <c r="J72" s="5" t="s">
        <v>75</v>
      </c>
      <c r="K72" s="2">
        <f>$H$9*K54</f>
        <v>132</v>
      </c>
      <c r="M72" s="2">
        <f>H9*M54</f>
        <v>145.5</v>
      </c>
      <c r="N72" s="2">
        <f>H9*N54</f>
        <v>159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10A9-155A-4B96-871C-2B12315BA5F8}">
  <dimension ref="B1:R64"/>
  <sheetViews>
    <sheetView zoomScaleNormal="100" workbookViewId="0">
      <selection activeCell="F3" sqref="F3"/>
    </sheetView>
  </sheetViews>
  <sheetFormatPr defaultRowHeight="14.5" x14ac:dyDescent="0.3"/>
  <cols>
    <col min="1" max="2" width="8.796875" style="2"/>
    <col min="3" max="3" width="9.5" style="2" customWidth="1"/>
    <col min="4" max="4" width="8.796875" style="2"/>
    <col min="5" max="5" width="9.59765625" style="2" customWidth="1"/>
    <col min="6" max="6" width="10.5" style="2" customWidth="1"/>
    <col min="7" max="7" width="12.19921875" style="2" customWidth="1"/>
    <col min="8" max="8" width="11.09765625" style="2" customWidth="1"/>
    <col min="9" max="9" width="10.69921875" style="2" customWidth="1"/>
    <col min="10" max="10" width="9.8984375" style="2" customWidth="1"/>
    <col min="11" max="11" width="9.09765625" style="2" customWidth="1"/>
    <col min="12" max="12" width="8.8984375" style="2" customWidth="1"/>
    <col min="13" max="13" width="10.5" style="2" customWidth="1"/>
    <col min="14" max="14" width="9.296875" style="2" customWidth="1"/>
    <col min="15" max="15" width="9.5" style="2" customWidth="1"/>
    <col min="16" max="16" width="11.8984375" style="2" customWidth="1"/>
    <col min="17" max="17" width="8.296875" style="2" customWidth="1"/>
    <col min="18" max="18" width="8.8984375" style="2" customWidth="1"/>
    <col min="19" max="16384" width="8.796875" style="2"/>
  </cols>
  <sheetData>
    <row r="1" spans="2:18" x14ac:dyDescent="0.3">
      <c r="B1" s="2" t="s">
        <v>33</v>
      </c>
    </row>
    <row r="2" spans="2:18" x14ac:dyDescent="0.3">
      <c r="B2" s="2" t="s">
        <v>0</v>
      </c>
      <c r="C2" s="2">
        <v>1.5000000000000001E-12</v>
      </c>
      <c r="E2" s="2" t="s">
        <v>5</v>
      </c>
      <c r="F2" s="2">
        <v>0.96799999999999997</v>
      </c>
      <c r="H2" s="2" t="s">
        <v>29</v>
      </c>
      <c r="I2" s="2">
        <v>1.0329999999999999</v>
      </c>
      <c r="K2" s="2" t="s">
        <v>53</v>
      </c>
      <c r="L2" s="2">
        <v>4</v>
      </c>
      <c r="M2" s="2" t="s">
        <v>57</v>
      </c>
      <c r="N2" s="2">
        <v>1</v>
      </c>
    </row>
    <row r="3" spans="2:18" x14ac:dyDescent="0.3">
      <c r="B3" s="2" t="s">
        <v>1</v>
      </c>
      <c r="C3" s="2">
        <f>0.0000000000000039284</f>
        <v>3.9283999999999997E-15</v>
      </c>
      <c r="E3" s="2" t="s">
        <v>6</v>
      </c>
      <c r="F3" s="2">
        <f>4/3</f>
        <v>1.3333333333333333</v>
      </c>
      <c r="H3" s="2" t="s">
        <v>30</v>
      </c>
      <c r="I3" s="2">
        <v>2</v>
      </c>
      <c r="K3" s="2" t="s">
        <v>54</v>
      </c>
      <c r="L3" s="2">
        <v>1.5</v>
      </c>
      <c r="M3" s="2" t="s">
        <v>58</v>
      </c>
      <c r="N3" s="2">
        <v>1.5</v>
      </c>
    </row>
    <row r="4" spans="2:18" x14ac:dyDescent="0.3">
      <c r="B4" s="2" t="s">
        <v>2</v>
      </c>
      <c r="C4" s="2">
        <f>C2/C3</f>
        <v>381.83484370227069</v>
      </c>
      <c r="E4" s="2" t="s">
        <v>7</v>
      </c>
      <c r="F4" s="2">
        <f>6/3</f>
        <v>2</v>
      </c>
      <c r="H4" s="2" t="s">
        <v>31</v>
      </c>
      <c r="I4" s="2">
        <v>4</v>
      </c>
      <c r="K4" s="2" t="s">
        <v>55</v>
      </c>
      <c r="L4" s="2">
        <v>2</v>
      </c>
      <c r="M4" s="2" t="s">
        <v>60</v>
      </c>
      <c r="N4" s="2">
        <v>0.5</v>
      </c>
    </row>
    <row r="5" spans="2:18" x14ac:dyDescent="0.3">
      <c r="B5" s="2" t="s">
        <v>10</v>
      </c>
      <c r="C5" s="2">
        <f>F2*1</f>
        <v>0.96799999999999997</v>
      </c>
      <c r="E5" s="2" t="s">
        <v>8</v>
      </c>
      <c r="F5" s="2">
        <f>10/3</f>
        <v>3.3333333333333335</v>
      </c>
      <c r="H5" s="2" t="s">
        <v>32</v>
      </c>
      <c r="I5" s="2">
        <v>8</v>
      </c>
      <c r="K5" s="2" t="s">
        <v>56</v>
      </c>
      <c r="L5" s="2">
        <v>1.5</v>
      </c>
      <c r="M5" s="2" t="s">
        <v>59</v>
      </c>
      <c r="N5" s="2">
        <v>1.5</v>
      </c>
    </row>
    <row r="6" spans="2:18" x14ac:dyDescent="0.3">
      <c r="B6" s="2" t="s">
        <v>86</v>
      </c>
      <c r="C6" s="2">
        <v>7.58983E-14</v>
      </c>
      <c r="E6" s="2" t="s">
        <v>87</v>
      </c>
      <c r="F6" s="2">
        <f>0.0000000000000183582</f>
        <v>1.8358199999999999E-14</v>
      </c>
      <c r="H6" s="2" t="s">
        <v>90</v>
      </c>
      <c r="I6" s="2">
        <f>0.0000000000001461329</f>
        <v>1.4613290000000001E-13</v>
      </c>
      <c r="K6" s="2" t="s">
        <v>95</v>
      </c>
      <c r="L6" s="2">
        <f>0.000000000000078775</f>
        <v>7.8774999999999998E-14</v>
      </c>
    </row>
    <row r="7" spans="2:18" x14ac:dyDescent="0.3">
      <c r="C7" s="2">
        <f>I6/C3</f>
        <v>37.199088687506368</v>
      </c>
      <c r="J7" s="2">
        <f>C2/C6</f>
        <v>19.76328850580316</v>
      </c>
      <c r="K7" s="2">
        <f>C2/0.0000000000000758983</f>
        <v>19.76328850580316</v>
      </c>
      <c r="L7" s="2">
        <f>C2/0.0000000000000183582</f>
        <v>81.707356930418015</v>
      </c>
      <c r="N7" s="2">
        <f>I6/C3</f>
        <v>37.199088687506368</v>
      </c>
      <c r="Q7" s="2">
        <f>I6/C3</f>
        <v>37.199088687506368</v>
      </c>
      <c r="R7" s="2">
        <f>L6/C3</f>
        <v>20.052693208430913</v>
      </c>
    </row>
    <row r="8" spans="2:18" customFormat="1" x14ac:dyDescent="0.3">
      <c r="B8">
        <v>14</v>
      </c>
      <c r="D8">
        <v>13</v>
      </c>
      <c r="E8" t="s">
        <v>23</v>
      </c>
      <c r="F8" t="s">
        <v>24</v>
      </c>
      <c r="G8">
        <v>7</v>
      </c>
      <c r="H8" t="s">
        <v>67</v>
      </c>
      <c r="I8" t="s">
        <v>23</v>
      </c>
      <c r="J8" t="s">
        <v>79</v>
      </c>
      <c r="K8" t="s">
        <v>85</v>
      </c>
      <c r="L8" t="s">
        <v>84</v>
      </c>
      <c r="M8">
        <v>14</v>
      </c>
      <c r="P8">
        <v>13</v>
      </c>
      <c r="Q8" t="s">
        <v>93</v>
      </c>
      <c r="R8" t="s">
        <v>94</v>
      </c>
    </row>
    <row r="9" spans="2:18" x14ac:dyDescent="0.3">
      <c r="B9" s="2" t="s">
        <v>3</v>
      </c>
      <c r="C9" s="2">
        <v>1</v>
      </c>
      <c r="D9" s="2" t="s">
        <v>3</v>
      </c>
      <c r="E9" s="2">
        <f>(F3+F4)/F3</f>
        <v>2.5</v>
      </c>
      <c r="F9" s="2">
        <f>(F3+F4)/F4</f>
        <v>1.6666666666666665</v>
      </c>
      <c r="G9" s="2" t="s">
        <v>3</v>
      </c>
      <c r="H9" s="2">
        <f>(F3*3+F2)/F3</f>
        <v>3.726</v>
      </c>
      <c r="I9" s="2">
        <f>(F3*3+F2)/F3</f>
        <v>3.726</v>
      </c>
      <c r="J9" s="2">
        <v>1</v>
      </c>
      <c r="K9" s="2">
        <v>1</v>
      </c>
      <c r="L9" s="2">
        <f>(F3*3+F2)/F2</f>
        <v>5.1322314049586781</v>
      </c>
      <c r="M9" s="2" t="s">
        <v>3</v>
      </c>
      <c r="N9" s="2">
        <v>1</v>
      </c>
      <c r="P9" s="2" t="s">
        <v>3</v>
      </c>
      <c r="Q9" s="2">
        <f>(F3+F4)/F3</f>
        <v>2.5</v>
      </c>
      <c r="R9" s="2">
        <f>(F3+F4)/F4</f>
        <v>1.6666666666666665</v>
      </c>
    </row>
    <row r="10" spans="2:18" x14ac:dyDescent="0.3">
      <c r="B10" s="2" t="s">
        <v>4</v>
      </c>
      <c r="C10" s="2">
        <f>F2^C12</f>
        <v>0.93702399999999997</v>
      </c>
      <c r="D10" s="2" t="s">
        <v>4</v>
      </c>
      <c r="E10" s="2">
        <f>F2^2*F3*F5*F2^2</f>
        <v>3.9022843403377774</v>
      </c>
      <c r="F10" s="2">
        <f>F2^2*F4*F2^2</f>
        <v>1.7560279531519998</v>
      </c>
      <c r="G10" s="2" t="s">
        <v>4</v>
      </c>
      <c r="H10" s="2">
        <f>F2^(H12-2)*F3*F5</f>
        <v>3.9022843403377769</v>
      </c>
      <c r="I10" s="2">
        <f>F2^(I12-2)*F3*F4</f>
        <v>2.3413706042026661</v>
      </c>
      <c r="J10" s="2">
        <f>F2^(J12-2)*F3*F4</f>
        <v>2.4987306666666664</v>
      </c>
      <c r="K10" s="2">
        <f>F2^(K12-2)*F3*F3</f>
        <v>1.6658204444444442</v>
      </c>
      <c r="L10" s="2">
        <f>F2^L12</f>
        <v>0.87801397657599989</v>
      </c>
      <c r="M10" s="2" t="s">
        <v>4</v>
      </c>
      <c r="N10" s="2">
        <f>F2^N12</f>
        <v>0.93702399999999997</v>
      </c>
      <c r="P10" s="2" t="s">
        <v>4</v>
      </c>
      <c r="Q10" s="2">
        <f>F2^(Q12-1)*F3</f>
        <v>1.2493653333333332</v>
      </c>
      <c r="R10" s="2">
        <f>F2^R12</f>
        <v>0.93702399999999997</v>
      </c>
    </row>
    <row r="11" spans="2:18" x14ac:dyDescent="0.3">
      <c r="B11" s="2" t="s">
        <v>9</v>
      </c>
      <c r="C11" s="2">
        <f>C7*C9*C10</f>
        <v>34.856438878321967</v>
      </c>
      <c r="D11" s="2" t="s">
        <v>9</v>
      </c>
      <c r="E11" s="2">
        <f>$C$4*E9*E10</f>
        <v>3725.0703279367344</v>
      </c>
      <c r="F11" s="2">
        <f>$C$4*F9*F10</f>
        <v>1117.5210983810202</v>
      </c>
      <c r="G11" s="2" t="s">
        <v>9</v>
      </c>
      <c r="H11" s="2">
        <f>$C$4*H9*H10</f>
        <v>5551.8448167569086</v>
      </c>
      <c r="I11" s="2">
        <f>$C$4*I9*I10</f>
        <v>3331.106890054145</v>
      </c>
      <c r="J11" s="2">
        <f>J7*J9*J10</f>
        <v>49.383135063631194</v>
      </c>
      <c r="K11" s="2">
        <f>$K$7*K9*K10</f>
        <v>32.922090042420798</v>
      </c>
      <c r="L11" s="2">
        <f>L7*L9*L10</f>
        <v>368.18731448965582</v>
      </c>
      <c r="M11" s="2" t="s">
        <v>9</v>
      </c>
      <c r="N11" s="2">
        <f>N7*N9*N10</f>
        <v>34.856438878321967</v>
      </c>
      <c r="P11" s="2" t="s">
        <v>9</v>
      </c>
      <c r="Q11" s="2">
        <f>Q7*Q9*Q10</f>
        <v>116.18812959440655</v>
      </c>
      <c r="R11" s="2">
        <f>R7*R9*R10</f>
        <v>31.316424668227945</v>
      </c>
    </row>
    <row r="12" spans="2:18" x14ac:dyDescent="0.3">
      <c r="B12" s="2" t="s">
        <v>11</v>
      </c>
      <c r="C12" s="2">
        <v>2</v>
      </c>
      <c r="D12" s="2" t="s">
        <v>11</v>
      </c>
      <c r="E12" s="2">
        <v>6</v>
      </c>
      <c r="F12" s="2">
        <v>5</v>
      </c>
      <c r="G12" s="2" t="s">
        <v>11</v>
      </c>
      <c r="H12" s="2">
        <v>6</v>
      </c>
      <c r="I12" s="2">
        <v>6</v>
      </c>
      <c r="J12" s="2">
        <v>4</v>
      </c>
      <c r="K12" s="2">
        <v>4</v>
      </c>
      <c r="L12" s="2">
        <v>4</v>
      </c>
      <c r="M12" s="2" t="s">
        <v>11</v>
      </c>
      <c r="N12" s="2">
        <v>2</v>
      </c>
      <c r="P12" s="2" t="s">
        <v>11</v>
      </c>
      <c r="Q12" s="2">
        <v>3</v>
      </c>
      <c r="R12" s="2">
        <v>2</v>
      </c>
    </row>
    <row r="13" spans="2:18" x14ac:dyDescent="0.3">
      <c r="B13" s="2" t="s">
        <v>12</v>
      </c>
      <c r="C13" s="2">
        <f>C11^(1/C12)</f>
        <v>5.9039341864829398</v>
      </c>
      <c r="D13" s="2" t="s">
        <v>12</v>
      </c>
      <c r="E13" s="2">
        <f>E11^(1/E12)</f>
        <v>3.9372145322195093</v>
      </c>
      <c r="F13" s="2">
        <f>F11^(1/F12)</f>
        <v>4.070531746875707</v>
      </c>
      <c r="G13" s="2" t="s">
        <v>12</v>
      </c>
      <c r="H13" s="2">
        <f>H11^(1/H12)</f>
        <v>4.2079724365058908</v>
      </c>
      <c r="I13" s="2">
        <f t="shared" ref="I13:K13" si="0">I11^(1/I12)</f>
        <v>3.8645425624004139</v>
      </c>
      <c r="J13" s="2">
        <f t="shared" si="0"/>
        <v>2.6509080524579236</v>
      </c>
      <c r="K13" s="2">
        <f t="shared" si="0"/>
        <v>2.3953658275864518</v>
      </c>
      <c r="L13" s="2">
        <f>L11^(1/L12)</f>
        <v>4.3804346466440851</v>
      </c>
      <c r="M13" s="2" t="s">
        <v>12</v>
      </c>
      <c r="N13" s="2">
        <f>N11^(1/N12)</f>
        <v>5.9039341864829398</v>
      </c>
      <c r="P13" s="2" t="s">
        <v>12</v>
      </c>
      <c r="Q13" s="2">
        <f>Q11^(1/Q12)</f>
        <v>4.8796340538206078</v>
      </c>
      <c r="R13" s="2">
        <f>R11^(1/R12)</f>
        <v>5.5961079929025628</v>
      </c>
    </row>
    <row r="14" spans="2:18" x14ac:dyDescent="0.3">
      <c r="B14" s="2" t="s">
        <v>28</v>
      </c>
      <c r="C14" s="2">
        <f>I2*C12+I2</f>
        <v>3.0989999999999998</v>
      </c>
      <c r="D14" s="2" t="s">
        <v>28</v>
      </c>
      <c r="E14" s="2">
        <f>I2*3+I3+I5+(E12-4)*I2</f>
        <v>15.164999999999999</v>
      </c>
      <c r="F14" s="2">
        <f>I2*3+I4+(F12-3)*I2</f>
        <v>9.1649999999999991</v>
      </c>
      <c r="G14" s="2" t="s">
        <v>28</v>
      </c>
      <c r="H14" s="2">
        <f>I2*(H12-2)+I3+I5+I2</f>
        <v>15.164999999999999</v>
      </c>
      <c r="I14" s="2">
        <f>I2*(I12-2)+I3+I4+I2</f>
        <v>11.164999999999999</v>
      </c>
      <c r="J14" s="2">
        <f>I2*(J12-2)+I3+I4+I2</f>
        <v>9.0989999999999984</v>
      </c>
      <c r="K14" s="2">
        <f>I2*3+I3+I3</f>
        <v>7.0990000000000002</v>
      </c>
      <c r="L14" s="2">
        <f>I2*L12</f>
        <v>4.1319999999999997</v>
      </c>
      <c r="M14" s="2" t="s">
        <v>28</v>
      </c>
      <c r="N14" s="2">
        <f>I2*N12+I2</f>
        <v>3.0989999999999998</v>
      </c>
      <c r="P14" s="2" t="s">
        <v>28</v>
      </c>
      <c r="Q14" s="2">
        <f>I2*Q12+I3</f>
        <v>5.0990000000000002</v>
      </c>
      <c r="R14" s="2">
        <f>I2*R12</f>
        <v>2.0659999999999998</v>
      </c>
    </row>
    <row r="15" spans="2:18" x14ac:dyDescent="0.3">
      <c r="B15" s="2" t="s">
        <v>13</v>
      </c>
      <c r="C15" s="2">
        <v>0.96799999999999997</v>
      </c>
      <c r="D15" s="2" t="s">
        <v>13</v>
      </c>
      <c r="E15" s="2">
        <v>0.96799999999999997</v>
      </c>
      <c r="F15" s="2">
        <v>0.96799999999999997</v>
      </c>
      <c r="G15" s="2" t="s">
        <v>13</v>
      </c>
      <c r="H15" s="2">
        <f>F2</f>
        <v>0.96799999999999997</v>
      </c>
      <c r="I15" s="2">
        <v>0.96799999999999997</v>
      </c>
      <c r="J15" s="2">
        <f>F3</f>
        <v>1.3333333333333333</v>
      </c>
      <c r="K15" s="2">
        <f>F3</f>
        <v>1.3333333333333333</v>
      </c>
      <c r="L15" s="2">
        <v>0.96799999999999997</v>
      </c>
      <c r="M15" s="2" t="s">
        <v>13</v>
      </c>
      <c r="N15" s="2">
        <v>0.96799999999999997</v>
      </c>
      <c r="P15" s="2" t="s">
        <v>13</v>
      </c>
      <c r="Q15" s="2">
        <v>0.96799999999999997</v>
      </c>
      <c r="R15" s="2">
        <v>0.96799999999999997</v>
      </c>
    </row>
    <row r="16" spans="2:18" x14ac:dyDescent="0.3">
      <c r="B16" s="2" t="s">
        <v>14</v>
      </c>
      <c r="C16" s="2">
        <f>C$13/C15</f>
        <v>6.0991055645484913</v>
      </c>
      <c r="D16" s="2" t="s">
        <v>14</v>
      </c>
      <c r="E16" s="2">
        <f>E$13/E15</f>
        <v>4.0673703845242866</v>
      </c>
      <c r="F16" s="2">
        <f>F$13/F15</f>
        <v>4.2050947798302758</v>
      </c>
      <c r="G16" s="2" t="s">
        <v>14</v>
      </c>
      <c r="H16" s="2">
        <f>H$13/H15</f>
        <v>4.3470789633325317</v>
      </c>
      <c r="I16" s="2">
        <f>I$13/I15</f>
        <v>3.9922960355376178</v>
      </c>
      <c r="J16" s="2">
        <f>J$13/J15</f>
        <v>1.9881810393434427</v>
      </c>
      <c r="K16" s="2">
        <f>K$13/K15</f>
        <v>1.7965243706898388</v>
      </c>
      <c r="L16" s="2">
        <f>L$13/L15</f>
        <v>4.5252424035579395</v>
      </c>
      <c r="M16" s="2" t="s">
        <v>14</v>
      </c>
      <c r="N16" s="2">
        <f>N$13/N15</f>
        <v>6.0991055645484913</v>
      </c>
      <c r="P16" s="2" t="s">
        <v>14</v>
      </c>
      <c r="Q16" s="2">
        <f>Q$13/Q15</f>
        <v>5.0409442704758343</v>
      </c>
      <c r="R16" s="2">
        <f>R$13/R15</f>
        <v>5.7811032984530613</v>
      </c>
    </row>
    <row r="17" spans="2:18" x14ac:dyDescent="0.3">
      <c r="B17" s="2" t="s">
        <v>15</v>
      </c>
      <c r="C17" s="2">
        <v>0.96799999999999997</v>
      </c>
      <c r="D17" s="2" t="s">
        <v>15</v>
      </c>
      <c r="E17" s="2">
        <v>0.96799999999999997</v>
      </c>
      <c r="F17" s="2">
        <v>0.96799999999999997</v>
      </c>
      <c r="G17" s="2" t="s">
        <v>15</v>
      </c>
      <c r="H17" s="2">
        <f>F2</f>
        <v>0.96799999999999997</v>
      </c>
      <c r="I17" s="2">
        <v>0.96799999999999997</v>
      </c>
      <c r="J17" s="2">
        <f>F4</f>
        <v>2</v>
      </c>
      <c r="K17" s="2">
        <f>F3</f>
        <v>1.3333333333333333</v>
      </c>
      <c r="L17" s="2">
        <v>0.96799999999999997</v>
      </c>
      <c r="M17" s="2" t="s">
        <v>15</v>
      </c>
      <c r="N17" s="2">
        <v>0.96799999999999997</v>
      </c>
      <c r="P17" s="2" t="s">
        <v>15</v>
      </c>
      <c r="Q17" s="2">
        <v>0.96799999999999997</v>
      </c>
      <c r="R17" s="2">
        <v>0.96799999999999997</v>
      </c>
    </row>
    <row r="18" spans="2:18" x14ac:dyDescent="0.3">
      <c r="B18" s="2" t="s">
        <v>16</v>
      </c>
      <c r="C18" s="2">
        <f>C$13/C17</f>
        <v>6.0991055645484913</v>
      </c>
      <c r="D18" s="2" t="s">
        <v>16</v>
      </c>
      <c r="E18" s="2">
        <f>E$13/E17</f>
        <v>4.0673703845242866</v>
      </c>
      <c r="F18" s="2">
        <f>F$13/F17</f>
        <v>4.2050947798302758</v>
      </c>
      <c r="G18" s="2" t="s">
        <v>16</v>
      </c>
      <c r="H18" s="2">
        <f>H$13/H17</f>
        <v>4.3470789633325317</v>
      </c>
      <c r="I18" s="2">
        <f>I$13/I17</f>
        <v>3.9922960355376178</v>
      </c>
      <c r="J18" s="2">
        <f>J$13/J17</f>
        <v>1.3254540262289618</v>
      </c>
      <c r="K18" s="2">
        <f>K$13/K17</f>
        <v>1.7965243706898388</v>
      </c>
      <c r="L18" s="2">
        <f>L$13/L17</f>
        <v>4.5252424035579395</v>
      </c>
      <c r="M18" s="2" t="s">
        <v>16</v>
      </c>
      <c r="N18" s="2">
        <f>N$13/N17/N9</f>
        <v>6.0991055645484913</v>
      </c>
      <c r="P18" s="2" t="s">
        <v>16</v>
      </c>
      <c r="Q18" s="2">
        <f>Q$13/Q17</f>
        <v>5.0409442704758343</v>
      </c>
      <c r="R18" s="2">
        <f>R$13/R17</f>
        <v>5.7811032984530613</v>
      </c>
    </row>
    <row r="19" spans="2:18" x14ac:dyDescent="0.3">
      <c r="B19" s="2" t="s">
        <v>17</v>
      </c>
      <c r="C19" s="2">
        <f>10/3</f>
        <v>3.3333333333333335</v>
      </c>
      <c r="D19" s="2" t="s">
        <v>17</v>
      </c>
      <c r="E19" s="2">
        <f>4/3</f>
        <v>1.3333333333333333</v>
      </c>
      <c r="F19" s="2">
        <f>6/3</f>
        <v>2</v>
      </c>
      <c r="G19" s="2" t="s">
        <v>17</v>
      </c>
      <c r="H19" s="2">
        <f>F3</f>
        <v>1.3333333333333333</v>
      </c>
      <c r="I19" s="2">
        <v>0.96799999999999997</v>
      </c>
      <c r="J19" s="2">
        <v>0.96799999999999997</v>
      </c>
      <c r="K19" s="2">
        <v>0.96799999999999997</v>
      </c>
      <c r="L19" s="2">
        <v>0.96799999999999997</v>
      </c>
      <c r="P19" s="2" t="s">
        <v>17</v>
      </c>
      <c r="Q19" s="2">
        <f>F3</f>
        <v>1.3333333333333333</v>
      </c>
    </row>
    <row r="20" spans="2:18" x14ac:dyDescent="0.3">
      <c r="B20" s="2" t="s">
        <v>18</v>
      </c>
      <c r="C20" s="2">
        <f>C$13/C19</f>
        <v>1.7711802559448819</v>
      </c>
      <c r="D20" s="2" t="s">
        <v>18</v>
      </c>
      <c r="E20" s="2">
        <f>E$13/E19</f>
        <v>2.9529108991646322</v>
      </c>
      <c r="F20" s="2">
        <f>F$13/F19</f>
        <v>2.0352658734378535</v>
      </c>
      <c r="G20" s="2" t="s">
        <v>18</v>
      </c>
      <c r="H20" s="2">
        <f>H$13/H19</f>
        <v>3.1559793273794181</v>
      </c>
      <c r="I20" s="2">
        <f>I$13/I19/I9</f>
        <v>1.0714696821088614</v>
      </c>
      <c r="J20" s="2">
        <f>J$13/J19</f>
        <v>2.7385413765061193</v>
      </c>
      <c r="K20" s="2">
        <f>K$13/K19</f>
        <v>2.4745514747793922</v>
      </c>
      <c r="L20" s="2">
        <f>L$13/L19</f>
        <v>4.5252424035579395</v>
      </c>
      <c r="P20" s="2" t="s">
        <v>18</v>
      </c>
      <c r="Q20" s="2">
        <f>Q13/Q19</f>
        <v>3.6597255403654558</v>
      </c>
    </row>
    <row r="21" spans="2:18" x14ac:dyDescent="0.3">
      <c r="B21" s="2" t="s">
        <v>19</v>
      </c>
      <c r="C21" s="2">
        <v>0.96799999999999997</v>
      </c>
      <c r="D21" s="2" t="s">
        <v>19</v>
      </c>
      <c r="E21" s="2">
        <f>10/3</f>
        <v>3.3333333333333335</v>
      </c>
      <c r="F21" s="2">
        <v>0.96799999999999997</v>
      </c>
      <c r="G21" s="2" t="s">
        <v>19</v>
      </c>
      <c r="H21" s="2">
        <f>F5</f>
        <v>3.3333333333333335</v>
      </c>
      <c r="I21" s="2">
        <v>0.96799999999999997</v>
      </c>
      <c r="J21" s="2">
        <v>0.96799999999999997</v>
      </c>
      <c r="K21" s="2">
        <v>0.96799999999999997</v>
      </c>
      <c r="L21" s="2">
        <v>0.96799999999999997</v>
      </c>
    </row>
    <row r="22" spans="2:18" x14ac:dyDescent="0.3">
      <c r="B22" s="2" t="s">
        <v>20</v>
      </c>
      <c r="C22" s="2">
        <f>C$13/C21</f>
        <v>6.0991055645484913</v>
      </c>
      <c r="D22" s="2" t="s">
        <v>20</v>
      </c>
      <c r="E22" s="2">
        <f>E$13/E21</f>
        <v>1.1811643596658528</v>
      </c>
      <c r="F22" s="2">
        <f>F$13/F21</f>
        <v>4.2050947798302758</v>
      </c>
      <c r="G22" s="2" t="s">
        <v>20</v>
      </c>
      <c r="H22" s="2">
        <f>H$13/H21</f>
        <v>1.2623917309517672</v>
      </c>
      <c r="I22" s="2">
        <f>I$13/I21</f>
        <v>3.9922960355376178</v>
      </c>
      <c r="J22" s="2">
        <f>J$13/J21</f>
        <v>2.7385413765061193</v>
      </c>
      <c r="K22" s="2">
        <f>K$13/K21</f>
        <v>2.4745514747793922</v>
      </c>
      <c r="L22" s="2">
        <f>L$13/L21</f>
        <v>4.5252424035579395</v>
      </c>
    </row>
    <row r="23" spans="2:18" x14ac:dyDescent="0.3">
      <c r="B23" s="2" t="s">
        <v>21</v>
      </c>
      <c r="C23" s="2">
        <v>0.96799999999999997</v>
      </c>
      <c r="D23" s="2" t="s">
        <v>21</v>
      </c>
      <c r="E23" s="2">
        <v>0.96799999999999997</v>
      </c>
      <c r="F23" s="2">
        <v>0.96799999999999997</v>
      </c>
      <c r="G23" s="2" t="s">
        <v>21</v>
      </c>
      <c r="H23" s="2">
        <f>F2</f>
        <v>0.96799999999999997</v>
      </c>
      <c r="I23" s="2">
        <f>F3</f>
        <v>1.3333333333333333</v>
      </c>
    </row>
    <row r="24" spans="2:18" x14ac:dyDescent="0.3">
      <c r="B24" s="2" t="s">
        <v>22</v>
      </c>
      <c r="C24" s="2">
        <f>C$13/C23</f>
        <v>6.0991055645484913</v>
      </c>
      <c r="D24" s="2" t="s">
        <v>22</v>
      </c>
      <c r="E24" s="2">
        <f>E$13/E23</f>
        <v>4.0673703845242866</v>
      </c>
      <c r="F24" s="2">
        <f>F$13/F23</f>
        <v>4.2050947798302758</v>
      </c>
      <c r="G24" s="2" t="s">
        <v>22</v>
      </c>
      <c r="H24" s="2">
        <f>H$13/H23</f>
        <v>4.3470789633325317</v>
      </c>
      <c r="I24" s="2">
        <f>I$13/I23</f>
        <v>2.8984069218003108</v>
      </c>
    </row>
    <row r="25" spans="2:18" x14ac:dyDescent="0.3">
      <c r="D25" s="2" t="s">
        <v>26</v>
      </c>
      <c r="E25" s="2">
        <v>0.96799999999999997</v>
      </c>
      <c r="G25" s="2" t="s">
        <v>26</v>
      </c>
      <c r="H25" s="2">
        <f>F2</f>
        <v>0.96799999999999997</v>
      </c>
      <c r="I25" s="2">
        <f>F4</f>
        <v>2</v>
      </c>
    </row>
    <row r="26" spans="2:18" x14ac:dyDescent="0.3">
      <c r="D26" s="2" t="s">
        <v>25</v>
      </c>
      <c r="E26" s="2">
        <f>E$13/E25</f>
        <v>4.0673703845242866</v>
      </c>
      <c r="G26" s="2" t="s">
        <v>25</v>
      </c>
      <c r="H26" s="2">
        <f>H$13/H25</f>
        <v>4.3470789633325317</v>
      </c>
      <c r="I26" s="2">
        <f>I$13/I25</f>
        <v>1.932271281200207</v>
      </c>
    </row>
    <row r="27" spans="2:18" x14ac:dyDescent="0.3">
      <c r="I27" s="2">
        <f>F2</f>
        <v>0.96799999999999997</v>
      </c>
    </row>
    <row r="28" spans="2:18" x14ac:dyDescent="0.3">
      <c r="I28" s="2">
        <f>I$13/I27</f>
        <v>3.9922960355376178</v>
      </c>
    </row>
    <row r="29" spans="2:18" x14ac:dyDescent="0.3">
      <c r="I29" s="2">
        <f>F2</f>
        <v>0.96799999999999997</v>
      </c>
    </row>
    <row r="30" spans="2:18" x14ac:dyDescent="0.3">
      <c r="I30" s="2">
        <f>I$13/I29</f>
        <v>3.9922960355376178</v>
      </c>
    </row>
    <row r="31" spans="2:18" x14ac:dyDescent="0.3">
      <c r="B31" s="2" t="s">
        <v>27</v>
      </c>
      <c r="C31" s="2">
        <f>$C$5+C12*C13+C14</f>
        <v>15.87486837296588</v>
      </c>
      <c r="D31" s="2" t="s">
        <v>27</v>
      </c>
      <c r="E31" s="3">
        <f>$C$5+E12*E13+E14</f>
        <v>39.75628719331705</v>
      </c>
      <c r="F31" s="2">
        <f>$C$5+F12*F13+F14</f>
        <v>30.485658734378536</v>
      </c>
      <c r="G31" s="2" t="s">
        <v>27</v>
      </c>
      <c r="H31" s="3">
        <f>$C$5+H12*H13+I2+H14</f>
        <v>42.413834619035342</v>
      </c>
      <c r="I31" s="3">
        <f>$C$5+I12*I13+I2+I14</f>
        <v>36.35325537440248</v>
      </c>
      <c r="J31" s="3">
        <f>$C$5+J12*J13+I2+J14+H13*2</f>
        <v>30.119577082843474</v>
      </c>
      <c r="K31" s="3">
        <f>$C$5+K12*K13+K14</f>
        <v>17.648463310345807</v>
      </c>
      <c r="L31" s="2">
        <f>$C$5+L12*L13+L14+I2</f>
        <v>23.654738586576343</v>
      </c>
      <c r="N31" s="2">
        <f>$C$5+N12*N13+N14</f>
        <v>15.87486837296588</v>
      </c>
      <c r="Q31" s="2">
        <f>$C$5+Q12*Q13+Q14</f>
        <v>20.705902161461822</v>
      </c>
      <c r="R31" s="2">
        <f>$C$5+R12*R13+R14</f>
        <v>14.226215985805126</v>
      </c>
    </row>
    <row r="32" spans="2:18" x14ac:dyDescent="0.3">
      <c r="B32" s="4" t="s">
        <v>96</v>
      </c>
      <c r="C32" s="2">
        <v>1</v>
      </c>
      <c r="G32" s="4" t="s">
        <v>96</v>
      </c>
      <c r="H32" s="2">
        <v>1</v>
      </c>
      <c r="P32" s="2" t="s">
        <v>108</v>
      </c>
      <c r="Q32" s="2">
        <f>1</f>
        <v>1</v>
      </c>
    </row>
    <row r="33" spans="2:17" x14ac:dyDescent="0.3">
      <c r="B33" s="5" t="s">
        <v>97</v>
      </c>
      <c r="C33" s="2">
        <f>C32*C16</f>
        <v>6.0991055645484913</v>
      </c>
      <c r="G33" s="5" t="s">
        <v>97</v>
      </c>
      <c r="H33" s="2">
        <f>H32*H16</f>
        <v>4.3470789633325317</v>
      </c>
      <c r="L33" s="2">
        <f>H33</f>
        <v>4.3470789633325317</v>
      </c>
      <c r="P33" s="2" t="s">
        <v>109</v>
      </c>
      <c r="Q33" s="2">
        <f>Q32*Q16</f>
        <v>5.0409442704758343</v>
      </c>
    </row>
    <row r="34" spans="2:17" x14ac:dyDescent="0.3">
      <c r="G34" s="6" t="s">
        <v>99</v>
      </c>
      <c r="H34" s="2">
        <f>H33*H18/H9</f>
        <v>5.0716842494493397</v>
      </c>
      <c r="J34" s="2">
        <f>H34</f>
        <v>5.0716842494493397</v>
      </c>
      <c r="K34" s="2">
        <f>H34</f>
        <v>5.0716842494493397</v>
      </c>
      <c r="L34" s="2">
        <f>L33*L16/L9</f>
        <v>3.832949940152873</v>
      </c>
      <c r="M34" s="4" t="s">
        <v>105</v>
      </c>
      <c r="O34" s="5" t="s">
        <v>91</v>
      </c>
      <c r="P34" s="2" t="s">
        <v>98</v>
      </c>
      <c r="Q34" s="2">
        <f>Q33*Q18/Q9</f>
        <v>10.164447655217256</v>
      </c>
    </row>
    <row r="35" spans="2:17" x14ac:dyDescent="0.3">
      <c r="G35" s="6" t="s">
        <v>100</v>
      </c>
      <c r="K35" s="2">
        <f>K34*K16</f>
        <v>9.1114043545795429</v>
      </c>
      <c r="L35" s="2">
        <f>L34*L18</f>
        <v>17.345027599894646</v>
      </c>
      <c r="M35" s="5" t="s">
        <v>106</v>
      </c>
      <c r="O35" s="5" t="s">
        <v>92</v>
      </c>
    </row>
    <row r="36" spans="2:17" x14ac:dyDescent="0.3">
      <c r="G36" s="7" t="s">
        <v>101</v>
      </c>
      <c r="J36" s="2">
        <f>J34*J16</f>
        <v>10.083426462291957</v>
      </c>
      <c r="L36" s="2">
        <f>L35*L20</f>
        <v>78.490454385926043</v>
      </c>
      <c r="M36" s="5" t="s">
        <v>107</v>
      </c>
    </row>
    <row r="37" spans="2:17" x14ac:dyDescent="0.3">
      <c r="G37" s="8" t="s">
        <v>102</v>
      </c>
      <c r="H37" s="2">
        <f>H34*H20</f>
        <v>16.006130646257915</v>
      </c>
    </row>
    <row r="38" spans="2:17" x14ac:dyDescent="0.3">
      <c r="G38" s="4" t="s">
        <v>103</v>
      </c>
      <c r="H38" s="2">
        <f>H37*H22</f>
        <v>20.206006972369657</v>
      </c>
      <c r="J38" s="2">
        <f>J36*J18</f>
        <v>13.365118202628532</v>
      </c>
      <c r="K38" s="2">
        <f>K35*K18</f>
        <v>16.36885997421167</v>
      </c>
    </row>
    <row r="39" spans="2:17" x14ac:dyDescent="0.3">
      <c r="G39" s="5" t="s">
        <v>104</v>
      </c>
      <c r="H39" s="2">
        <f>H38*H24</f>
        <v>87.8371078425386</v>
      </c>
      <c r="J39" s="2">
        <f>J38*J20</f>
        <v>36.600929199793327</v>
      </c>
      <c r="K39" s="2">
        <f>K38*K20</f>
        <v>40.505586589642853</v>
      </c>
      <c r="M39" s="5"/>
    </row>
    <row r="41" spans="2:17" x14ac:dyDescent="0.3">
      <c r="G41" s="9"/>
      <c r="M41" s="5"/>
    </row>
    <row r="43" spans="2:17" x14ac:dyDescent="0.3">
      <c r="G43" s="8"/>
    </row>
    <row r="45" spans="2:17" x14ac:dyDescent="0.3">
      <c r="G45" s="5"/>
    </row>
    <row r="47" spans="2:17" x14ac:dyDescent="0.3">
      <c r="G47" s="5"/>
    </row>
    <row r="49" spans="2:17" x14ac:dyDescent="0.3">
      <c r="B49" s="4" t="s">
        <v>68</v>
      </c>
      <c r="C49" s="2">
        <v>0.5</v>
      </c>
      <c r="D49" s="2" t="s">
        <v>76</v>
      </c>
      <c r="E49" s="2">
        <v>0.5</v>
      </c>
      <c r="G49" s="4" t="s">
        <v>68</v>
      </c>
      <c r="H49" s="2">
        <v>0.5</v>
      </c>
      <c r="I49" s="2">
        <v>0.5</v>
      </c>
      <c r="M49" s="4"/>
      <c r="P49" s="4" t="s">
        <v>61</v>
      </c>
      <c r="Q49" s="2">
        <v>0.5</v>
      </c>
    </row>
    <row r="50" spans="2:17" x14ac:dyDescent="0.3">
      <c r="B50" s="5" t="s">
        <v>69</v>
      </c>
      <c r="C50" s="2">
        <v>1.5</v>
      </c>
      <c r="D50" s="2" t="s">
        <v>77</v>
      </c>
      <c r="E50" s="2">
        <v>1.5</v>
      </c>
      <c r="G50" s="5" t="s">
        <v>69</v>
      </c>
      <c r="H50" s="2">
        <v>1.5</v>
      </c>
      <c r="I50" s="2">
        <v>1.5</v>
      </c>
      <c r="M50" s="5"/>
      <c r="P50" s="5" t="s">
        <v>62</v>
      </c>
      <c r="Q50" s="2">
        <v>1.5</v>
      </c>
    </row>
    <row r="51" spans="2:17" x14ac:dyDescent="0.3">
      <c r="B51" s="5" t="s">
        <v>70</v>
      </c>
      <c r="C51" s="2">
        <f>$N$4*C33</f>
        <v>3.0495527822742456</v>
      </c>
      <c r="D51" s="4" t="s">
        <v>61</v>
      </c>
      <c r="E51" s="2">
        <f>$N$4*E16</f>
        <v>2.0336851922621433</v>
      </c>
      <c r="G51" s="5" t="s">
        <v>70</v>
      </c>
      <c r="H51" s="2">
        <f>$N$4*H33</f>
        <v>2.1735394816662659</v>
      </c>
      <c r="L51" s="2">
        <f>H51</f>
        <v>2.1735394816662659</v>
      </c>
      <c r="M51" s="5" t="s">
        <v>70</v>
      </c>
      <c r="N51" s="2">
        <f>N4*N16</f>
        <v>3.0495527822742456</v>
      </c>
      <c r="O51" s="5" t="s">
        <v>91</v>
      </c>
      <c r="P51" s="5" t="s">
        <v>63</v>
      </c>
      <c r="Q51" s="2">
        <f>Q49*Q33</f>
        <v>2.5204721352379171</v>
      </c>
    </row>
    <row r="52" spans="2:17" x14ac:dyDescent="0.3">
      <c r="B52" s="5" t="s">
        <v>71</v>
      </c>
      <c r="C52" s="2">
        <f>$N$5*C33</f>
        <v>9.1486583468227369</v>
      </c>
      <c r="D52" s="5" t="s">
        <v>62</v>
      </c>
      <c r="E52" s="2">
        <f>$N$5*E16</f>
        <v>6.1010555767864298</v>
      </c>
      <c r="G52" s="5" t="s">
        <v>71</v>
      </c>
      <c r="H52" s="2">
        <f>$N$5*H33</f>
        <v>6.5206184449987976</v>
      </c>
      <c r="L52" s="2">
        <f>H52</f>
        <v>6.5206184449987976</v>
      </c>
      <c r="M52" s="5" t="s">
        <v>71</v>
      </c>
      <c r="N52" s="2">
        <f>N5*N16</f>
        <v>9.1486583468227369</v>
      </c>
      <c r="O52" s="5" t="s">
        <v>92</v>
      </c>
      <c r="P52" s="5" t="s">
        <v>64</v>
      </c>
      <c r="Q52" s="2">
        <f>Q50*Q33</f>
        <v>7.5614164057137518</v>
      </c>
    </row>
    <row r="53" spans="2:17" x14ac:dyDescent="0.3">
      <c r="D53" s="10" t="s">
        <v>57</v>
      </c>
      <c r="E53" s="2">
        <f>$N$2*E18*E16</f>
        <v>16.543501844905244</v>
      </c>
      <c r="G53" s="10" t="s">
        <v>57</v>
      </c>
      <c r="H53" s="2">
        <f>$N$2*H34</f>
        <v>5.0716842494493397</v>
      </c>
      <c r="J53" s="2">
        <f>H53</f>
        <v>5.0716842494493397</v>
      </c>
      <c r="K53" s="2">
        <f>H53</f>
        <v>5.0716842494493397</v>
      </c>
      <c r="L53" s="2">
        <f>N4*L34</f>
        <v>1.9164749700764365</v>
      </c>
      <c r="M53" s="4" t="s">
        <v>80</v>
      </c>
      <c r="P53" s="10" t="s">
        <v>57</v>
      </c>
      <c r="Q53" s="2">
        <f>N2*Q34</f>
        <v>10.164447655217256</v>
      </c>
    </row>
    <row r="54" spans="2:17" x14ac:dyDescent="0.3">
      <c r="D54" s="6" t="s">
        <v>58</v>
      </c>
      <c r="E54" s="2">
        <f>$N$3*E18*E16</f>
        <v>24.815252767357865</v>
      </c>
      <c r="G54" s="6" t="s">
        <v>58</v>
      </c>
      <c r="H54" s="2">
        <f>$N$3*H34</f>
        <v>7.6075263741740091</v>
      </c>
      <c r="J54" s="2">
        <f>H54</f>
        <v>7.6075263741740091</v>
      </c>
      <c r="K54" s="2">
        <f>H54</f>
        <v>7.6075263741740091</v>
      </c>
      <c r="L54" s="2">
        <f>N5*L34</f>
        <v>5.74942491022931</v>
      </c>
      <c r="M54" s="5" t="s">
        <v>81</v>
      </c>
      <c r="P54" s="6" t="s">
        <v>58</v>
      </c>
      <c r="Q54" s="2">
        <f>N3*Q34</f>
        <v>15.246671482825883</v>
      </c>
    </row>
    <row r="55" spans="2:17" x14ac:dyDescent="0.3">
      <c r="D55" s="10" t="s">
        <v>57</v>
      </c>
      <c r="G55" s="10" t="s">
        <v>88</v>
      </c>
      <c r="K55" s="2">
        <f>K53*K16</f>
        <v>9.1114043545795429</v>
      </c>
      <c r="L55" s="2">
        <f>N4*L35</f>
        <v>8.672513799947323</v>
      </c>
      <c r="M55" s="5" t="s">
        <v>82</v>
      </c>
    </row>
    <row r="56" spans="2:17" x14ac:dyDescent="0.3">
      <c r="D56" s="6" t="s">
        <v>58</v>
      </c>
      <c r="G56" s="6" t="s">
        <v>89</v>
      </c>
      <c r="K56" s="2">
        <f>K54*K18</f>
        <v>13.667106531869313</v>
      </c>
      <c r="L56" s="2">
        <f>N5*L35</f>
        <v>26.017541399841967</v>
      </c>
      <c r="M56" s="5" t="s">
        <v>83</v>
      </c>
    </row>
    <row r="57" spans="2:17" x14ac:dyDescent="0.3">
      <c r="D57" s="7" t="s">
        <v>55</v>
      </c>
      <c r="F57" s="2">
        <f>L4*F16*F18</f>
        <v>35.365644214711672</v>
      </c>
      <c r="G57" s="7" t="s">
        <v>55</v>
      </c>
      <c r="J57" s="2">
        <f>L4*J36</f>
        <v>20.166852924583914</v>
      </c>
      <c r="L57" s="2">
        <f>N4*L36</f>
        <v>39.245227192963021</v>
      </c>
      <c r="M57" s="5" t="s">
        <v>72</v>
      </c>
    </row>
    <row r="58" spans="2:17" x14ac:dyDescent="0.3">
      <c r="D58" s="9" t="s">
        <v>56</v>
      </c>
      <c r="F58" s="2">
        <f>L5*F16*F18</f>
        <v>26.524233161033752</v>
      </c>
      <c r="G58" s="9" t="s">
        <v>56</v>
      </c>
      <c r="J58" s="2">
        <f>L5*J36</f>
        <v>15.125139693437935</v>
      </c>
      <c r="L58" s="2">
        <f>N5*L36</f>
        <v>117.73568157888906</v>
      </c>
      <c r="M58" s="5" t="s">
        <v>73</v>
      </c>
    </row>
    <row r="59" spans="2:17" x14ac:dyDescent="0.3">
      <c r="D59" s="8" t="s">
        <v>53</v>
      </c>
      <c r="E59" s="2">
        <f>L2*E20*E18*E16</f>
        <v>195.40594763268356</v>
      </c>
      <c r="G59" s="8" t="s">
        <v>53</v>
      </c>
      <c r="H59" s="2">
        <f>L2*H37</f>
        <v>64.024522585031661</v>
      </c>
    </row>
    <row r="60" spans="2:17" x14ac:dyDescent="0.3">
      <c r="D60" s="8" t="s">
        <v>54</v>
      </c>
      <c r="E60" s="2">
        <f>L3*E20*E18*E16</f>
        <v>73.277230362256347</v>
      </c>
      <c r="G60" s="8" t="s">
        <v>54</v>
      </c>
      <c r="H60" s="2">
        <f>L3*H37</f>
        <v>24.009195969386873</v>
      </c>
      <c r="I60" s="2" t="s">
        <v>78</v>
      </c>
    </row>
    <row r="61" spans="2:17" x14ac:dyDescent="0.3">
      <c r="D61" s="4" t="s">
        <v>63</v>
      </c>
      <c r="E61" s="2">
        <f>N4*E16*E18*E20*E22</f>
        <v>28.850817626307233</v>
      </c>
      <c r="G61" s="4" t="s">
        <v>72</v>
      </c>
      <c r="H61" s="2">
        <f>N4*H38</f>
        <v>10.103003486184829</v>
      </c>
      <c r="J61" s="2">
        <f>N4*J38</f>
        <v>6.6825591013142658</v>
      </c>
      <c r="K61" s="2">
        <f>N4*K38</f>
        <v>8.184429987105835</v>
      </c>
      <c r="M61" s="5"/>
    </row>
    <row r="62" spans="2:17" x14ac:dyDescent="0.3">
      <c r="D62" s="5" t="s">
        <v>64</v>
      </c>
      <c r="E62" s="2">
        <f>N5*E16*E18*E20*E22</f>
        <v>86.552452878921699</v>
      </c>
      <c r="G62" s="5" t="s">
        <v>73</v>
      </c>
      <c r="H62" s="2">
        <f>N5*H38</f>
        <v>30.309010458554486</v>
      </c>
      <c r="J62" s="2">
        <f>N5*J38</f>
        <v>20.047677303942798</v>
      </c>
      <c r="K62" s="2">
        <f>N5*K38</f>
        <v>24.553289961317503</v>
      </c>
      <c r="M62" s="5"/>
    </row>
    <row r="63" spans="2:17" x14ac:dyDescent="0.3">
      <c r="D63" s="5" t="s">
        <v>65</v>
      </c>
      <c r="E63" s="2">
        <f>N4*E16*E18*E20*E22*E24</f>
        <v>117.34696118255331</v>
      </c>
      <c r="G63" s="5" t="s">
        <v>74</v>
      </c>
      <c r="H63" s="2">
        <f>$N$4*H39</f>
        <v>43.9185539212693</v>
      </c>
      <c r="J63" s="2">
        <f>N4*J39</f>
        <v>18.300464599896664</v>
      </c>
      <c r="K63" s="2">
        <f>N4*K39</f>
        <v>20.252793294821426</v>
      </c>
      <c r="M63" s="5"/>
    </row>
    <row r="64" spans="2:17" x14ac:dyDescent="0.3">
      <c r="D64" s="5" t="s">
        <v>66</v>
      </c>
      <c r="E64" s="2">
        <f>N5*E16*E18*E20*E22*E24</f>
        <v>352.04088354765992</v>
      </c>
      <c r="G64" s="5" t="s">
        <v>75</v>
      </c>
      <c r="H64" s="2">
        <f>$N$5*H39</f>
        <v>131.75566176380789</v>
      </c>
      <c r="J64" s="2">
        <f>N5*J39</f>
        <v>54.901393799689991</v>
      </c>
      <c r="K64" s="2">
        <f>N5*K39</f>
        <v>60.758379884464276</v>
      </c>
      <c r="M64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C8757-642D-4661-86F7-D66A63702A8A}">
  <dimension ref="A1:R72"/>
  <sheetViews>
    <sheetView topLeftCell="A61" workbookViewId="0">
      <selection activeCell="C49" sqref="C49"/>
    </sheetView>
  </sheetViews>
  <sheetFormatPr defaultRowHeight="14.5" x14ac:dyDescent="0.3"/>
  <cols>
    <col min="1" max="1" width="8.796875" style="14"/>
    <col min="2" max="2" width="11.3984375" style="14" customWidth="1"/>
    <col min="3" max="3" width="9.5" style="14" customWidth="1"/>
    <col min="4" max="4" width="8.796875" style="14"/>
    <col min="5" max="5" width="9.59765625" style="14" customWidth="1"/>
    <col min="6" max="6" width="10.5" style="14" customWidth="1"/>
    <col min="7" max="7" width="12.19921875" style="14" customWidth="1"/>
    <col min="8" max="8" width="11.09765625" style="14" customWidth="1"/>
    <col min="9" max="9" width="10.69921875" style="14" customWidth="1"/>
    <col min="10" max="10" width="12" style="14" customWidth="1"/>
    <col min="11" max="11" width="9.09765625" style="14" customWidth="1"/>
    <col min="12" max="12" width="15.3984375" style="14" customWidth="1"/>
    <col min="13" max="13" width="10.5" style="14" customWidth="1"/>
    <col min="14" max="14" width="9.296875" style="14" customWidth="1"/>
    <col min="15" max="15" width="9.5" style="14" customWidth="1"/>
    <col min="16" max="16" width="11.8984375" style="14" customWidth="1"/>
    <col min="17" max="17" width="8.296875" style="14" customWidth="1"/>
    <col min="18" max="18" width="8.8984375" style="14" customWidth="1"/>
    <col min="19" max="16384" width="8.796875" style="14"/>
  </cols>
  <sheetData>
    <row r="1" spans="2:16" x14ac:dyDescent="0.3">
      <c r="B1" s="14" t="s">
        <v>171</v>
      </c>
      <c r="C1" s="14">
        <v>0.9</v>
      </c>
      <c r="E1" s="14" t="s">
        <v>184</v>
      </c>
      <c r="F1" s="14">
        <f>2/F2</f>
        <v>2.0661157024793391</v>
      </c>
      <c r="G1" s="14" t="s">
        <v>167</v>
      </c>
      <c r="H1" s="14">
        <f>2/1.033</f>
        <v>1.9361084220716362</v>
      </c>
      <c r="I1" s="14" t="s">
        <v>152</v>
      </c>
    </row>
    <row r="2" spans="2:16" x14ac:dyDescent="0.3">
      <c r="B2" s="14" t="s">
        <v>142</v>
      </c>
      <c r="C2" s="14">
        <f>0.0000000000015</f>
        <v>1.5000000000000001E-12</v>
      </c>
      <c r="E2" s="14" t="s">
        <v>5</v>
      </c>
      <c r="F2" s="14">
        <v>0.96799999999999997</v>
      </c>
      <c r="G2" s="14" t="s">
        <v>53</v>
      </c>
      <c r="H2" s="14">
        <v>4</v>
      </c>
      <c r="I2" s="14" t="s">
        <v>153</v>
      </c>
      <c r="J2" s="14">
        <v>2</v>
      </c>
      <c r="K2" s="14">
        <f>C8</f>
        <v>3.7803999999999997E-15</v>
      </c>
      <c r="L2" s="14" t="s">
        <v>172</v>
      </c>
      <c r="M2" s="14">
        <f>0.0000000000000164092</f>
        <v>1.6409199999999999E-14</v>
      </c>
    </row>
    <row r="3" spans="2:16" x14ac:dyDescent="0.3">
      <c r="B3" s="14" t="s">
        <v>1</v>
      </c>
      <c r="C3" s="14">
        <f>C8</f>
        <v>3.7803999999999997E-15</v>
      </c>
      <c r="E3" s="14" t="s">
        <v>6</v>
      </c>
      <c r="F3" s="14">
        <f>(H6+H7)/F1</f>
        <v>1.21</v>
      </c>
      <c r="G3" s="14" t="s">
        <v>54</v>
      </c>
      <c r="H3" s="14">
        <v>1.5</v>
      </c>
      <c r="I3" s="14" t="s">
        <v>154</v>
      </c>
      <c r="J3" s="14">
        <v>2.5</v>
      </c>
      <c r="L3" s="14" t="s">
        <v>173</v>
      </c>
      <c r="M3" s="14">
        <f>M2</f>
        <v>1.6409199999999999E-14</v>
      </c>
    </row>
    <row r="4" spans="2:16" x14ac:dyDescent="0.3">
      <c r="B4" s="14" t="s">
        <v>2</v>
      </c>
      <c r="C4" s="14">
        <f>C2/C3</f>
        <v>396.7834091630516</v>
      </c>
      <c r="E4" s="14" t="s">
        <v>7</v>
      </c>
      <c r="F4" s="14">
        <f>(H4+H5)/F1</f>
        <v>1.6939999999999997</v>
      </c>
      <c r="G4" s="14" t="s">
        <v>55</v>
      </c>
      <c r="H4" s="14">
        <v>2</v>
      </c>
      <c r="I4" s="14" t="s">
        <v>155</v>
      </c>
      <c r="J4" s="14">
        <v>3.5</v>
      </c>
      <c r="L4" s="14" t="s">
        <v>174</v>
      </c>
      <c r="M4" s="14">
        <f>0.0000000000000117599</f>
        <v>1.1759899999999999E-14</v>
      </c>
    </row>
    <row r="5" spans="2:16" x14ac:dyDescent="0.3">
      <c r="B5" s="14" t="s">
        <v>143</v>
      </c>
      <c r="C5" s="14">
        <f>F2*1+F6*1</f>
        <v>2.0009999999999999</v>
      </c>
      <c r="E5" s="14" t="s">
        <v>8</v>
      </c>
      <c r="F5" s="14">
        <f>(H2+H3)/F1</f>
        <v>2.6619999999999999</v>
      </c>
      <c r="G5" s="14" t="s">
        <v>56</v>
      </c>
      <c r="H5" s="14">
        <v>1.5</v>
      </c>
      <c r="I5" s="14" t="s">
        <v>156</v>
      </c>
      <c r="J5" s="14">
        <v>5.5</v>
      </c>
    </row>
    <row r="6" spans="2:16" x14ac:dyDescent="0.3">
      <c r="B6" s="14" t="s">
        <v>158</v>
      </c>
      <c r="C6" s="14">
        <f>0.0000000000001102951</f>
        <v>1.1029510000000001E-13</v>
      </c>
      <c r="E6" s="14" t="s">
        <v>29</v>
      </c>
      <c r="F6" s="14">
        <v>1.0329999999999999</v>
      </c>
      <c r="G6" s="14" t="s">
        <v>57</v>
      </c>
      <c r="H6" s="14">
        <v>1</v>
      </c>
    </row>
    <row r="7" spans="2:16" x14ac:dyDescent="0.3">
      <c r="B7" s="14" t="s">
        <v>157</v>
      </c>
      <c r="C7" s="14">
        <f>0.0000000000000298947</f>
        <v>2.9894699999999999E-14</v>
      </c>
      <c r="E7" s="14" t="s">
        <v>30</v>
      </c>
      <c r="F7" s="14">
        <f>(H7*2+H6)/H1</f>
        <v>2.0659999999999998</v>
      </c>
      <c r="G7" s="14" t="s">
        <v>58</v>
      </c>
      <c r="H7" s="14">
        <v>1.5</v>
      </c>
      <c r="J7" s="14">
        <f>P39*K2/J2</f>
        <v>1.6355522560000001E-14</v>
      </c>
    </row>
    <row r="8" spans="2:16" x14ac:dyDescent="0.3">
      <c r="B8" s="15" t="s">
        <v>168</v>
      </c>
      <c r="C8" s="14">
        <f>0.0000000000000037804</f>
        <v>3.7803999999999997E-15</v>
      </c>
      <c r="E8" s="14" t="s">
        <v>31</v>
      </c>
      <c r="F8" s="14">
        <f>(H5*4+H4)/H1</f>
        <v>4.1319999999999997</v>
      </c>
      <c r="G8" s="14" t="s">
        <v>60</v>
      </c>
      <c r="H8" s="14">
        <v>0.5</v>
      </c>
    </row>
    <row r="9" spans="2:16" x14ac:dyDescent="0.3">
      <c r="B9" s="14" t="s">
        <v>169</v>
      </c>
      <c r="C9" s="14">
        <f>0.0000000000000066993</f>
        <v>6.6992999999999998E-15</v>
      </c>
      <c r="E9" s="14" t="s">
        <v>32</v>
      </c>
      <c r="F9" s="14">
        <f>(H3*8+H2)/H1</f>
        <v>8.2639999999999993</v>
      </c>
      <c r="G9" s="14" t="s">
        <v>59</v>
      </c>
      <c r="H9" s="14">
        <v>1.5</v>
      </c>
    </row>
    <row r="10" spans="2:16" x14ac:dyDescent="0.3">
      <c r="B10" s="14" t="s">
        <v>169</v>
      </c>
      <c r="C10" s="14">
        <f>0.0000000000000081632</f>
        <v>8.1631999999999998E-15</v>
      </c>
      <c r="E10" s="14">
        <f>C2/(E39*K2/J2)</f>
        <v>95.380627202656626</v>
      </c>
      <c r="F10" s="14">
        <f>C2/(E39*K2/J2)</f>
        <v>95.380627202656626</v>
      </c>
      <c r="G10" s="14">
        <f>C2/(G38*K2/J2)</f>
        <v>95.380627202656626</v>
      </c>
    </row>
    <row r="11" spans="2:16" x14ac:dyDescent="0.3">
      <c r="B11" s="14" t="s">
        <v>170</v>
      </c>
      <c r="C11" s="14">
        <f>(3.3631+0.83)*10^(-15)</f>
        <v>4.1931000000000002E-15</v>
      </c>
      <c r="E11" s="14">
        <f>C2/M2</f>
        <v>91.412134656168504</v>
      </c>
      <c r="F11" s="14">
        <f>C2/M3</f>
        <v>91.412134656168504</v>
      </c>
      <c r="G11" s="14">
        <f>C2/M4</f>
        <v>127.55210503490677</v>
      </c>
    </row>
    <row r="12" spans="2:16" x14ac:dyDescent="0.3">
      <c r="B12" s="14">
        <v>7</v>
      </c>
      <c r="C12" s="14" t="s">
        <v>67</v>
      </c>
      <c r="E12" s="14" t="s">
        <v>79</v>
      </c>
      <c r="F12" s="14" t="s">
        <v>85</v>
      </c>
      <c r="G12" s="14" t="s">
        <v>84</v>
      </c>
    </row>
    <row r="13" spans="2:16" x14ac:dyDescent="0.3">
      <c r="B13" s="14" t="s">
        <v>3</v>
      </c>
      <c r="C13" s="14">
        <v>4</v>
      </c>
      <c r="E13" s="14">
        <v>1</v>
      </c>
      <c r="F13" s="14">
        <v>1</v>
      </c>
      <c r="G13" s="14">
        <v>1</v>
      </c>
      <c r="I13" s="14">
        <f>C13</f>
        <v>4</v>
      </c>
      <c r="J13" s="14">
        <f>(F3*3+F2)/F2</f>
        <v>4.75</v>
      </c>
      <c r="L13" s="14" t="s">
        <v>185</v>
      </c>
      <c r="M13" s="14">
        <f>H6</f>
        <v>1</v>
      </c>
      <c r="N13" s="14">
        <v>1.5</v>
      </c>
      <c r="O13" s="14">
        <v>2.5</v>
      </c>
      <c r="P13" s="14">
        <f>F3</f>
        <v>1.21</v>
      </c>
    </row>
    <row r="14" spans="2:16" x14ac:dyDescent="0.3">
      <c r="B14" s="14" t="s">
        <v>4</v>
      </c>
      <c r="C14" s="14">
        <f>F2^(C16-2)*F3*F5</f>
        <v>2.8281005788308269</v>
      </c>
      <c r="E14" s="14">
        <f>F2^(E16-2)*F3*F4</f>
        <v>1.9206555737599997</v>
      </c>
      <c r="F14" s="14">
        <f>F2^(F16-2)*F3*F3</f>
        <v>1.3718968383999999</v>
      </c>
      <c r="G14" s="14">
        <f>F2^G16</f>
        <v>0.90703923199999992</v>
      </c>
      <c r="L14" s="14" t="s">
        <v>186</v>
      </c>
      <c r="M14" s="14">
        <f>H4</f>
        <v>2</v>
      </c>
      <c r="N14" s="14">
        <v>1.5</v>
      </c>
      <c r="O14" s="14">
        <v>3.5</v>
      </c>
      <c r="P14" s="14">
        <f t="shared" ref="P14:P15" si="0">F4</f>
        <v>1.6939999999999997</v>
      </c>
    </row>
    <row r="15" spans="2:16" x14ac:dyDescent="0.3">
      <c r="B15" s="14" t="s">
        <v>9</v>
      </c>
      <c r="C15" s="14">
        <f>$C$4*I13*C14</f>
        <v>4488.5735564979805</v>
      </c>
      <c r="E15" s="14">
        <f>E10*E13*E14</f>
        <v>183.19333326550711</v>
      </c>
      <c r="F15" s="14">
        <f>$F$10*F13*F14</f>
        <v>130.85238090393364</v>
      </c>
      <c r="G15" s="14">
        <f>G10*G13*G14</f>
        <v>86.513970845575969</v>
      </c>
      <c r="L15" s="14" t="s">
        <v>187</v>
      </c>
      <c r="M15" s="14">
        <f>H2</f>
        <v>4</v>
      </c>
      <c r="N15" s="14">
        <v>1.5</v>
      </c>
      <c r="O15" s="14">
        <v>5.5</v>
      </c>
      <c r="P15" s="14">
        <f t="shared" si="0"/>
        <v>2.6619999999999999</v>
      </c>
    </row>
    <row r="16" spans="2:16" x14ac:dyDescent="0.3">
      <c r="B16" s="14" t="s">
        <v>11</v>
      </c>
      <c r="C16" s="14">
        <v>6</v>
      </c>
      <c r="E16" s="14">
        <v>4</v>
      </c>
      <c r="F16" s="14">
        <v>4</v>
      </c>
      <c r="G16" s="14">
        <v>3</v>
      </c>
    </row>
    <row r="17" spans="2:13" x14ac:dyDescent="0.3">
      <c r="B17" s="14" t="s">
        <v>12</v>
      </c>
      <c r="C17" s="14">
        <v>4.0268800000000002</v>
      </c>
      <c r="E17" s="14">
        <f t="shared" ref="E17:F25" si="1">E15^(1/E16)</f>
        <v>3.6789799096016935</v>
      </c>
      <c r="F17" s="14">
        <f t="shared" si="1"/>
        <v>3.3821697997529543</v>
      </c>
      <c r="G17" s="14">
        <f>G15^(1/G16)</f>
        <v>4.4227807969861699</v>
      </c>
    </row>
    <row r="18" spans="2:13" x14ac:dyDescent="0.3">
      <c r="B18" s="14" t="s">
        <v>28</v>
      </c>
      <c r="C18" s="14">
        <f>F6*(C16-2)+F7+F9</f>
        <v>14.462</v>
      </c>
      <c r="E18" s="14">
        <f>F6*(E16-2)+F7+F8+F6</f>
        <v>9.2969999999999988</v>
      </c>
      <c r="F18" s="14">
        <f>F6*3+F7+F7</f>
        <v>7.230999999999999</v>
      </c>
      <c r="G18" s="14">
        <f>F6*G16</f>
        <v>3.0989999999999998</v>
      </c>
      <c r="J18" s="14" t="s">
        <v>207</v>
      </c>
      <c r="K18" s="14" t="s">
        <v>205</v>
      </c>
      <c r="L18" s="14" t="s">
        <v>206</v>
      </c>
      <c r="M18" s="14" t="s">
        <v>208</v>
      </c>
    </row>
    <row r="19" spans="2:13" x14ac:dyDescent="0.3">
      <c r="B19" s="14" t="s">
        <v>13</v>
      </c>
      <c r="C19" s="14">
        <f>F2</f>
        <v>0.96799999999999997</v>
      </c>
      <c r="E19" s="14">
        <f>F3</f>
        <v>1.21</v>
      </c>
      <c r="F19" s="14">
        <f>F3</f>
        <v>1.21</v>
      </c>
      <c r="G19" s="14">
        <v>0.96799999999999997</v>
      </c>
      <c r="I19" s="14" t="s">
        <v>204</v>
      </c>
    </row>
    <row r="20" spans="2:13" x14ac:dyDescent="0.3">
      <c r="B20" s="14" t="s">
        <v>14</v>
      </c>
      <c r="C20" s="14">
        <f>C$17/C19</f>
        <v>4.16</v>
      </c>
      <c r="E20" s="14">
        <f>E$17/E19</f>
        <v>3.0404792641336309</v>
      </c>
      <c r="F20" s="14">
        <f>F$17/F19</f>
        <v>2.7951816526883921</v>
      </c>
      <c r="G20" s="14">
        <f>G$17/G19</f>
        <v>4.5689884266386054</v>
      </c>
    </row>
    <row r="21" spans="2:13" x14ac:dyDescent="0.3">
      <c r="B21" s="14" t="s">
        <v>15</v>
      </c>
      <c r="C21" s="14">
        <f>F2</f>
        <v>0.96799999999999997</v>
      </c>
      <c r="E21" s="14">
        <f>F4</f>
        <v>1.6939999999999997</v>
      </c>
      <c r="F21" s="14">
        <f>F3</f>
        <v>1.21</v>
      </c>
      <c r="G21" s="14">
        <v>0.96799999999999997</v>
      </c>
    </row>
    <row r="22" spans="2:13" x14ac:dyDescent="0.3">
      <c r="B22" s="14" t="s">
        <v>16</v>
      </c>
      <c r="C22" s="14">
        <f>C$17/C21</f>
        <v>4.16</v>
      </c>
      <c r="E22" s="14">
        <f>E$17/E21</f>
        <v>2.171770902952594</v>
      </c>
      <c r="F22" s="14">
        <f>F$17/F21</f>
        <v>2.7951816526883921</v>
      </c>
      <c r="G22" s="14">
        <f>G$17/G21</f>
        <v>4.5689884266386054</v>
      </c>
    </row>
    <row r="23" spans="2:13" x14ac:dyDescent="0.3">
      <c r="B23" s="14" t="s">
        <v>17</v>
      </c>
      <c r="C23" s="14">
        <f>F3</f>
        <v>1.21</v>
      </c>
      <c r="E23" s="14">
        <v>0.96799999999999997</v>
      </c>
      <c r="F23" s="14">
        <v>0.96799999999999997</v>
      </c>
      <c r="G23" s="14">
        <v>0.96799999999999997</v>
      </c>
    </row>
    <row r="24" spans="2:13" x14ac:dyDescent="0.3">
      <c r="B24" s="14" t="s">
        <v>18</v>
      </c>
      <c r="C24" s="14">
        <f>C$17/C23</f>
        <v>3.3280000000000003</v>
      </c>
      <c r="E24" s="14">
        <f>E$17/E23</f>
        <v>3.8005990801670388</v>
      </c>
      <c r="F24" s="14">
        <f>F$17/F23</f>
        <v>3.4939770658604901</v>
      </c>
      <c r="G24" s="14">
        <f>G$17/G23</f>
        <v>4.5689884266386054</v>
      </c>
    </row>
    <row r="25" spans="2:13" x14ac:dyDescent="0.3">
      <c r="B25" s="14" t="s">
        <v>19</v>
      </c>
      <c r="C25" s="14">
        <f>F5</f>
        <v>2.6619999999999999</v>
      </c>
      <c r="E25" s="14">
        <v>0.96799999999999997</v>
      </c>
      <c r="F25" s="14">
        <v>0.96799999999999997</v>
      </c>
      <c r="G25" s="14">
        <v>0.96799999999999997</v>
      </c>
    </row>
    <row r="26" spans="2:13" x14ac:dyDescent="0.3">
      <c r="B26" s="14" t="s">
        <v>20</v>
      </c>
      <c r="C26" s="14">
        <f>C$17/C25</f>
        <v>1.5127272727272729</v>
      </c>
      <c r="E26" s="14">
        <f>E$17/E25</f>
        <v>3.8005990801670388</v>
      </c>
      <c r="F26" s="14">
        <f>F$17/F25</f>
        <v>3.4939770658604901</v>
      </c>
      <c r="G26" s="14">
        <f>G$17/G25</f>
        <v>4.5689884266386054</v>
      </c>
    </row>
    <row r="27" spans="2:13" x14ac:dyDescent="0.3">
      <c r="B27" s="14" t="s">
        <v>21</v>
      </c>
      <c r="C27" s="14">
        <f>F2</f>
        <v>0.96799999999999997</v>
      </c>
      <c r="G27" s="14">
        <v>0.96799999999999997</v>
      </c>
    </row>
    <row r="28" spans="2:13" x14ac:dyDescent="0.3">
      <c r="B28" s="14" t="s">
        <v>22</v>
      </c>
      <c r="C28" s="14">
        <f>C$17/C27</f>
        <v>4.16</v>
      </c>
      <c r="G28" s="14">
        <f>G$17/G27</f>
        <v>4.5689884266386054</v>
      </c>
    </row>
    <row r="29" spans="2:13" x14ac:dyDescent="0.3">
      <c r="B29" s="14" t="s">
        <v>26</v>
      </c>
      <c r="C29" s="14">
        <f>F2</f>
        <v>0.96799999999999997</v>
      </c>
    </row>
    <row r="30" spans="2:13" x14ac:dyDescent="0.3">
      <c r="B30" s="14" t="s">
        <v>25</v>
      </c>
      <c r="C30" s="14">
        <f>C$17/C29</f>
        <v>4.16</v>
      </c>
    </row>
    <row r="35" spans="1:18" x14ac:dyDescent="0.3">
      <c r="B35" s="14" t="s">
        <v>27</v>
      </c>
      <c r="C35" s="16">
        <f>$C$5+C16*C17+F6+C18</f>
        <v>41.65728</v>
      </c>
      <c r="D35" s="16"/>
      <c r="E35" s="16">
        <f>$C$5+E16*E17+E18+(C17+F6)*2</f>
        <v>36.133679638406775</v>
      </c>
      <c r="F35" s="16">
        <f>$C$5+F16*F17+F18</f>
        <v>22.760679199011815</v>
      </c>
      <c r="G35" s="16">
        <f>$C$5+G16*G17+G18</f>
        <v>18.368342390958507</v>
      </c>
    </row>
    <row r="36" spans="1:18" x14ac:dyDescent="0.3">
      <c r="A36" s="14" t="s">
        <v>152</v>
      </c>
      <c r="B36" s="14" t="s">
        <v>165</v>
      </c>
      <c r="C36" s="17">
        <v>2</v>
      </c>
      <c r="D36" s="16"/>
      <c r="E36" s="16"/>
      <c r="F36" s="16"/>
      <c r="G36" s="16"/>
    </row>
    <row r="37" spans="1:18" x14ac:dyDescent="0.3">
      <c r="B37" s="14" t="s">
        <v>151</v>
      </c>
      <c r="C37" s="14">
        <v>2</v>
      </c>
      <c r="E37" s="14">
        <f>C37</f>
        <v>2</v>
      </c>
      <c r="F37" s="14">
        <f>C37</f>
        <v>2</v>
      </c>
      <c r="G37" s="14">
        <f>C37</f>
        <v>2</v>
      </c>
    </row>
    <row r="38" spans="1:18" x14ac:dyDescent="0.3">
      <c r="B38" s="14" t="s">
        <v>144</v>
      </c>
      <c r="C38" s="14">
        <f>C37*C20</f>
        <v>8.32</v>
      </c>
      <c r="E38" s="14">
        <f>C38</f>
        <v>8.32</v>
      </c>
      <c r="F38" s="14">
        <f>C38</f>
        <v>8.32</v>
      </c>
      <c r="G38" s="14">
        <f>C38</f>
        <v>8.32</v>
      </c>
      <c r="H38" s="14" t="s">
        <v>159</v>
      </c>
      <c r="M38" s="18"/>
      <c r="O38" s="19"/>
    </row>
    <row r="39" spans="1:18" x14ac:dyDescent="0.3">
      <c r="B39" s="14" t="s">
        <v>146</v>
      </c>
      <c r="C39" s="14">
        <f>C38</f>
        <v>8.32</v>
      </c>
      <c r="E39" s="14">
        <f>E38</f>
        <v>8.32</v>
      </c>
      <c r="F39" s="14">
        <f>F38</f>
        <v>8.32</v>
      </c>
      <c r="G39" s="14">
        <f>F39</f>
        <v>8.32</v>
      </c>
      <c r="H39" s="14" t="s">
        <v>161</v>
      </c>
      <c r="L39" s="14">
        <f>L49*F3*F1</f>
        <v>8.3200000000000021</v>
      </c>
      <c r="M39" s="19"/>
      <c r="N39" s="14">
        <f>C38*C22/I13</f>
        <v>8.6528000000000009</v>
      </c>
      <c r="P39" s="14">
        <f>N39</f>
        <v>8.6528000000000009</v>
      </c>
      <c r="Q39" s="14">
        <f>N39</f>
        <v>8.6528000000000009</v>
      </c>
      <c r="R39" s="14">
        <f>G38*G20/J13</f>
        <v>8.002943938870148</v>
      </c>
    </row>
    <row r="40" spans="1:18" x14ac:dyDescent="0.3">
      <c r="B40" s="14" t="s">
        <v>145</v>
      </c>
      <c r="F40" s="14">
        <v>27.09</v>
      </c>
      <c r="G40" s="14">
        <f>G39*G22</f>
        <v>38.013983709633202</v>
      </c>
      <c r="H40" s="14" t="s">
        <v>160</v>
      </c>
      <c r="M40" s="19"/>
    </row>
    <row r="41" spans="1:18" x14ac:dyDescent="0.3">
      <c r="B41" s="14" t="s">
        <v>147</v>
      </c>
      <c r="E41" s="14">
        <v>27.09</v>
      </c>
      <c r="G41" s="14">
        <f>G40*G24</f>
        <v>173.68545161974257</v>
      </c>
      <c r="H41" s="14" t="s">
        <v>162</v>
      </c>
    </row>
    <row r="42" spans="1:18" x14ac:dyDescent="0.3">
      <c r="B42" s="14" t="s">
        <v>148</v>
      </c>
      <c r="C42" s="14">
        <v>27.09</v>
      </c>
    </row>
    <row r="43" spans="1:18" x14ac:dyDescent="0.3">
      <c r="B43" s="14" t="s">
        <v>149</v>
      </c>
      <c r="C43" s="14">
        <f>C42*C26</f>
        <v>40.97978181818182</v>
      </c>
      <c r="E43" s="14">
        <f>E41*E22</f>
        <v>58.833273760985769</v>
      </c>
      <c r="F43" s="14">
        <f>F40*F22</f>
        <v>75.721470971328543</v>
      </c>
      <c r="L43" s="14">
        <f>1.7/6</f>
        <v>0.28333333333333333</v>
      </c>
      <c r="M43" s="19"/>
    </row>
    <row r="44" spans="1:18" x14ac:dyDescent="0.3">
      <c r="B44" s="14" t="s">
        <v>150</v>
      </c>
      <c r="C44" s="14">
        <f>C43*C28</f>
        <v>170.47589236363638</v>
      </c>
      <c r="E44" s="14">
        <f>E43*E24</f>
        <v>223.60168613921809</v>
      </c>
      <c r="F44" s="14">
        <f>F43*F24</f>
        <v>264.56908296704279</v>
      </c>
    </row>
    <row r="45" spans="1:18" x14ac:dyDescent="0.3">
      <c r="M45" s="19"/>
    </row>
    <row r="47" spans="1:18" x14ac:dyDescent="0.3">
      <c r="B47" s="18" t="s">
        <v>96</v>
      </c>
      <c r="C47" s="14">
        <f>C37/J2</f>
        <v>1</v>
      </c>
      <c r="J47" s="14" t="s">
        <v>175</v>
      </c>
      <c r="K47" s="14">
        <v>1</v>
      </c>
    </row>
    <row r="48" spans="1:18" x14ac:dyDescent="0.3">
      <c r="B48" s="19" t="s">
        <v>97</v>
      </c>
      <c r="C48" s="14">
        <f>C38/J2</f>
        <v>4.16</v>
      </c>
      <c r="G48" s="14">
        <f>G38/J2</f>
        <v>4.16</v>
      </c>
      <c r="H48" s="14" t="s">
        <v>159</v>
      </c>
      <c r="J48" s="14" t="s">
        <v>176</v>
      </c>
      <c r="K48" s="14">
        <v>4.16</v>
      </c>
      <c r="L48" s="14">
        <f>2*K48</f>
        <v>8.32</v>
      </c>
      <c r="O48" s="14">
        <v>4.1600316487330806</v>
      </c>
      <c r="P48" s="14" t="s">
        <v>144</v>
      </c>
    </row>
    <row r="49" spans="2:16" x14ac:dyDescent="0.3">
      <c r="B49" s="20" t="s">
        <v>99</v>
      </c>
      <c r="C49" s="14">
        <f>C39/J3</f>
        <v>3.3280000000000003</v>
      </c>
      <c r="E49" s="14">
        <f>E39/J3</f>
        <v>3.3280000000000003</v>
      </c>
      <c r="F49" s="14">
        <f>C49</f>
        <v>3.3280000000000003</v>
      </c>
      <c r="G49" s="14">
        <f>G39/J2</f>
        <v>4.16</v>
      </c>
      <c r="H49" s="14" t="s">
        <v>161</v>
      </c>
      <c r="J49" s="14" t="s">
        <v>98</v>
      </c>
      <c r="K49" s="14">
        <v>3.33</v>
      </c>
      <c r="L49" s="14">
        <f>L48/2.5</f>
        <v>3.3280000000000003</v>
      </c>
      <c r="M49" s="14">
        <v>3.33</v>
      </c>
      <c r="N49" s="14">
        <v>3.33</v>
      </c>
      <c r="O49" s="14">
        <v>4</v>
      </c>
      <c r="P49" s="14" t="s">
        <v>177</v>
      </c>
    </row>
    <row r="50" spans="2:16" x14ac:dyDescent="0.3">
      <c r="B50" s="20" t="s">
        <v>100</v>
      </c>
      <c r="F50" s="14">
        <f>F40/J3</f>
        <v>10.836</v>
      </c>
      <c r="G50" s="14">
        <f>G40/J2</f>
        <v>19.006991854816601</v>
      </c>
      <c r="H50" s="14" t="s">
        <v>160</v>
      </c>
      <c r="J50" s="14" t="s">
        <v>178</v>
      </c>
      <c r="L50" s="14">
        <f>L63/H6</f>
        <v>10.835000000000001</v>
      </c>
      <c r="N50" s="14">
        <v>11</v>
      </c>
      <c r="O50" s="14">
        <v>18.641388810982161</v>
      </c>
      <c r="P50" s="14" t="s">
        <v>179</v>
      </c>
    </row>
    <row r="51" spans="2:16" x14ac:dyDescent="0.3">
      <c r="B51" s="21" t="s">
        <v>101</v>
      </c>
      <c r="E51" s="14">
        <f>E41/J4</f>
        <v>7.74</v>
      </c>
      <c r="G51" s="14">
        <f>G41/J2</f>
        <v>86.842725809871283</v>
      </c>
      <c r="H51" s="14" t="s">
        <v>162</v>
      </c>
      <c r="J51" s="14" t="s">
        <v>180</v>
      </c>
      <c r="L51" s="14">
        <f>L65/H4</f>
        <v>7.7392857142857139</v>
      </c>
      <c r="M51" s="14">
        <v>8</v>
      </c>
      <c r="O51" s="14">
        <v>86.00345227928625</v>
      </c>
      <c r="P51" s="14" t="s">
        <v>162</v>
      </c>
    </row>
    <row r="52" spans="2:16" x14ac:dyDescent="0.3">
      <c r="B52" s="22" t="s">
        <v>102</v>
      </c>
      <c r="C52" s="14">
        <f>C42/J5</f>
        <v>4.9254545454545458</v>
      </c>
      <c r="J52" s="14" t="s">
        <v>181</v>
      </c>
      <c r="K52" s="14">
        <f>19.7/4</f>
        <v>4.9249999999999998</v>
      </c>
    </row>
    <row r="53" spans="2:16" x14ac:dyDescent="0.3">
      <c r="B53" s="18" t="s">
        <v>103</v>
      </c>
      <c r="C53" s="14">
        <f>C43/J2</f>
        <v>20.48989090909091</v>
      </c>
      <c r="E53" s="14">
        <f>E43/J2</f>
        <v>29.416636880492884</v>
      </c>
      <c r="F53" s="14">
        <f>F43/J2</f>
        <v>37.860735485664271</v>
      </c>
      <c r="J53" s="14" t="s">
        <v>182</v>
      </c>
      <c r="K53" s="14">
        <v>21</v>
      </c>
      <c r="M53" s="18">
        <v>26</v>
      </c>
      <c r="N53" s="14">
        <v>31</v>
      </c>
      <c r="P53" s="18"/>
    </row>
    <row r="54" spans="2:16" x14ac:dyDescent="0.3">
      <c r="B54" s="19" t="s">
        <v>104</v>
      </c>
      <c r="C54" s="14">
        <f>C44/J2</f>
        <v>85.237946181818188</v>
      </c>
      <c r="E54" s="14">
        <f>E44/J2</f>
        <v>111.80084306960904</v>
      </c>
      <c r="F54" s="14">
        <f>F44/J2</f>
        <v>132.28454148352139</v>
      </c>
      <c r="J54" s="14" t="s">
        <v>183</v>
      </c>
      <c r="K54" s="14">
        <v>84</v>
      </c>
      <c r="M54" s="19">
        <v>97</v>
      </c>
      <c r="N54" s="14">
        <v>106</v>
      </c>
      <c r="P54" s="19"/>
    </row>
    <row r="55" spans="2:16" x14ac:dyDescent="0.3">
      <c r="M55" s="19"/>
      <c r="O55" s="19"/>
      <c r="P55" s="19"/>
    </row>
    <row r="56" spans="2:16" x14ac:dyDescent="0.3">
      <c r="B56" s="23"/>
      <c r="M56" s="19"/>
      <c r="O56" s="19"/>
      <c r="P56" s="19"/>
    </row>
    <row r="57" spans="2:16" x14ac:dyDescent="0.3">
      <c r="B57" s="18" t="s">
        <v>68</v>
      </c>
      <c r="C57" s="14">
        <v>0.5</v>
      </c>
      <c r="J57" s="18" t="s">
        <v>68</v>
      </c>
      <c r="K57" s="14">
        <v>0.5</v>
      </c>
      <c r="P57" s="24"/>
    </row>
    <row r="58" spans="2:16" x14ac:dyDescent="0.3">
      <c r="B58" s="19" t="s">
        <v>69</v>
      </c>
      <c r="C58" s="14">
        <v>1.5</v>
      </c>
      <c r="J58" s="19" t="s">
        <v>69</v>
      </c>
      <c r="K58" s="14">
        <v>1.5</v>
      </c>
      <c r="P58" s="20"/>
    </row>
    <row r="59" spans="2:16" x14ac:dyDescent="0.3">
      <c r="B59" s="19" t="s">
        <v>70</v>
      </c>
      <c r="C59" s="14">
        <f>$H$8*C48</f>
        <v>2.08</v>
      </c>
      <c r="G59" s="14">
        <f>C59</f>
        <v>2.08</v>
      </c>
      <c r="J59" s="19" t="s">
        <v>70</v>
      </c>
      <c r="K59" s="14">
        <f>$H$8*K48</f>
        <v>2.08</v>
      </c>
      <c r="O59" s="14">
        <f>K59</f>
        <v>2.08</v>
      </c>
    </row>
    <row r="60" spans="2:16" x14ac:dyDescent="0.3">
      <c r="B60" s="19" t="s">
        <v>71</v>
      </c>
      <c r="C60" s="14">
        <f>$H$9*C48</f>
        <v>6.24</v>
      </c>
      <c r="G60" s="14">
        <f>C60</f>
        <v>6.24</v>
      </c>
      <c r="J60" s="19" t="s">
        <v>71</v>
      </c>
      <c r="K60" s="14">
        <f>$H$9*K48</f>
        <v>6.24</v>
      </c>
      <c r="O60" s="14">
        <f>K60</f>
        <v>6.24</v>
      </c>
    </row>
    <row r="61" spans="2:16" x14ac:dyDescent="0.3">
      <c r="B61" s="24" t="s">
        <v>57</v>
      </c>
      <c r="C61" s="14">
        <f>$H$6*C49</f>
        <v>3.3280000000000003</v>
      </c>
      <c r="E61" s="14">
        <f>C61</f>
        <v>3.3280000000000003</v>
      </c>
      <c r="F61" s="14">
        <f>C61</f>
        <v>3.3280000000000003</v>
      </c>
      <c r="G61" s="14">
        <f>H8*G49</f>
        <v>2.08</v>
      </c>
      <c r="J61" s="24" t="s">
        <v>57</v>
      </c>
      <c r="K61" s="14">
        <f>$H$6*K49</f>
        <v>3.33</v>
      </c>
      <c r="L61" s="14">
        <v>3.32</v>
      </c>
      <c r="M61" s="14">
        <f>K61</f>
        <v>3.33</v>
      </c>
      <c r="N61" s="14">
        <f>K61</f>
        <v>3.33</v>
      </c>
      <c r="O61" s="14">
        <f>H8*O49</f>
        <v>2</v>
      </c>
    </row>
    <row r="62" spans="2:16" x14ac:dyDescent="0.3">
      <c r="B62" s="20" t="s">
        <v>58</v>
      </c>
      <c r="C62" s="14">
        <f>$H$7*C49</f>
        <v>4.9920000000000009</v>
      </c>
      <c r="E62" s="14">
        <f>C62</f>
        <v>4.9920000000000009</v>
      </c>
      <c r="F62" s="14">
        <f>C62</f>
        <v>4.9920000000000009</v>
      </c>
      <c r="G62" s="14">
        <f>H9*G49</f>
        <v>6.24</v>
      </c>
      <c r="J62" s="20" t="s">
        <v>58</v>
      </c>
      <c r="K62" s="14">
        <f>$H$7*K49</f>
        <v>4.9950000000000001</v>
      </c>
      <c r="M62" s="14">
        <f>K62</f>
        <v>4.9950000000000001</v>
      </c>
      <c r="N62" s="14">
        <f>K62</f>
        <v>4.9950000000000001</v>
      </c>
      <c r="O62" s="14">
        <f>H9*O49</f>
        <v>6</v>
      </c>
    </row>
    <row r="63" spans="2:16" x14ac:dyDescent="0.3">
      <c r="B63" s="24" t="s">
        <v>163</v>
      </c>
      <c r="C63" s="14">
        <f>F63</f>
        <v>9.3023645401469697</v>
      </c>
      <c r="F63" s="14">
        <f>F61*F20</f>
        <v>9.3023645401469697</v>
      </c>
      <c r="G63" s="14">
        <f>H8*G50</f>
        <v>9.5034959274083004</v>
      </c>
      <c r="I63" s="14">
        <f>K63+K64</f>
        <v>27.5</v>
      </c>
      <c r="J63" s="24" t="s">
        <v>163</v>
      </c>
      <c r="K63" s="2">
        <f>N63</f>
        <v>11</v>
      </c>
      <c r="L63" s="2">
        <f>I67*(1/2.5)</f>
        <v>10.835000000000001</v>
      </c>
      <c r="N63" s="14">
        <f>H6*N50</f>
        <v>11</v>
      </c>
      <c r="O63" s="14">
        <f>H8*O50</f>
        <v>9.3206944054910803</v>
      </c>
    </row>
    <row r="64" spans="2:16" x14ac:dyDescent="0.3">
      <c r="B64" s="20" t="s">
        <v>164</v>
      </c>
      <c r="C64" s="14">
        <f>F64</f>
        <v>16.254000000000001</v>
      </c>
      <c r="F64" s="14">
        <f>H7*F50</f>
        <v>16.254000000000001</v>
      </c>
      <c r="G64" s="14">
        <f>H9*G50</f>
        <v>28.510487782224899</v>
      </c>
      <c r="J64" s="20" t="s">
        <v>164</v>
      </c>
      <c r="K64" s="2">
        <f>N64</f>
        <v>16.5</v>
      </c>
      <c r="L64" s="2">
        <f>I67*(1.5/2.5)</f>
        <v>16.252499999999998</v>
      </c>
      <c r="N64" s="14">
        <f>H7*N50</f>
        <v>16.5</v>
      </c>
      <c r="O64" s="14">
        <f>H9*O50</f>
        <v>27.962083216473239</v>
      </c>
    </row>
    <row r="65" spans="2:15" x14ac:dyDescent="0.3">
      <c r="B65" s="21" t="s">
        <v>55</v>
      </c>
      <c r="C65" s="14">
        <f>E65</f>
        <v>15.48</v>
      </c>
      <c r="E65" s="14">
        <f>H4*E51</f>
        <v>15.48</v>
      </c>
      <c r="G65" s="14">
        <f>H8*G51</f>
        <v>43.421362904935641</v>
      </c>
      <c r="I65" s="14">
        <f>K65+K66</f>
        <v>28</v>
      </c>
      <c r="J65" s="21" t="s">
        <v>55</v>
      </c>
      <c r="K65" s="2">
        <f>M65</f>
        <v>16</v>
      </c>
      <c r="L65" s="2">
        <f>I67*(2/3.5)</f>
        <v>15.478571428571428</v>
      </c>
      <c r="M65" s="14">
        <f>H4*M51</f>
        <v>16</v>
      </c>
      <c r="O65" s="14">
        <f>H8*O51</f>
        <v>43.001726139643125</v>
      </c>
    </row>
    <row r="66" spans="2:15" x14ac:dyDescent="0.3">
      <c r="B66" s="23" t="s">
        <v>56</v>
      </c>
      <c r="C66" s="14">
        <f>E66</f>
        <v>11.61</v>
      </c>
      <c r="E66" s="14">
        <f>H5*E51</f>
        <v>11.61</v>
      </c>
      <c r="G66" s="14">
        <f>H9*G51</f>
        <v>130.26408871480692</v>
      </c>
      <c r="J66" s="23" t="s">
        <v>56</v>
      </c>
      <c r="K66" s="2">
        <f>M66</f>
        <v>12</v>
      </c>
      <c r="L66" s="2">
        <f>I67*(1.5/3.5)</f>
        <v>11.608928571428571</v>
      </c>
      <c r="M66" s="14">
        <f>H5*M51</f>
        <v>12</v>
      </c>
      <c r="O66" s="14">
        <f>H9*O51</f>
        <v>129.00517841892938</v>
      </c>
    </row>
    <row r="67" spans="2:15" x14ac:dyDescent="0.3">
      <c r="B67" s="22" t="s">
        <v>53</v>
      </c>
      <c r="C67" s="14">
        <f>H2*C52</f>
        <v>19.701818181818183</v>
      </c>
      <c r="I67" s="14">
        <f>K67+K68</f>
        <v>27.087499999999999</v>
      </c>
      <c r="J67" s="22" t="s">
        <v>53</v>
      </c>
      <c r="K67" s="2">
        <f>H2*K52</f>
        <v>19.7</v>
      </c>
      <c r="L67" s="2"/>
    </row>
    <row r="68" spans="2:15" x14ac:dyDescent="0.3">
      <c r="B68" s="22" t="s">
        <v>54</v>
      </c>
      <c r="C68" s="14">
        <f>H3*C52</f>
        <v>7.3881818181818186</v>
      </c>
      <c r="J68" s="22" t="s">
        <v>54</v>
      </c>
      <c r="K68" s="2">
        <f>H3*K52</f>
        <v>7.3874999999999993</v>
      </c>
      <c r="L68" s="2"/>
    </row>
    <row r="69" spans="2:15" x14ac:dyDescent="0.3">
      <c r="B69" s="18" t="s">
        <v>72</v>
      </c>
      <c r="C69" s="14">
        <f>H8*C53</f>
        <v>10.244945454545455</v>
      </c>
      <c r="E69" s="14">
        <f>H8*E53</f>
        <v>14.708318440246442</v>
      </c>
      <c r="F69" s="14">
        <f>H8*F53</f>
        <v>18.930367742832136</v>
      </c>
      <c r="J69" s="18" t="s">
        <v>72</v>
      </c>
      <c r="K69" s="14">
        <f>H8*K53</f>
        <v>10.5</v>
      </c>
      <c r="L69" s="14">
        <f>K69/I70</f>
        <v>1.5</v>
      </c>
      <c r="M69" s="14">
        <f>H8*M53</f>
        <v>13</v>
      </c>
      <c r="N69" s="14">
        <f>H8*N53</f>
        <v>15.5</v>
      </c>
    </row>
    <row r="70" spans="2:15" x14ac:dyDescent="0.3">
      <c r="B70" s="19" t="s">
        <v>73</v>
      </c>
      <c r="C70" s="14">
        <f>H9*C53</f>
        <v>30.734836363636365</v>
      </c>
      <c r="E70" s="14">
        <f>H9*E53</f>
        <v>44.124955320739325</v>
      </c>
      <c r="F70" s="14">
        <f>H9*F53</f>
        <v>56.791103228496411</v>
      </c>
      <c r="I70" s="14">
        <v>7</v>
      </c>
      <c r="J70" s="19" t="s">
        <v>73</v>
      </c>
      <c r="K70" s="14">
        <f>H9*K53</f>
        <v>31.5</v>
      </c>
      <c r="L70" s="14">
        <f>K70/I70</f>
        <v>4.5</v>
      </c>
      <c r="M70" s="14">
        <f>H9*M53</f>
        <v>39</v>
      </c>
      <c r="N70" s="14">
        <f>H9*N53</f>
        <v>46.5</v>
      </c>
    </row>
    <row r="71" spans="2:15" x14ac:dyDescent="0.3">
      <c r="B71" s="19" t="s">
        <v>74</v>
      </c>
      <c r="C71" s="14">
        <f>$H$8*C54</f>
        <v>42.618973090909094</v>
      </c>
      <c r="E71" s="14">
        <f>H8*E54</f>
        <v>55.900421534804522</v>
      </c>
      <c r="F71" s="14">
        <f>H8*F54</f>
        <v>66.142270741760697</v>
      </c>
      <c r="I71" s="14">
        <f>I70*5</f>
        <v>35</v>
      </c>
      <c r="J71" s="19" t="s">
        <v>74</v>
      </c>
      <c r="K71" s="14">
        <f>$H$8*K54</f>
        <v>42</v>
      </c>
      <c r="L71" s="14">
        <f>K71/(I70*4)</f>
        <v>1.5</v>
      </c>
      <c r="M71" s="14">
        <f>H8*M54</f>
        <v>48.5</v>
      </c>
      <c r="N71" s="14">
        <f>H8*N54</f>
        <v>53</v>
      </c>
    </row>
    <row r="72" spans="2:15" x14ac:dyDescent="0.3">
      <c r="B72" s="19" t="s">
        <v>75</v>
      </c>
      <c r="C72" s="14">
        <f>$H$9*C54</f>
        <v>127.85691927272728</v>
      </c>
      <c r="E72" s="14">
        <f>H9*E54</f>
        <v>167.70126460441355</v>
      </c>
      <c r="F72" s="14">
        <f>H9*F54</f>
        <v>198.42681222528211</v>
      </c>
      <c r="J72" s="19" t="s">
        <v>75</v>
      </c>
      <c r="K72" s="14">
        <f>$H$9*K54</f>
        <v>126</v>
      </c>
      <c r="L72" s="14">
        <f>K72/(I70*4)</f>
        <v>4.5</v>
      </c>
      <c r="M72" s="14">
        <f>H9*M54</f>
        <v>145.5</v>
      </c>
      <c r="N72" s="14">
        <f>H9*N54</f>
        <v>159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AE59D-F211-4183-A86B-C542A1EF6D71}">
  <dimension ref="A1:R72"/>
  <sheetViews>
    <sheetView workbookViewId="0">
      <selection activeCell="C14" sqref="C14"/>
    </sheetView>
  </sheetViews>
  <sheetFormatPr defaultRowHeight="14.5" x14ac:dyDescent="0.3"/>
  <cols>
    <col min="1" max="1" width="8.796875" style="2"/>
    <col min="2" max="2" width="11.3984375" style="2" customWidth="1"/>
    <col min="3" max="3" width="9.5" style="2" customWidth="1"/>
    <col min="4" max="4" width="8.796875" style="2"/>
    <col min="5" max="5" width="9.59765625" style="2" customWidth="1"/>
    <col min="6" max="6" width="10.5" style="2" customWidth="1"/>
    <col min="7" max="7" width="12.19921875" style="2" customWidth="1"/>
    <col min="8" max="8" width="11.09765625" style="2" customWidth="1"/>
    <col min="9" max="9" width="10.69921875" style="2" customWidth="1"/>
    <col min="10" max="10" width="12" style="2" customWidth="1"/>
    <col min="11" max="11" width="9.09765625" style="2" customWidth="1"/>
    <col min="12" max="12" width="15.3984375" style="2" customWidth="1"/>
    <col min="13" max="13" width="10.5" style="2" customWidth="1"/>
    <col min="14" max="14" width="9.296875" style="2" customWidth="1"/>
    <col min="15" max="15" width="9.5" style="2" customWidth="1"/>
    <col min="16" max="16" width="11.8984375" style="2" customWidth="1"/>
    <col min="17" max="17" width="8.296875" style="2" customWidth="1"/>
    <col min="18" max="18" width="8.8984375" style="2" customWidth="1"/>
    <col min="19" max="16384" width="8.796875" style="2"/>
  </cols>
  <sheetData>
    <row r="1" spans="2:13" x14ac:dyDescent="0.3">
      <c r="B1" s="2" t="s">
        <v>171</v>
      </c>
      <c r="C1" s="2">
        <v>0.9</v>
      </c>
      <c r="E1" s="2" t="s">
        <v>184</v>
      </c>
      <c r="F1" s="2">
        <f>2/0.968</f>
        <v>2.0661157024793391</v>
      </c>
      <c r="G1" s="2" t="s">
        <v>167</v>
      </c>
      <c r="H1" s="2">
        <f>2/1.033</f>
        <v>1.9361084220716362</v>
      </c>
      <c r="I1" s="2" t="s">
        <v>1</v>
      </c>
    </row>
    <row r="2" spans="2:13" x14ac:dyDescent="0.3">
      <c r="B2" s="2" t="s">
        <v>142</v>
      </c>
      <c r="C2" s="2">
        <f>0.0000000000015</f>
        <v>1.5000000000000001E-12</v>
      </c>
      <c r="E2" s="2" t="s">
        <v>5</v>
      </c>
      <c r="F2" s="2">
        <v>0.96799999999999997</v>
      </c>
      <c r="G2" s="2" t="s">
        <v>53</v>
      </c>
      <c r="H2" s="2">
        <f>0.5*27</f>
        <v>13.5</v>
      </c>
      <c r="I2" s="2" t="s">
        <v>153</v>
      </c>
      <c r="J2" s="2">
        <v>2</v>
      </c>
      <c r="K2" s="2">
        <f>C8</f>
        <v>3.7803999999999997E-15</v>
      </c>
      <c r="L2" s="2" t="s">
        <v>172</v>
      </c>
      <c r="M2" s="2">
        <f>0.0000000000000164092</f>
        <v>1.6409199999999999E-14</v>
      </c>
    </row>
    <row r="3" spans="2:13" x14ac:dyDescent="0.3">
      <c r="B3" s="2" t="s">
        <v>1</v>
      </c>
      <c r="C3" s="2">
        <f>C8</f>
        <v>3.7803999999999997E-15</v>
      </c>
      <c r="E3" s="2" t="s">
        <v>6</v>
      </c>
      <c r="F3" s="2">
        <f>(H6+H7)/F1</f>
        <v>1.4519999999999997</v>
      </c>
      <c r="G3" s="2" t="s">
        <v>54</v>
      </c>
      <c r="H3" s="2">
        <v>1.5</v>
      </c>
      <c r="I3" s="2" t="s">
        <v>146</v>
      </c>
      <c r="J3" s="2">
        <v>2.5</v>
      </c>
      <c r="L3" s="2" t="s">
        <v>173</v>
      </c>
      <c r="M3" s="2">
        <f>M2</f>
        <v>1.6409199999999999E-14</v>
      </c>
    </row>
    <row r="4" spans="2:13" x14ac:dyDescent="0.3">
      <c r="B4" s="2" t="s">
        <v>2</v>
      </c>
      <c r="C4" s="2">
        <f>C2/C3</f>
        <v>396.7834091630516</v>
      </c>
      <c r="E4" s="2" t="s">
        <v>7</v>
      </c>
      <c r="F4" s="2">
        <f>(H4+H5)/F1</f>
        <v>2.9039999999999995</v>
      </c>
      <c r="G4" s="2" t="s">
        <v>55</v>
      </c>
      <c r="H4" s="2">
        <v>4.5</v>
      </c>
      <c r="I4" s="2" t="s">
        <v>155</v>
      </c>
      <c r="J4" s="2">
        <v>3.5</v>
      </c>
      <c r="L4" s="2" t="s">
        <v>174</v>
      </c>
      <c r="M4" s="2">
        <f>0.0000000000000117599</f>
        <v>1.1759899999999999E-14</v>
      </c>
    </row>
    <row r="5" spans="2:13" x14ac:dyDescent="0.3">
      <c r="B5" s="2" t="s">
        <v>143</v>
      </c>
      <c r="C5" s="2">
        <f>F2*1+F6*1</f>
        <v>2.0009999999999999</v>
      </c>
      <c r="E5" s="2" t="s">
        <v>8</v>
      </c>
      <c r="F5" s="2">
        <f>(H2+H3)/F1</f>
        <v>7.2599999999999989</v>
      </c>
      <c r="G5" s="2" t="s">
        <v>56</v>
      </c>
      <c r="H5" s="2">
        <v>1.5</v>
      </c>
      <c r="I5" s="2" t="s">
        <v>156</v>
      </c>
      <c r="J5" s="2">
        <v>5.5</v>
      </c>
    </row>
    <row r="6" spans="2:13" x14ac:dyDescent="0.3">
      <c r="B6" s="2" t="s">
        <v>158</v>
      </c>
      <c r="C6" s="2">
        <f>0.0000000000001102951</f>
        <v>1.1029510000000001E-13</v>
      </c>
      <c r="E6" s="2" t="s">
        <v>29</v>
      </c>
      <c r="F6" s="2">
        <v>1.0329999999999999</v>
      </c>
      <c r="G6" s="2" t="s">
        <v>57</v>
      </c>
      <c r="H6" s="2">
        <v>1.5</v>
      </c>
    </row>
    <row r="7" spans="2:13" x14ac:dyDescent="0.3">
      <c r="B7" s="2" t="s">
        <v>157</v>
      </c>
      <c r="C7" s="2">
        <f>0.0000000000000298947</f>
        <v>2.9894699999999999E-14</v>
      </c>
      <c r="E7" s="2" t="s">
        <v>30</v>
      </c>
      <c r="F7" s="2">
        <f>(H7*2+H6)/H1</f>
        <v>2.3242499999999997</v>
      </c>
      <c r="G7" s="2" t="s">
        <v>58</v>
      </c>
      <c r="H7" s="2">
        <v>1.5</v>
      </c>
      <c r="J7" s="1">
        <f>P39*K2/J2</f>
        <v>2.6177337754271328E-14</v>
      </c>
    </row>
    <row r="8" spans="2:13" x14ac:dyDescent="0.3">
      <c r="B8" s="13" t="s">
        <v>168</v>
      </c>
      <c r="C8" s="2">
        <f>0.0000000000000037804</f>
        <v>3.7803999999999997E-15</v>
      </c>
      <c r="E8" s="2" t="s">
        <v>31</v>
      </c>
      <c r="F8" s="2">
        <f>(H5*4+H4)/H1</f>
        <v>5.4232499999999995</v>
      </c>
      <c r="G8" s="2" t="s">
        <v>60</v>
      </c>
      <c r="H8" s="2">
        <v>0.5</v>
      </c>
    </row>
    <row r="9" spans="2:13" x14ac:dyDescent="0.3">
      <c r="B9" s="2" t="s">
        <v>169</v>
      </c>
      <c r="C9" s="2">
        <f>0.0000000000000066993</f>
        <v>6.6992999999999998E-15</v>
      </c>
      <c r="E9" s="2" t="s">
        <v>32</v>
      </c>
      <c r="F9" s="2">
        <f>(H3*8+H2)/H1</f>
        <v>13.170749999999998</v>
      </c>
      <c r="G9" s="2" t="s">
        <v>59</v>
      </c>
      <c r="H9" s="2">
        <v>1.5</v>
      </c>
    </row>
    <row r="10" spans="2:13" x14ac:dyDescent="0.3">
      <c r="B10" s="2" t="s">
        <v>169</v>
      </c>
      <c r="C10" s="2">
        <f>0.0000000000000081632</f>
        <v>8.1631999999999998E-15</v>
      </c>
      <c r="E10" s="2">
        <f>C2/(E39*K2/J2)</f>
        <v>78.745170617209098</v>
      </c>
      <c r="F10" s="2">
        <f>C2/(E39*K2/J2)</f>
        <v>78.745170617209098</v>
      </c>
      <c r="G10" s="2">
        <f>C2/(G38*K2/J2)</f>
        <v>78.745170617209098</v>
      </c>
    </row>
    <row r="11" spans="2:13" customFormat="1" x14ac:dyDescent="0.3">
      <c r="B11" s="2" t="s">
        <v>170</v>
      </c>
      <c r="C11" s="1">
        <f>(3.3631+0.83)*10^(-15)</f>
        <v>4.1931000000000002E-15</v>
      </c>
      <c r="E11">
        <f>C2/M2</f>
        <v>91.412134656168504</v>
      </c>
      <c r="F11">
        <f>C2/M3</f>
        <v>91.412134656168504</v>
      </c>
      <c r="G11">
        <f>C2/M4</f>
        <v>127.55210503490677</v>
      </c>
    </row>
    <row r="12" spans="2:13" x14ac:dyDescent="0.3">
      <c r="B12">
        <v>7</v>
      </c>
      <c r="C12" t="s">
        <v>67</v>
      </c>
      <c r="D12"/>
      <c r="E12" t="s">
        <v>79</v>
      </c>
      <c r="F12" t="s">
        <v>85</v>
      </c>
      <c r="G12" t="s">
        <v>84</v>
      </c>
    </row>
    <row r="13" spans="2:13" x14ac:dyDescent="0.3">
      <c r="B13" s="2" t="s">
        <v>3</v>
      </c>
      <c r="C13" s="2">
        <f>(F3*3+F2)/F3</f>
        <v>3.6666666666666665</v>
      </c>
      <c r="E13" s="2">
        <v>1</v>
      </c>
      <c r="F13" s="2">
        <v>1</v>
      </c>
      <c r="G13" s="2">
        <f>(F3*3+F2)/F2</f>
        <v>5.4999999999999991</v>
      </c>
      <c r="I13" s="2">
        <f>C13</f>
        <v>3.6666666666666665</v>
      </c>
      <c r="J13" s="2">
        <f>(F3*3+F2)/F2</f>
        <v>5.4999999999999991</v>
      </c>
    </row>
    <row r="14" spans="2:13" x14ac:dyDescent="0.3">
      <c r="B14" s="2" t="s">
        <v>4</v>
      </c>
      <c r="C14" s="2">
        <f>F2^(C16-2)*F3*F5</f>
        <v>9.255601894355431</v>
      </c>
      <c r="E14" s="2">
        <f>F2^(E16-2)*F3*F4</f>
        <v>3.9510628945919986</v>
      </c>
      <c r="F14" s="2">
        <f>F2^(F16-2)*F3*F3</f>
        <v>1.9755314472959993</v>
      </c>
      <c r="G14" s="2">
        <f>F2^G16</f>
        <v>0.87801397657599989</v>
      </c>
    </row>
    <row r="15" spans="2:13" x14ac:dyDescent="0.3">
      <c r="B15" s="2" t="s">
        <v>9</v>
      </c>
      <c r="C15" s="2">
        <f>$C$4*C13*C14</f>
        <v>13465.720669493936</v>
      </c>
      <c r="E15" s="2">
        <f>E10*E13*E14</f>
        <v>311.12712175397098</v>
      </c>
      <c r="F15" s="2">
        <f>$F$10*F13*F14</f>
        <v>155.56356087698549</v>
      </c>
      <c r="G15" s="2">
        <f>G10*J13*G14</f>
        <v>380.26648214374234</v>
      </c>
    </row>
    <row r="16" spans="2:13" x14ac:dyDescent="0.3">
      <c r="B16" s="2" t="s">
        <v>11</v>
      </c>
      <c r="C16" s="2">
        <v>6</v>
      </c>
      <c r="E16" s="2">
        <v>4</v>
      </c>
      <c r="F16" s="2">
        <v>4</v>
      </c>
      <c r="G16" s="2">
        <v>4</v>
      </c>
    </row>
    <row r="17" spans="2:7" x14ac:dyDescent="0.3">
      <c r="B17" s="2" t="s">
        <v>12</v>
      </c>
      <c r="C17" s="2">
        <f>C15^(1/C16)</f>
        <v>4.877585978407863</v>
      </c>
      <c r="E17" s="2">
        <f t="shared" ref="E17:F17" si="0">E15^(1/E16)</f>
        <v>4.199856655528758</v>
      </c>
      <c r="F17" s="2">
        <f t="shared" si="0"/>
        <v>3.5316444062135868</v>
      </c>
      <c r="G17" s="2">
        <f>G15^(1/G16)</f>
        <v>4.4159282845728773</v>
      </c>
    </row>
    <row r="18" spans="2:7" x14ac:dyDescent="0.3">
      <c r="B18" s="2" t="s">
        <v>28</v>
      </c>
      <c r="C18" s="2">
        <f>F6*(C16-2)+F7+F9</f>
        <v>19.626999999999995</v>
      </c>
      <c r="E18" s="2">
        <f>F6*(E16-2)+F7+F8+F6</f>
        <v>10.846499999999999</v>
      </c>
      <c r="F18" s="2">
        <f>F6*3+F7+F7</f>
        <v>7.7474999999999987</v>
      </c>
      <c r="G18" s="2">
        <f>F6*G16</f>
        <v>4.1319999999999997</v>
      </c>
    </row>
    <row r="19" spans="2:7" x14ac:dyDescent="0.3">
      <c r="B19" s="2" t="s">
        <v>13</v>
      </c>
      <c r="C19" s="2">
        <f>F2</f>
        <v>0.96799999999999997</v>
      </c>
      <c r="E19" s="2">
        <f>F3</f>
        <v>1.4519999999999997</v>
      </c>
      <c r="F19" s="2">
        <f>F3</f>
        <v>1.4519999999999997</v>
      </c>
      <c r="G19" s="2">
        <v>0.96799999999999997</v>
      </c>
    </row>
    <row r="20" spans="2:7" x14ac:dyDescent="0.3">
      <c r="B20" s="2" t="s">
        <v>14</v>
      </c>
      <c r="C20" s="2">
        <f>C$17/C19</f>
        <v>5.0388284900907676</v>
      </c>
      <c r="E20" s="2">
        <f>E$17/E19</f>
        <v>2.8924632613834427</v>
      </c>
      <c r="F20" s="2">
        <f>F$17/F19</f>
        <v>2.4322619877504046</v>
      </c>
      <c r="G20" s="2">
        <f>G$17/G19</f>
        <v>4.5619093848893364</v>
      </c>
    </row>
    <row r="21" spans="2:7" x14ac:dyDescent="0.3">
      <c r="B21" s="2" t="s">
        <v>15</v>
      </c>
      <c r="C21" s="2">
        <f>F2</f>
        <v>0.96799999999999997</v>
      </c>
      <c r="E21" s="2">
        <f>F4</f>
        <v>2.9039999999999995</v>
      </c>
      <c r="F21" s="2">
        <f>F3</f>
        <v>1.4519999999999997</v>
      </c>
      <c r="G21" s="2">
        <v>0.96799999999999997</v>
      </c>
    </row>
    <row r="22" spans="2:7" x14ac:dyDescent="0.3">
      <c r="B22" s="2" t="s">
        <v>16</v>
      </c>
      <c r="C22" s="2">
        <f>C$17/C21</f>
        <v>5.0388284900907676</v>
      </c>
      <c r="E22" s="2">
        <f>E$17/E21</f>
        <v>1.4462316306917213</v>
      </c>
      <c r="F22" s="2">
        <f>F$17/F21</f>
        <v>2.4322619877504046</v>
      </c>
      <c r="G22" s="2">
        <f>G$17/G21</f>
        <v>4.5619093848893364</v>
      </c>
    </row>
    <row r="23" spans="2:7" x14ac:dyDescent="0.3">
      <c r="B23" s="2" t="s">
        <v>17</v>
      </c>
      <c r="C23" s="2">
        <f>F3</f>
        <v>1.4519999999999997</v>
      </c>
      <c r="E23" s="2">
        <v>0.96799999999999997</v>
      </c>
      <c r="F23" s="2">
        <v>0.96799999999999997</v>
      </c>
      <c r="G23" s="2">
        <v>0.96799999999999997</v>
      </c>
    </row>
    <row r="24" spans="2:7" x14ac:dyDescent="0.3">
      <c r="B24" s="2" t="s">
        <v>18</v>
      </c>
      <c r="C24" s="2">
        <f>C$17/C23</f>
        <v>3.3592189933938457</v>
      </c>
      <c r="E24" s="2">
        <f>E$17/E23</f>
        <v>4.3386948920751633</v>
      </c>
      <c r="F24" s="2">
        <f>F$17/F23</f>
        <v>3.6483929816256064</v>
      </c>
      <c r="G24" s="2">
        <f>G$17/G23</f>
        <v>4.5619093848893364</v>
      </c>
    </row>
    <row r="25" spans="2:7" x14ac:dyDescent="0.3">
      <c r="B25" s="2" t="s">
        <v>19</v>
      </c>
      <c r="C25" s="2">
        <f>F5</f>
        <v>7.2599999999999989</v>
      </c>
      <c r="E25" s="2">
        <v>0.96799999999999997</v>
      </c>
      <c r="F25" s="2">
        <v>0.96799999999999997</v>
      </c>
      <c r="G25" s="2">
        <v>0.96799999999999997</v>
      </c>
    </row>
    <row r="26" spans="2:7" x14ac:dyDescent="0.3">
      <c r="B26" s="2" t="s">
        <v>20</v>
      </c>
      <c r="C26" s="2">
        <f>C$17/C25</f>
        <v>0.67184379867876909</v>
      </c>
      <c r="E26" s="2">
        <f>E$17/E25</f>
        <v>4.3386948920751633</v>
      </c>
      <c r="F26" s="2">
        <f>F$17/F25</f>
        <v>3.6483929816256064</v>
      </c>
      <c r="G26" s="2">
        <f>G$17/G25</f>
        <v>4.5619093848893364</v>
      </c>
    </row>
    <row r="27" spans="2:7" x14ac:dyDescent="0.3">
      <c r="B27" s="2" t="s">
        <v>21</v>
      </c>
      <c r="C27" s="2">
        <f>F2</f>
        <v>0.96799999999999997</v>
      </c>
      <c r="G27" s="2">
        <v>0.96799999999999997</v>
      </c>
    </row>
    <row r="28" spans="2:7" x14ac:dyDescent="0.3">
      <c r="B28" s="2" t="s">
        <v>22</v>
      </c>
      <c r="C28" s="2">
        <f>C$17/C27</f>
        <v>5.0388284900907676</v>
      </c>
      <c r="G28" s="2">
        <f>G$17/G27</f>
        <v>4.5619093848893364</v>
      </c>
    </row>
    <row r="29" spans="2:7" x14ac:dyDescent="0.3">
      <c r="B29" s="2" t="s">
        <v>26</v>
      </c>
      <c r="C29" s="2">
        <f>F2</f>
        <v>0.96799999999999997</v>
      </c>
    </row>
    <row r="30" spans="2:7" x14ac:dyDescent="0.3">
      <c r="B30" s="2" t="s">
        <v>25</v>
      </c>
      <c r="C30" s="2">
        <f>C$17/C29</f>
        <v>5.0388284900907676</v>
      </c>
    </row>
    <row r="35" spans="1:18" x14ac:dyDescent="0.3">
      <c r="B35" s="2" t="s">
        <v>27</v>
      </c>
      <c r="C35" s="3">
        <f>$C$5+C16*C17+F6+C18</f>
        <v>51.926515870447176</v>
      </c>
      <c r="D35" s="3"/>
      <c r="E35" s="3">
        <f>$C$5+E16*E17+E18+(C17+F6)*2</f>
        <v>41.468098578930757</v>
      </c>
      <c r="F35" s="3">
        <f>$C$5+F16*F17+F18</f>
        <v>23.875077624854345</v>
      </c>
      <c r="G35" s="3">
        <f>$C$5+G16*G17+G18</f>
        <v>23.796713138291508</v>
      </c>
    </row>
    <row r="36" spans="1:18" x14ac:dyDescent="0.3">
      <c r="A36" s="2" t="s">
        <v>1</v>
      </c>
      <c r="B36" s="2" t="s">
        <v>165</v>
      </c>
      <c r="C36" s="12">
        <v>2</v>
      </c>
      <c r="D36" s="3"/>
      <c r="E36" s="3"/>
      <c r="F36" s="3"/>
      <c r="G36" s="3"/>
    </row>
    <row r="37" spans="1:18" x14ac:dyDescent="0.3">
      <c r="B37" t="s">
        <v>151</v>
      </c>
      <c r="C37" s="2">
        <v>2</v>
      </c>
      <c r="E37" s="2">
        <f>C37</f>
        <v>2</v>
      </c>
      <c r="F37" s="2">
        <f>C37</f>
        <v>2</v>
      </c>
      <c r="G37" s="2">
        <f>C37</f>
        <v>2</v>
      </c>
    </row>
    <row r="38" spans="1:18" x14ac:dyDescent="0.3">
      <c r="B38" s="2" t="s">
        <v>144</v>
      </c>
      <c r="C38" s="2">
        <f>C37*C20</f>
        <v>10.077656980181535</v>
      </c>
      <c r="E38" s="2">
        <f>C38</f>
        <v>10.077656980181535</v>
      </c>
      <c r="F38" s="2">
        <f>C38</f>
        <v>10.077656980181535</v>
      </c>
      <c r="G38" s="2">
        <f>C38</f>
        <v>10.077656980181535</v>
      </c>
      <c r="H38" s="2" t="s">
        <v>159</v>
      </c>
      <c r="M38" s="4"/>
      <c r="O38" s="5"/>
    </row>
    <row r="39" spans="1:18" x14ac:dyDescent="0.3">
      <c r="B39" s="2" t="s">
        <v>146</v>
      </c>
      <c r="C39" s="2">
        <f>C38</f>
        <v>10.077656980181535</v>
      </c>
      <c r="E39" s="2">
        <f>E38</f>
        <v>10.077656980181535</v>
      </c>
      <c r="F39" s="2">
        <f>F38</f>
        <v>10.077656980181535</v>
      </c>
      <c r="G39" s="2">
        <f>G38</f>
        <v>10.077656980181535</v>
      </c>
      <c r="H39" s="2" t="s">
        <v>161</v>
      </c>
      <c r="L39" s="2">
        <f>L49*F3*F1</f>
        <v>9.6</v>
      </c>
      <c r="M39" s="5"/>
      <c r="N39" s="2">
        <f>C38*C22/I13</f>
        <v>13.848977755936584</v>
      </c>
      <c r="P39" s="2">
        <f>N39</f>
        <v>13.848977755936584</v>
      </c>
      <c r="Q39" s="2">
        <f>N39</f>
        <v>13.848977755936584</v>
      </c>
      <c r="R39" s="2">
        <f>G38*G20/J13</f>
        <v>8.3587923555610342</v>
      </c>
    </row>
    <row r="40" spans="1:18" x14ac:dyDescent="0.3">
      <c r="B40" s="2" t="s">
        <v>145</v>
      </c>
      <c r="F40" s="2">
        <f>F39*F20</f>
        <v>24.51150199848308</v>
      </c>
      <c r="G40" s="2">
        <f>G39*G22</f>
        <v>45.973357955585676</v>
      </c>
      <c r="H40" s="2" t="s">
        <v>160</v>
      </c>
      <c r="M40" s="5"/>
    </row>
    <row r="41" spans="1:18" x14ac:dyDescent="0.3">
      <c r="B41" s="2" t="s">
        <v>147</v>
      </c>
      <c r="E41" s="2">
        <f>E39*E20</f>
        <v>29.149252575999501</v>
      </c>
      <c r="G41" s="2">
        <f>G40*G24</f>
        <v>209.72629311246314</v>
      </c>
      <c r="H41" s="2" t="s">
        <v>162</v>
      </c>
    </row>
    <row r="42" spans="1:18" x14ac:dyDescent="0.3">
      <c r="B42" s="2" t="s">
        <v>148</v>
      </c>
      <c r="C42" s="2">
        <f>C39*C24</f>
        <v>33.853056736733876</v>
      </c>
    </row>
    <row r="43" spans="1:18" x14ac:dyDescent="0.3">
      <c r="B43" s="2" t="s">
        <v>149</v>
      </c>
      <c r="C43" s="2">
        <f>C42*C26</f>
        <v>22.743966234895183</v>
      </c>
      <c r="E43" s="2">
        <f>E41*E22</f>
        <v>42.156571086432621</v>
      </c>
      <c r="F43" s="2">
        <f>F40*F22</f>
        <v>59.61839457357847</v>
      </c>
      <c r="L43" s="2">
        <f>1.7/6</f>
        <v>0.28333333333333333</v>
      </c>
      <c r="M43" s="5"/>
    </row>
    <row r="44" spans="1:18" x14ac:dyDescent="0.3">
      <c r="B44" s="2" t="s">
        <v>150</v>
      </c>
      <c r="C44" s="2">
        <f>C43*C28</f>
        <v>114.6029450420523</v>
      </c>
      <c r="E44" s="2">
        <f>E43*E24</f>
        <v>182.90449964010872</v>
      </c>
      <c r="F44" s="2">
        <f>F43*F24</f>
        <v>217.51133233802983</v>
      </c>
    </row>
    <row r="45" spans="1:18" x14ac:dyDescent="0.3">
      <c r="M45" s="5"/>
    </row>
    <row r="47" spans="1:18" x14ac:dyDescent="0.3">
      <c r="B47" s="4" t="s">
        <v>96</v>
      </c>
      <c r="C47" s="2">
        <f>C37/J2</f>
        <v>1</v>
      </c>
      <c r="J47" s="2" t="s">
        <v>175</v>
      </c>
      <c r="K47" s="2">
        <v>1</v>
      </c>
    </row>
    <row r="48" spans="1:18" x14ac:dyDescent="0.3">
      <c r="B48" s="5" t="s">
        <v>97</v>
      </c>
      <c r="C48" s="2">
        <f>C38/J2</f>
        <v>5.0388284900907676</v>
      </c>
      <c r="G48" s="2">
        <f>G38/J2</f>
        <v>5.0388284900907676</v>
      </c>
      <c r="H48" s="2" t="s">
        <v>159</v>
      </c>
      <c r="J48" s="2" t="s">
        <v>176</v>
      </c>
      <c r="K48" s="2">
        <v>4</v>
      </c>
      <c r="L48" s="2">
        <f>2*K48</f>
        <v>8</v>
      </c>
      <c r="O48" s="2">
        <v>4.1600316487330806</v>
      </c>
      <c r="P48" s="2" t="s">
        <v>144</v>
      </c>
    </row>
    <row r="49" spans="2:16" x14ac:dyDescent="0.3">
      <c r="B49" s="6" t="s">
        <v>99</v>
      </c>
      <c r="C49" s="2">
        <f>C39/J3</f>
        <v>4.0310627920726141</v>
      </c>
      <c r="E49" s="2">
        <f>C49</f>
        <v>4.0310627920726141</v>
      </c>
      <c r="F49" s="2">
        <f>C49</f>
        <v>4.0310627920726141</v>
      </c>
      <c r="G49" s="2">
        <f>G39/J2</f>
        <v>5.0388284900907676</v>
      </c>
      <c r="H49" s="2" t="s">
        <v>161</v>
      </c>
      <c r="J49" s="2" t="s">
        <v>98</v>
      </c>
      <c r="K49" s="2">
        <v>3.2</v>
      </c>
      <c r="L49" s="2">
        <f>L48/2.5</f>
        <v>3.2</v>
      </c>
      <c r="M49" s="2">
        <f>K49</f>
        <v>3.2</v>
      </c>
      <c r="N49" s="2">
        <f>K49</f>
        <v>3.2</v>
      </c>
      <c r="O49" s="2">
        <v>4</v>
      </c>
      <c r="P49" s="2" t="s">
        <v>177</v>
      </c>
    </row>
    <row r="50" spans="2:16" x14ac:dyDescent="0.3">
      <c r="B50" s="6" t="s">
        <v>100</v>
      </c>
      <c r="F50" s="2">
        <f>F40/J3</f>
        <v>9.8046007993932314</v>
      </c>
      <c r="G50" s="2">
        <f>G40/J2</f>
        <v>22.986678977792838</v>
      </c>
      <c r="H50" s="2" t="s">
        <v>160</v>
      </c>
      <c r="J50" s="2" t="s">
        <v>178</v>
      </c>
      <c r="N50" s="2">
        <v>11</v>
      </c>
      <c r="O50" s="2">
        <v>18.641388810982161</v>
      </c>
      <c r="P50" s="2" t="s">
        <v>179</v>
      </c>
    </row>
    <row r="51" spans="2:16" x14ac:dyDescent="0.3">
      <c r="B51" s="7" t="s">
        <v>101</v>
      </c>
      <c r="E51" s="2">
        <f>E41/J4</f>
        <v>8.3283578788570001</v>
      </c>
      <c r="G51" s="2">
        <f>G41/J2</f>
        <v>104.86314655623157</v>
      </c>
      <c r="H51" s="2" t="s">
        <v>162</v>
      </c>
      <c r="J51" s="2" t="s">
        <v>180</v>
      </c>
      <c r="M51" s="2">
        <v>8</v>
      </c>
      <c r="O51" s="2">
        <v>86.00345227928625</v>
      </c>
      <c r="P51" s="2" t="s">
        <v>162</v>
      </c>
    </row>
    <row r="52" spans="2:16" x14ac:dyDescent="0.3">
      <c r="B52" s="8" t="s">
        <v>102</v>
      </c>
      <c r="C52" s="2">
        <f>C42/J5</f>
        <v>6.1551012248607044</v>
      </c>
      <c r="J52" s="2" t="s">
        <v>181</v>
      </c>
      <c r="K52" s="2">
        <v>6</v>
      </c>
    </row>
    <row r="53" spans="2:16" x14ac:dyDescent="0.3">
      <c r="B53" s="4" t="s">
        <v>103</v>
      </c>
      <c r="C53" s="2">
        <f>C43/J2</f>
        <v>11.371983117447591</v>
      </c>
      <c r="E53" s="2">
        <f>E43/J2</f>
        <v>21.07828554321631</v>
      </c>
      <c r="F53" s="2">
        <f>F43/J2</f>
        <v>29.809197286789235</v>
      </c>
      <c r="J53" s="2" t="s">
        <v>182</v>
      </c>
      <c r="K53" s="2">
        <v>21</v>
      </c>
      <c r="M53" s="4">
        <v>26</v>
      </c>
      <c r="N53" s="2">
        <v>31</v>
      </c>
      <c r="P53" s="4"/>
    </row>
    <row r="54" spans="2:16" x14ac:dyDescent="0.3">
      <c r="B54" s="5" t="s">
        <v>104</v>
      </c>
      <c r="C54" s="2">
        <f>C44/J2</f>
        <v>57.301472521026149</v>
      </c>
      <c r="E54" s="2">
        <f>E44/J2</f>
        <v>91.452249820054362</v>
      </c>
      <c r="F54" s="2">
        <f>F44/J2</f>
        <v>108.75566616901492</v>
      </c>
      <c r="J54" s="2" t="s">
        <v>183</v>
      </c>
      <c r="K54" s="2">
        <v>88</v>
      </c>
      <c r="M54" s="5">
        <v>97</v>
      </c>
      <c r="N54" s="2">
        <v>106</v>
      </c>
      <c r="P54" s="5"/>
    </row>
    <row r="55" spans="2:16" x14ac:dyDescent="0.3">
      <c r="M55" s="5"/>
      <c r="O55" s="5"/>
      <c r="P55" s="5"/>
    </row>
    <row r="56" spans="2:16" x14ac:dyDescent="0.3">
      <c r="B56" s="9"/>
      <c r="M56" s="5"/>
      <c r="O56" s="5"/>
      <c r="P56" s="5"/>
    </row>
    <row r="57" spans="2:16" x14ac:dyDescent="0.3">
      <c r="B57" s="4" t="s">
        <v>68</v>
      </c>
      <c r="C57" s="2">
        <v>0.5</v>
      </c>
      <c r="J57" s="4" t="s">
        <v>68</v>
      </c>
      <c r="K57" s="2">
        <v>0.5</v>
      </c>
      <c r="P57" s="10"/>
    </row>
    <row r="58" spans="2:16" x14ac:dyDescent="0.3">
      <c r="B58" s="5" t="s">
        <v>69</v>
      </c>
      <c r="C58" s="2">
        <v>1.5</v>
      </c>
      <c r="J58" s="5" t="s">
        <v>69</v>
      </c>
      <c r="K58" s="2">
        <v>1.5</v>
      </c>
      <c r="P58" s="6"/>
    </row>
    <row r="59" spans="2:16" x14ac:dyDescent="0.3">
      <c r="B59" s="5" t="s">
        <v>70</v>
      </c>
      <c r="C59" s="2">
        <f>$H$8*C48</f>
        <v>2.5194142450453838</v>
      </c>
      <c r="G59" s="2">
        <f>C59</f>
        <v>2.5194142450453838</v>
      </c>
      <c r="J59" s="5" t="s">
        <v>70</v>
      </c>
      <c r="K59" s="2">
        <f>$H$8*K48</f>
        <v>2</v>
      </c>
      <c r="O59" s="2">
        <f>K59</f>
        <v>2</v>
      </c>
    </row>
    <row r="60" spans="2:16" x14ac:dyDescent="0.3">
      <c r="B60" s="5" t="s">
        <v>71</v>
      </c>
      <c r="C60" s="2">
        <f>$H$9*C48</f>
        <v>7.558242735136151</v>
      </c>
      <c r="G60" s="2">
        <f>C60</f>
        <v>7.558242735136151</v>
      </c>
      <c r="J60" s="5" t="s">
        <v>71</v>
      </c>
      <c r="K60" s="2">
        <f>$H$9*K48</f>
        <v>6</v>
      </c>
      <c r="O60" s="2">
        <f>K60</f>
        <v>6</v>
      </c>
    </row>
    <row r="61" spans="2:16" x14ac:dyDescent="0.3">
      <c r="B61" s="10" t="s">
        <v>57</v>
      </c>
      <c r="C61" s="2">
        <f>$H$6*C49</f>
        <v>6.0465941881089211</v>
      </c>
      <c r="E61" s="2">
        <f>C61</f>
        <v>6.0465941881089211</v>
      </c>
      <c r="F61" s="2">
        <f>C61</f>
        <v>6.0465941881089211</v>
      </c>
      <c r="G61" s="2">
        <f>H8*G49</f>
        <v>2.5194142450453838</v>
      </c>
      <c r="J61" s="10" t="s">
        <v>57</v>
      </c>
      <c r="K61" s="2">
        <f>$H$6*K49</f>
        <v>4.8000000000000007</v>
      </c>
      <c r="L61" s="2">
        <v>3.32</v>
      </c>
      <c r="M61" s="2">
        <f>K61</f>
        <v>4.8000000000000007</v>
      </c>
      <c r="N61" s="2">
        <f>K61</f>
        <v>4.8000000000000007</v>
      </c>
      <c r="O61" s="2">
        <f>H8*O49</f>
        <v>2</v>
      </c>
    </row>
    <row r="62" spans="2:16" x14ac:dyDescent="0.3">
      <c r="B62" s="6" t="s">
        <v>58</v>
      </c>
      <c r="C62" s="2">
        <f>$H$7*C49</f>
        <v>6.0465941881089211</v>
      </c>
      <c r="E62" s="2">
        <f>C62</f>
        <v>6.0465941881089211</v>
      </c>
      <c r="F62" s="2">
        <f>C62</f>
        <v>6.0465941881089211</v>
      </c>
      <c r="G62" s="2">
        <f>H9*G49</f>
        <v>7.558242735136151</v>
      </c>
      <c r="J62" s="6" t="s">
        <v>58</v>
      </c>
      <c r="K62" s="2">
        <f>$H$7*K49</f>
        <v>4.8000000000000007</v>
      </c>
      <c r="M62" s="2">
        <f>K62</f>
        <v>4.8000000000000007</v>
      </c>
      <c r="N62" s="2">
        <f>K62</f>
        <v>4.8000000000000007</v>
      </c>
      <c r="O62" s="2">
        <f>H9*O49</f>
        <v>6</v>
      </c>
    </row>
    <row r="63" spans="2:16" x14ac:dyDescent="0.3">
      <c r="B63" s="10" t="s">
        <v>163</v>
      </c>
      <c r="C63" s="2">
        <f>F63</f>
        <v>14.706901199089849</v>
      </c>
      <c r="F63" s="2">
        <f>F61*F20</f>
        <v>14.706901199089849</v>
      </c>
      <c r="G63" s="2">
        <f>H8*G50</f>
        <v>11.493339488896419</v>
      </c>
      <c r="I63" s="2">
        <f>K63+K64</f>
        <v>33</v>
      </c>
      <c r="J63" s="10" t="s">
        <v>163</v>
      </c>
      <c r="K63" s="2">
        <f>N63</f>
        <v>16.5</v>
      </c>
      <c r="L63" s="2">
        <f>I67*(1/2.5)</f>
        <v>36</v>
      </c>
      <c r="N63" s="2">
        <f>H6*N50</f>
        <v>16.5</v>
      </c>
      <c r="O63" s="2">
        <f>H8*O50</f>
        <v>9.3206944054910803</v>
      </c>
    </row>
    <row r="64" spans="2:16" x14ac:dyDescent="0.3">
      <c r="B64" s="6" t="s">
        <v>164</v>
      </c>
      <c r="C64" s="2">
        <f>F64</f>
        <v>14.706901199089847</v>
      </c>
      <c r="F64" s="2">
        <f>H7*F50</f>
        <v>14.706901199089847</v>
      </c>
      <c r="G64" s="2">
        <f>H9*G50</f>
        <v>34.480018466689259</v>
      </c>
      <c r="J64" s="6" t="s">
        <v>164</v>
      </c>
      <c r="K64" s="2">
        <f>N64</f>
        <v>16.5</v>
      </c>
      <c r="N64" s="2">
        <f>H7*N50</f>
        <v>16.5</v>
      </c>
      <c r="O64" s="2">
        <f>H9*O50</f>
        <v>27.962083216473239</v>
      </c>
    </row>
    <row r="65" spans="2:15" x14ac:dyDescent="0.3">
      <c r="B65" s="7" t="s">
        <v>55</v>
      </c>
      <c r="C65" s="2">
        <f>E65</f>
        <v>37.477610454856503</v>
      </c>
      <c r="E65" s="2">
        <f>H4*E51</f>
        <v>37.477610454856503</v>
      </c>
      <c r="G65" s="2">
        <f>H8*G51</f>
        <v>52.431573278115785</v>
      </c>
      <c r="I65" s="2">
        <f>K65+K66</f>
        <v>48</v>
      </c>
      <c r="J65" s="7" t="s">
        <v>55</v>
      </c>
      <c r="K65" s="2">
        <f>M65</f>
        <v>36</v>
      </c>
      <c r="L65" s="2">
        <f>I67*(2/3.5)</f>
        <v>51.428571428571423</v>
      </c>
      <c r="M65" s="2">
        <f>H4*M51</f>
        <v>36</v>
      </c>
      <c r="O65" s="2">
        <f>H8*O51</f>
        <v>43.001726139643125</v>
      </c>
    </row>
    <row r="66" spans="2:15" x14ac:dyDescent="0.3">
      <c r="B66" s="9" t="s">
        <v>56</v>
      </c>
      <c r="C66" s="2">
        <f>E66</f>
        <v>12.492536818285501</v>
      </c>
      <c r="E66" s="2">
        <f>H5*E51</f>
        <v>12.492536818285501</v>
      </c>
      <c r="G66" s="2">
        <f>H9*G51</f>
        <v>157.29471983434735</v>
      </c>
      <c r="J66" s="9" t="s">
        <v>56</v>
      </c>
      <c r="K66" s="2">
        <f>M66</f>
        <v>12</v>
      </c>
      <c r="L66" s="2">
        <f>I67*(1.5/3.5)</f>
        <v>38.571428571428569</v>
      </c>
      <c r="M66" s="2">
        <f>H5*M51</f>
        <v>12</v>
      </c>
      <c r="O66" s="2">
        <f>H9*O51</f>
        <v>129.00517841892938</v>
      </c>
    </row>
    <row r="67" spans="2:15" x14ac:dyDescent="0.3">
      <c r="B67" s="8" t="s">
        <v>53</v>
      </c>
      <c r="C67" s="2">
        <f>H2*C52</f>
        <v>83.093866535619512</v>
      </c>
      <c r="I67" s="2">
        <f>K67+K68</f>
        <v>90</v>
      </c>
      <c r="J67" s="8" t="s">
        <v>53</v>
      </c>
      <c r="K67" s="2">
        <f>H2*K52</f>
        <v>81</v>
      </c>
    </row>
    <row r="68" spans="2:15" x14ac:dyDescent="0.3">
      <c r="B68" s="8" t="s">
        <v>54</v>
      </c>
      <c r="C68" s="2">
        <f>H3*C52</f>
        <v>9.2326518372910567</v>
      </c>
      <c r="J68" s="8" t="s">
        <v>54</v>
      </c>
      <c r="K68" s="2">
        <f>H3*K52</f>
        <v>9</v>
      </c>
    </row>
    <row r="69" spans="2:15" x14ac:dyDescent="0.3">
      <c r="B69" s="4" t="s">
        <v>72</v>
      </c>
      <c r="C69" s="2">
        <f>H8*C53</f>
        <v>5.6859915587237957</v>
      </c>
      <c r="E69" s="2">
        <f>H8*E53</f>
        <v>10.539142771608155</v>
      </c>
      <c r="F69" s="2">
        <f>H8*F53</f>
        <v>14.904598643394618</v>
      </c>
      <c r="J69" s="4" t="s">
        <v>72</v>
      </c>
      <c r="K69" s="2">
        <f>H8*K53</f>
        <v>10.5</v>
      </c>
      <c r="M69" s="2">
        <f>H8*M53</f>
        <v>13</v>
      </c>
      <c r="N69" s="2">
        <f>H8*N53</f>
        <v>15.5</v>
      </c>
    </row>
    <row r="70" spans="2:15" x14ac:dyDescent="0.3">
      <c r="B70" s="5" t="s">
        <v>73</v>
      </c>
      <c r="C70" s="2">
        <f>H9*C53</f>
        <v>17.057974676171387</v>
      </c>
      <c r="E70" s="2">
        <f>H9*E53</f>
        <v>31.617428314824465</v>
      </c>
      <c r="F70" s="2">
        <f>H9*F53</f>
        <v>44.713795930183849</v>
      </c>
      <c r="J70" s="5" t="s">
        <v>73</v>
      </c>
      <c r="K70" s="2">
        <f>H9*K53</f>
        <v>31.5</v>
      </c>
      <c r="M70" s="2">
        <f>H9*M53</f>
        <v>39</v>
      </c>
      <c r="N70" s="2">
        <f>H9*N53</f>
        <v>46.5</v>
      </c>
    </row>
    <row r="71" spans="2:15" x14ac:dyDescent="0.3">
      <c r="B71" s="5" t="s">
        <v>74</v>
      </c>
      <c r="C71" s="2">
        <f>$H$8*C54</f>
        <v>28.650736260513074</v>
      </c>
      <c r="E71" s="2">
        <f>H8*E54</f>
        <v>45.726124910027181</v>
      </c>
      <c r="F71" s="2">
        <f>H8*F54</f>
        <v>54.377833084507458</v>
      </c>
      <c r="J71" s="5" t="s">
        <v>74</v>
      </c>
      <c r="K71" s="2">
        <f>$H$8*K54</f>
        <v>44</v>
      </c>
      <c r="M71" s="2">
        <f>H8*M54</f>
        <v>48.5</v>
      </c>
      <c r="N71" s="2">
        <f>H8*N54</f>
        <v>53</v>
      </c>
    </row>
    <row r="72" spans="2:15" x14ac:dyDescent="0.3">
      <c r="B72" s="5" t="s">
        <v>75</v>
      </c>
      <c r="C72" s="2">
        <f>$H$9*C54</f>
        <v>85.952208781539227</v>
      </c>
      <c r="E72" s="2">
        <f>H9*E54</f>
        <v>137.17837473008154</v>
      </c>
      <c r="F72" s="2">
        <f>H9*F54</f>
        <v>163.13349925352236</v>
      </c>
      <c r="J72" s="5" t="s">
        <v>75</v>
      </c>
      <c r="K72" s="2">
        <f>$H$9*K54</f>
        <v>132</v>
      </c>
      <c r="M72" s="2">
        <f>H9*M54</f>
        <v>145.5</v>
      </c>
      <c r="N72" s="2">
        <f>H9*N54</f>
        <v>159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1D77-C726-4972-B212-C2B4CEA15DD5}">
  <dimension ref="A3:AB54"/>
  <sheetViews>
    <sheetView topLeftCell="J19" zoomScale="130" zoomScaleNormal="130" workbookViewId="0">
      <selection activeCell="AB21" sqref="AB21:AB35"/>
    </sheetView>
  </sheetViews>
  <sheetFormatPr defaultRowHeight="14.5" x14ac:dyDescent="0.3"/>
  <cols>
    <col min="1" max="1" width="11.59765625" style="14" customWidth="1"/>
    <col min="2" max="2" width="12.69921875" style="14" customWidth="1"/>
    <col min="3" max="3" width="11.5" style="14" customWidth="1"/>
    <col min="4" max="4" width="13.796875" style="14" customWidth="1"/>
    <col min="5" max="8" width="8.796875" style="14"/>
    <col min="9" max="9" width="38.19921875" style="14" customWidth="1"/>
    <col min="10" max="10" width="18.59765625" style="14" customWidth="1"/>
    <col min="11" max="11" width="8.796875" style="14"/>
    <col min="12" max="12" width="18.5" style="14" customWidth="1"/>
    <col min="13" max="16384" width="8.796875" style="14"/>
  </cols>
  <sheetData>
    <row r="3" spans="1:13" x14ac:dyDescent="0.3">
      <c r="A3" s="25" t="s">
        <v>110</v>
      </c>
      <c r="B3" s="25" t="s">
        <v>111</v>
      </c>
      <c r="C3" s="25" t="s">
        <v>110</v>
      </c>
      <c r="D3" s="25" t="s">
        <v>111</v>
      </c>
      <c r="I3" s="14">
        <f>41.51*51.24</f>
        <v>2126.9724000000001</v>
      </c>
      <c r="J3" s="14">
        <f>I3*(1/2)</f>
        <v>1063.4862000000001</v>
      </c>
      <c r="K3" s="14">
        <f>51.24/41.51</f>
        <v>1.2344013490725128</v>
      </c>
    </row>
    <row r="4" spans="1:13" ht="15" thickBot="1" x14ac:dyDescent="0.35">
      <c r="A4" s="11" t="s">
        <v>112</v>
      </c>
      <c r="B4" s="11">
        <v>0.72099999999999997</v>
      </c>
      <c r="C4" s="11" t="s">
        <v>113</v>
      </c>
      <c r="D4" s="11">
        <v>0.55100000000000005</v>
      </c>
      <c r="I4" s="14">
        <f>41.404*50.79</f>
        <v>2102.9091600000002</v>
      </c>
      <c r="J4" s="14">
        <f>I4*(1/2)</f>
        <v>1051.4545800000001</v>
      </c>
    </row>
    <row r="5" spans="1:13" ht="16" thickBot="1" x14ac:dyDescent="0.35">
      <c r="A5" s="11" t="s">
        <v>114</v>
      </c>
      <c r="B5" s="11">
        <v>0.63400000000000001</v>
      </c>
      <c r="C5" s="11" t="s">
        <v>115</v>
      </c>
      <c r="D5" s="11">
        <v>0.57899999999999996</v>
      </c>
      <c r="I5" s="27">
        <v>2126.9720000000002</v>
      </c>
      <c r="J5" s="28">
        <v>0.48</v>
      </c>
      <c r="K5" s="29">
        <v>0.83</v>
      </c>
      <c r="L5" s="29">
        <v>0.9</v>
      </c>
      <c r="M5" s="14">
        <f>(I5)^(1/2)*J5*K5^3*L5</f>
        <v>11.391972038760322</v>
      </c>
    </row>
    <row r="6" spans="1:13" ht="16" thickBot="1" x14ac:dyDescent="0.35">
      <c r="A6" s="11" t="s">
        <v>116</v>
      </c>
      <c r="B6" s="11">
        <v>0.68500000000000005</v>
      </c>
      <c r="C6" s="11" t="s">
        <v>117</v>
      </c>
      <c r="D6" s="11">
        <v>0.44</v>
      </c>
      <c r="I6" s="27">
        <v>2102.9090000000001</v>
      </c>
      <c r="J6" s="28">
        <v>0.46700000000000003</v>
      </c>
      <c r="K6" s="29">
        <v>0.83</v>
      </c>
      <c r="L6" s="29">
        <v>1.05</v>
      </c>
      <c r="M6" s="14">
        <f>(I6)^(1/2)*J6*K6^3*L6</f>
        <v>12.857327212298772</v>
      </c>
    </row>
    <row r="7" spans="1:13" x14ac:dyDescent="0.3">
      <c r="A7" s="11" t="s">
        <v>118</v>
      </c>
      <c r="B7" s="11">
        <v>0.64</v>
      </c>
      <c r="C7" s="11" t="s">
        <v>119</v>
      </c>
      <c r="D7" s="11">
        <v>0.65100000000000002</v>
      </c>
    </row>
    <row r="8" spans="1:13" x14ac:dyDescent="0.3">
      <c r="A8" s="11" t="s">
        <v>120</v>
      </c>
      <c r="B8" s="11">
        <v>0.64500000000000002</v>
      </c>
      <c r="C8" s="11" t="s">
        <v>121</v>
      </c>
      <c r="D8" s="11">
        <v>0.46800000000000003</v>
      </c>
    </row>
    <row r="9" spans="1:13" ht="14.5" customHeight="1" x14ac:dyDescent="0.3">
      <c r="A9" s="11" t="s">
        <v>122</v>
      </c>
      <c r="B9" s="11">
        <v>0.59599999999999997</v>
      </c>
      <c r="C9" s="11" t="s">
        <v>123</v>
      </c>
      <c r="D9" s="11">
        <v>0.68100000000000005</v>
      </c>
      <c r="I9" s="25" t="s">
        <v>188</v>
      </c>
      <c r="J9" s="25" t="s">
        <v>189</v>
      </c>
      <c r="K9" s="25"/>
    </row>
    <row r="10" spans="1:13" ht="14.5" customHeight="1" x14ac:dyDescent="0.3">
      <c r="A10" s="11" t="s">
        <v>124</v>
      </c>
      <c r="B10" s="11">
        <v>0.754</v>
      </c>
      <c r="C10" s="11" t="s">
        <v>125</v>
      </c>
      <c r="D10" s="11">
        <v>0.495</v>
      </c>
      <c r="I10" s="26" t="s">
        <v>190</v>
      </c>
      <c r="J10" s="26"/>
      <c r="K10" s="26"/>
      <c r="L10" s="26"/>
    </row>
    <row r="11" spans="1:13" ht="14.5" customHeight="1" x14ac:dyDescent="0.3">
      <c r="A11" s="11" t="s">
        <v>126</v>
      </c>
      <c r="B11" s="11">
        <v>0.64300000000000002</v>
      </c>
      <c r="C11" s="11" t="s">
        <v>127</v>
      </c>
      <c r="D11" s="11">
        <v>0.83</v>
      </c>
      <c r="I11" s="26" t="s">
        <v>191</v>
      </c>
      <c r="J11" s="26"/>
      <c r="K11" s="26"/>
      <c r="L11" s="26"/>
    </row>
    <row r="12" spans="1:13" ht="14.5" customHeight="1" x14ac:dyDescent="0.3">
      <c r="A12" s="11" t="s">
        <v>128</v>
      </c>
      <c r="B12" s="11">
        <v>0.60099999999999998</v>
      </c>
      <c r="C12" s="11" t="s">
        <v>129</v>
      </c>
      <c r="D12" s="11">
        <v>0.57099999999999995</v>
      </c>
      <c r="I12" s="26" t="s">
        <v>192</v>
      </c>
      <c r="J12" s="26"/>
      <c r="K12" s="26"/>
      <c r="L12" s="26"/>
    </row>
    <row r="13" spans="1:13" ht="14.5" customHeight="1" x14ac:dyDescent="0.3">
      <c r="A13" s="11" t="s">
        <v>130</v>
      </c>
      <c r="B13" s="11">
        <v>0.57099999999999995</v>
      </c>
      <c r="C13" s="11" t="s">
        <v>131</v>
      </c>
      <c r="D13" s="11">
        <v>0.72499999999999998</v>
      </c>
      <c r="I13" s="26" t="s">
        <v>193</v>
      </c>
      <c r="J13" s="26"/>
      <c r="K13" s="26"/>
      <c r="L13" s="26"/>
    </row>
    <row r="14" spans="1:13" ht="14.5" customHeight="1" x14ac:dyDescent="0.3">
      <c r="A14" s="11" t="s">
        <v>132</v>
      </c>
      <c r="B14" s="11">
        <v>0.55400000000000005</v>
      </c>
      <c r="C14" s="11" t="s">
        <v>133</v>
      </c>
      <c r="D14" s="11">
        <v>0.51900000000000002</v>
      </c>
      <c r="I14" s="26" t="s">
        <v>194</v>
      </c>
      <c r="J14" s="26"/>
      <c r="K14" s="26"/>
      <c r="L14" s="26"/>
    </row>
    <row r="15" spans="1:13" ht="14.5" customHeight="1" x14ac:dyDescent="0.3">
      <c r="A15" s="11" t="s">
        <v>134</v>
      </c>
      <c r="B15" s="11">
        <v>0.56299999999999994</v>
      </c>
      <c r="C15" s="11" t="s">
        <v>135</v>
      </c>
      <c r="D15" s="11">
        <v>0.78500000000000003</v>
      </c>
      <c r="I15" s="26" t="s">
        <v>195</v>
      </c>
      <c r="J15" s="26"/>
      <c r="K15" s="26"/>
      <c r="L15" s="26"/>
    </row>
    <row r="16" spans="1:13" ht="14.5" customHeight="1" x14ac:dyDescent="0.3">
      <c r="A16" s="11" t="s">
        <v>136</v>
      </c>
      <c r="B16" s="11">
        <v>0.502</v>
      </c>
      <c r="C16" s="11" t="s">
        <v>137</v>
      </c>
      <c r="D16" s="11">
        <v>0.54</v>
      </c>
      <c r="I16" s="26" t="s">
        <v>196</v>
      </c>
      <c r="J16" s="26"/>
      <c r="K16" s="26"/>
      <c r="L16" s="26"/>
    </row>
    <row r="17" spans="1:28" ht="14.5" customHeight="1" x14ac:dyDescent="0.3">
      <c r="A17" s="11" t="s">
        <v>138</v>
      </c>
      <c r="B17" s="11">
        <v>0.51900000000000002</v>
      </c>
      <c r="C17" s="11" t="s">
        <v>139</v>
      </c>
      <c r="D17" s="11">
        <v>0.80100000000000005</v>
      </c>
      <c r="J17" s="26"/>
      <c r="K17" s="26"/>
      <c r="L17" s="26"/>
    </row>
    <row r="18" spans="1:28" ht="14.5" customHeight="1" x14ac:dyDescent="0.3">
      <c r="A18" s="11" t="s">
        <v>140</v>
      </c>
      <c r="B18" s="11">
        <v>0.78200000000000003</v>
      </c>
      <c r="C18" s="11" t="s">
        <v>141</v>
      </c>
      <c r="D18" s="11">
        <v>0.55700000000000005</v>
      </c>
      <c r="J18" s="26"/>
      <c r="K18" s="26"/>
      <c r="L18" s="26"/>
    </row>
    <row r="19" spans="1:28" ht="14.5" customHeight="1" x14ac:dyDescent="0.3">
      <c r="A19" s="14" t="s">
        <v>202</v>
      </c>
      <c r="J19" s="26"/>
      <c r="K19" s="26"/>
      <c r="L19" s="26"/>
    </row>
    <row r="20" spans="1:28" ht="14.5" customHeight="1" x14ac:dyDescent="0.3">
      <c r="A20" s="25" t="s">
        <v>110</v>
      </c>
      <c r="B20" s="25" t="s">
        <v>111</v>
      </c>
      <c r="C20" s="25" t="s">
        <v>110</v>
      </c>
      <c r="D20" s="25" t="s">
        <v>111</v>
      </c>
      <c r="J20" s="26" t="s">
        <v>198</v>
      </c>
      <c r="K20" s="26"/>
      <c r="L20" s="26"/>
      <c r="O20" s="14" t="s">
        <v>199</v>
      </c>
      <c r="T20" s="14" t="s">
        <v>200</v>
      </c>
      <c r="Y20" s="14" t="s">
        <v>201</v>
      </c>
    </row>
    <row r="21" spans="1:28" ht="14.5" customHeight="1" x14ac:dyDescent="0.3">
      <c r="A21" s="26" t="s">
        <v>112</v>
      </c>
      <c r="B21" s="26">
        <v>0.75700000000000001</v>
      </c>
      <c r="C21" s="26" t="s">
        <v>113</v>
      </c>
      <c r="D21" s="26">
        <v>0.63100000000000001</v>
      </c>
      <c r="G21" s="26" t="s">
        <v>112</v>
      </c>
      <c r="H21" s="26">
        <v>0.75700000000000001</v>
      </c>
      <c r="J21" s="11" t="s">
        <v>112</v>
      </c>
      <c r="K21" s="11">
        <v>0.61399999999999999</v>
      </c>
      <c r="L21" s="11" t="s">
        <v>113</v>
      </c>
      <c r="M21" s="11">
        <v>0.46800000000000003</v>
      </c>
      <c r="O21" s="11" t="s">
        <v>112</v>
      </c>
      <c r="P21" s="11">
        <v>1.7949999999999999</v>
      </c>
      <c r="Q21" s="11" t="s">
        <v>113</v>
      </c>
      <c r="R21" s="11">
        <v>1.42</v>
      </c>
      <c r="T21" s="11" t="s">
        <v>112</v>
      </c>
      <c r="U21" s="11">
        <v>1.1359999999999999</v>
      </c>
      <c r="V21" s="11" t="s">
        <v>113</v>
      </c>
      <c r="W21" s="11">
        <v>0.69399999999999995</v>
      </c>
      <c r="Y21" s="11" t="s">
        <v>112</v>
      </c>
      <c r="Z21" s="11">
        <v>1.01</v>
      </c>
      <c r="AA21" s="11" t="s">
        <v>113</v>
      </c>
      <c r="AB21" s="11">
        <v>1.022</v>
      </c>
    </row>
    <row r="22" spans="1:28" x14ac:dyDescent="0.3">
      <c r="A22" s="26" t="s">
        <v>114</v>
      </c>
      <c r="B22" s="26">
        <v>0.73399999999999999</v>
      </c>
      <c r="C22" s="26" t="s">
        <v>115</v>
      </c>
      <c r="D22" s="26">
        <v>0.66700000000000004</v>
      </c>
      <c r="G22" s="26" t="s">
        <v>114</v>
      </c>
      <c r="H22" s="26">
        <v>0.73399999999999999</v>
      </c>
      <c r="J22" s="11" t="s">
        <v>114</v>
      </c>
      <c r="K22" s="11">
        <v>0.54100000000000004</v>
      </c>
      <c r="L22" s="11" t="s">
        <v>115</v>
      </c>
      <c r="M22" s="11">
        <v>0.498</v>
      </c>
      <c r="O22" s="11" t="s">
        <v>114</v>
      </c>
      <c r="P22" s="11">
        <v>1.6080000000000001</v>
      </c>
      <c r="Q22" s="11" t="s">
        <v>115</v>
      </c>
      <c r="R22" s="11">
        <v>1.42</v>
      </c>
      <c r="T22" s="11" t="s">
        <v>114</v>
      </c>
      <c r="U22" s="11">
        <v>0.876</v>
      </c>
      <c r="V22" s="11" t="s">
        <v>115</v>
      </c>
      <c r="W22" s="11">
        <v>0.85399999999999998</v>
      </c>
      <c r="Y22" s="11" t="s">
        <v>114</v>
      </c>
      <c r="Z22" s="11">
        <v>1.079</v>
      </c>
      <c r="AA22" s="11" t="s">
        <v>115</v>
      </c>
      <c r="AB22" s="11">
        <v>0.90500000000000003</v>
      </c>
    </row>
    <row r="23" spans="1:28" x14ac:dyDescent="0.3">
      <c r="A23" s="26" t="s">
        <v>116</v>
      </c>
      <c r="B23" s="26">
        <v>0.72099999999999997</v>
      </c>
      <c r="C23" s="26" t="s">
        <v>117</v>
      </c>
      <c r="D23" s="26">
        <v>0.51500000000000001</v>
      </c>
      <c r="G23" s="26" t="s">
        <v>116</v>
      </c>
      <c r="H23" s="26">
        <v>0.72099999999999997</v>
      </c>
      <c r="J23" s="11" t="s">
        <v>116</v>
      </c>
      <c r="K23" s="11">
        <v>0.58399999999999996</v>
      </c>
      <c r="L23" s="11" t="s">
        <v>117</v>
      </c>
      <c r="M23" s="11">
        <v>0.376</v>
      </c>
      <c r="O23" s="11" t="s">
        <v>116</v>
      </c>
      <c r="P23" s="11">
        <v>1.704</v>
      </c>
      <c r="Q23" s="11" t="s">
        <v>117</v>
      </c>
      <c r="R23" s="11">
        <v>1.0820000000000001</v>
      </c>
      <c r="T23" s="11" t="s">
        <v>116</v>
      </c>
      <c r="U23" s="11">
        <v>1.0669999999999999</v>
      </c>
      <c r="V23" s="11" t="s">
        <v>117</v>
      </c>
      <c r="W23" s="11">
        <v>0.61299999999999999</v>
      </c>
      <c r="Y23" s="11" t="s">
        <v>116</v>
      </c>
      <c r="Z23" s="11">
        <v>0.98</v>
      </c>
      <c r="AA23" s="11" t="s">
        <v>117</v>
      </c>
      <c r="AB23" s="11">
        <v>0.7</v>
      </c>
    </row>
    <row r="24" spans="1:28" x14ac:dyDescent="0.3">
      <c r="A24" s="26" t="s">
        <v>118</v>
      </c>
      <c r="B24" s="26">
        <v>0.73199999999999998</v>
      </c>
      <c r="C24" s="26" t="s">
        <v>119</v>
      </c>
      <c r="D24" s="26">
        <v>0.75900000000000001</v>
      </c>
      <c r="G24" s="26" t="s">
        <v>118</v>
      </c>
      <c r="H24" s="26">
        <v>0.73199999999999998</v>
      </c>
      <c r="J24" s="11" t="s">
        <v>118</v>
      </c>
      <c r="K24" s="11">
        <v>0.54700000000000004</v>
      </c>
      <c r="L24" s="11" t="s">
        <v>119</v>
      </c>
      <c r="M24" s="11">
        <v>0.55900000000000005</v>
      </c>
      <c r="O24" s="11" t="s">
        <v>118</v>
      </c>
      <c r="P24" s="11">
        <v>1.619</v>
      </c>
      <c r="Q24" s="11" t="s">
        <v>119</v>
      </c>
      <c r="R24" s="11">
        <v>1.61</v>
      </c>
      <c r="T24" s="11" t="s">
        <v>118</v>
      </c>
      <c r="U24" s="11">
        <v>0.89200000000000002</v>
      </c>
      <c r="V24" s="11" t="s">
        <v>119</v>
      </c>
      <c r="W24" s="11">
        <v>0.97899999999999998</v>
      </c>
      <c r="Y24" s="11" t="s">
        <v>118</v>
      </c>
      <c r="Z24" s="11">
        <v>1.0760000000000001</v>
      </c>
      <c r="AA24" s="11" t="s">
        <v>119</v>
      </c>
      <c r="AB24" s="11">
        <v>0.99399999999999999</v>
      </c>
    </row>
    <row r="25" spans="1:28" x14ac:dyDescent="0.3">
      <c r="A25" s="26" t="s">
        <v>120</v>
      </c>
      <c r="B25" s="26">
        <v>0.69399999999999995</v>
      </c>
      <c r="C25" s="26" t="s">
        <v>121</v>
      </c>
      <c r="D25" s="26">
        <v>0.54400000000000004</v>
      </c>
      <c r="G25" s="26" t="s">
        <v>120</v>
      </c>
      <c r="H25" s="26">
        <v>0.69399999999999995</v>
      </c>
      <c r="J25" s="11" t="s">
        <v>120</v>
      </c>
      <c r="K25" s="11">
        <v>0.55000000000000004</v>
      </c>
      <c r="L25" s="11" t="s">
        <v>121</v>
      </c>
      <c r="M25" s="11">
        <v>0.39900000000000002</v>
      </c>
      <c r="O25" s="11" t="s">
        <v>120</v>
      </c>
      <c r="P25" s="11">
        <v>1.6020000000000001</v>
      </c>
      <c r="Q25" s="11" t="s">
        <v>121</v>
      </c>
      <c r="R25" s="11">
        <v>1.1679999999999999</v>
      </c>
      <c r="T25" s="11" t="s">
        <v>120</v>
      </c>
      <c r="U25" s="11">
        <v>0.99399999999999999</v>
      </c>
      <c r="V25" s="11" t="s">
        <v>121</v>
      </c>
      <c r="W25" s="11">
        <v>0.63900000000000001</v>
      </c>
      <c r="Y25" s="11" t="s">
        <v>120</v>
      </c>
      <c r="Z25" s="11">
        <v>0.94199999999999995</v>
      </c>
      <c r="AA25" s="11" t="s">
        <v>121</v>
      </c>
      <c r="AB25" s="11">
        <v>0.77300000000000002</v>
      </c>
    </row>
    <row r="26" spans="1:28" x14ac:dyDescent="0.3">
      <c r="A26" s="26" t="s">
        <v>122</v>
      </c>
      <c r="B26" s="26">
        <v>0.69299999999999995</v>
      </c>
      <c r="C26" s="26" t="s">
        <v>123</v>
      </c>
      <c r="D26" s="26">
        <v>0.754</v>
      </c>
      <c r="G26" s="26" t="s">
        <v>122</v>
      </c>
      <c r="H26" s="26">
        <v>0.69299999999999995</v>
      </c>
      <c r="J26" s="11" t="s">
        <v>122</v>
      </c>
      <c r="K26" s="11">
        <v>0.50900000000000001</v>
      </c>
      <c r="L26" s="11" t="s">
        <v>123</v>
      </c>
      <c r="M26" s="11">
        <v>0.58299999999999996</v>
      </c>
      <c r="O26" s="11" t="s">
        <v>122</v>
      </c>
      <c r="P26" s="11">
        <v>1.494</v>
      </c>
      <c r="Q26" s="11" t="s">
        <v>123</v>
      </c>
      <c r="R26" s="11">
        <v>1.706</v>
      </c>
      <c r="T26" s="11" t="s">
        <v>122</v>
      </c>
      <c r="U26" s="11">
        <v>0.84</v>
      </c>
      <c r="V26" s="11" t="s">
        <v>123</v>
      </c>
      <c r="W26" s="11">
        <v>0.99399999999999999</v>
      </c>
      <c r="Y26" s="11" t="s">
        <v>122</v>
      </c>
      <c r="Z26" s="11">
        <v>0.97599999999999998</v>
      </c>
      <c r="AA26" s="11" t="s">
        <v>123</v>
      </c>
      <c r="AB26" s="11">
        <v>1.071</v>
      </c>
    </row>
    <row r="27" spans="1:28" x14ac:dyDescent="0.3">
      <c r="A27" s="26" t="s">
        <v>124</v>
      </c>
      <c r="B27" s="26">
        <v>0.78200000000000003</v>
      </c>
      <c r="C27" s="26" t="s">
        <v>125</v>
      </c>
      <c r="D27" s="26">
        <v>0.56899999999999995</v>
      </c>
      <c r="G27" s="26" t="s">
        <v>124</v>
      </c>
      <c r="H27" s="26">
        <v>0.78200000000000003</v>
      </c>
      <c r="J27" s="11" t="s">
        <v>124</v>
      </c>
      <c r="K27" s="11">
        <v>0.64300000000000002</v>
      </c>
      <c r="L27" s="11" t="s">
        <v>125</v>
      </c>
      <c r="M27" s="11">
        <v>0.42</v>
      </c>
      <c r="O27" s="11" t="s">
        <v>124</v>
      </c>
      <c r="P27" s="11">
        <v>1.875</v>
      </c>
      <c r="Q27" s="11" t="s">
        <v>125</v>
      </c>
      <c r="R27" s="11">
        <v>1.2509999999999999</v>
      </c>
      <c r="T27" s="11" t="s">
        <v>124</v>
      </c>
      <c r="U27" s="11">
        <v>1.2010000000000001</v>
      </c>
      <c r="V27" s="11" t="s">
        <v>125</v>
      </c>
      <c r="W27" s="11">
        <v>0.66100000000000003</v>
      </c>
      <c r="Y27" s="11" t="s">
        <v>124</v>
      </c>
      <c r="Z27" s="11">
        <v>1.034</v>
      </c>
      <c r="AA27" s="11" t="s">
        <v>125</v>
      </c>
      <c r="AB27" s="11">
        <v>0.84899999999999998</v>
      </c>
    </row>
    <row r="28" spans="1:28" x14ac:dyDescent="0.3">
      <c r="A28" s="26" t="s">
        <v>126</v>
      </c>
      <c r="B28" s="26">
        <v>0.73899999999999999</v>
      </c>
      <c r="C28" s="26" t="s">
        <v>127</v>
      </c>
      <c r="D28" s="26">
        <v>0.9</v>
      </c>
      <c r="G28" s="26" t="s">
        <v>126</v>
      </c>
      <c r="H28" s="26">
        <v>0.73899999999999999</v>
      </c>
      <c r="J28" s="11" t="s">
        <v>126</v>
      </c>
      <c r="K28" s="11">
        <v>0.54900000000000004</v>
      </c>
      <c r="L28" s="11" t="s">
        <v>127</v>
      </c>
      <c r="M28" s="11">
        <v>0.70899999999999996</v>
      </c>
      <c r="O28" s="11" t="s">
        <v>126</v>
      </c>
      <c r="P28" s="11">
        <v>1.641</v>
      </c>
      <c r="Q28" s="11" t="s">
        <v>127</v>
      </c>
      <c r="R28" s="11">
        <v>2.0670000000000002</v>
      </c>
      <c r="T28" s="11" t="s">
        <v>126</v>
      </c>
      <c r="U28" s="11">
        <v>0.84699999999999998</v>
      </c>
      <c r="V28" s="11" t="s">
        <v>127</v>
      </c>
      <c r="W28" s="11">
        <v>1.3089999999999999</v>
      </c>
      <c r="Y28" s="11" t="s">
        <v>126</v>
      </c>
      <c r="Z28" s="11">
        <v>1.1519999999999999</v>
      </c>
      <c r="AA28" s="11" t="s">
        <v>127</v>
      </c>
      <c r="AB28" s="11">
        <v>1.1559999999999999</v>
      </c>
    </row>
    <row r="29" spans="1:28" x14ac:dyDescent="0.3">
      <c r="A29" s="26" t="s">
        <v>128</v>
      </c>
      <c r="B29" s="26">
        <v>0.65900000000000003</v>
      </c>
      <c r="C29" s="26" t="s">
        <v>129</v>
      </c>
      <c r="D29" s="26">
        <v>0.64200000000000002</v>
      </c>
      <c r="G29" s="26" t="s">
        <v>128</v>
      </c>
      <c r="H29" s="26">
        <v>0.65900000000000003</v>
      </c>
      <c r="J29" s="11" t="s">
        <v>128</v>
      </c>
      <c r="K29" s="11">
        <v>0.51400000000000001</v>
      </c>
      <c r="L29" s="11" t="s">
        <v>129</v>
      </c>
      <c r="M29" s="11">
        <v>0.48299999999999998</v>
      </c>
      <c r="O29" s="11" t="s">
        <v>128</v>
      </c>
      <c r="P29" s="11">
        <v>1.4890000000000001</v>
      </c>
      <c r="Q29" s="11" t="s">
        <v>129</v>
      </c>
      <c r="R29" s="11">
        <v>1.48</v>
      </c>
      <c r="T29" s="11" t="s">
        <v>128</v>
      </c>
      <c r="U29" s="11">
        <v>0.91600000000000004</v>
      </c>
      <c r="V29" s="11" t="s">
        <v>129</v>
      </c>
      <c r="W29" s="11">
        <v>0.73099999999999998</v>
      </c>
      <c r="Y29" s="11" t="s">
        <v>128</v>
      </c>
      <c r="Z29" s="11">
        <v>0.89600000000000002</v>
      </c>
      <c r="AA29" s="11" t="s">
        <v>129</v>
      </c>
      <c r="AB29" s="11">
        <v>1.0549999999999999</v>
      </c>
    </row>
    <row r="30" spans="1:28" x14ac:dyDescent="0.3">
      <c r="A30" s="26" t="s">
        <v>130</v>
      </c>
      <c r="B30" s="26">
        <v>0.67600000000000005</v>
      </c>
      <c r="C30" s="26" t="s">
        <v>131</v>
      </c>
      <c r="D30" s="26">
        <v>0.78800000000000003</v>
      </c>
      <c r="G30" s="26" t="s">
        <v>130</v>
      </c>
      <c r="H30" s="26">
        <v>0.67600000000000005</v>
      </c>
      <c r="J30" s="11" t="s">
        <v>130</v>
      </c>
      <c r="K30" s="11">
        <v>0.48899999999999999</v>
      </c>
      <c r="L30" s="11" t="s">
        <v>131</v>
      </c>
      <c r="M30" s="11">
        <v>0.61899999999999999</v>
      </c>
      <c r="O30" s="11" t="s">
        <v>130</v>
      </c>
      <c r="P30" s="11">
        <v>1.419</v>
      </c>
      <c r="Q30" s="11" t="s">
        <v>131</v>
      </c>
      <c r="R30" s="11">
        <v>1.82</v>
      </c>
      <c r="T30" s="11" t="s">
        <v>130</v>
      </c>
      <c r="U30" s="11">
        <v>0.81899999999999995</v>
      </c>
      <c r="V30" s="11" t="s">
        <v>131</v>
      </c>
      <c r="W30" s="11">
        <v>1.0720000000000001</v>
      </c>
      <c r="Y30" s="11" t="s">
        <v>130</v>
      </c>
      <c r="Z30" s="11">
        <v>0.90700000000000003</v>
      </c>
      <c r="AA30" s="11" t="s">
        <v>131</v>
      </c>
      <c r="AB30" s="11">
        <v>1.117</v>
      </c>
    </row>
    <row r="31" spans="1:28" x14ac:dyDescent="0.3">
      <c r="A31" s="26" t="s">
        <v>132</v>
      </c>
      <c r="B31" s="26">
        <v>0.61699999999999999</v>
      </c>
      <c r="C31" s="26" t="s">
        <v>133</v>
      </c>
      <c r="D31" s="26">
        <v>0.59099999999999997</v>
      </c>
      <c r="G31" s="26" t="s">
        <v>132</v>
      </c>
      <c r="H31" s="26">
        <v>0.61699999999999999</v>
      </c>
      <c r="J31" s="11" t="s">
        <v>132</v>
      </c>
      <c r="K31" s="11">
        <v>0.47399999999999998</v>
      </c>
      <c r="L31" s="11" t="s">
        <v>133</v>
      </c>
      <c r="M31" s="11">
        <v>0.44</v>
      </c>
      <c r="O31" s="11" t="s">
        <v>132</v>
      </c>
      <c r="P31" s="11">
        <v>1.361</v>
      </c>
      <c r="Q31" s="11" t="s">
        <v>133</v>
      </c>
      <c r="R31" s="11">
        <v>1.3260000000000001</v>
      </c>
      <c r="T31" s="11" t="s">
        <v>132</v>
      </c>
      <c r="U31" s="11">
        <v>0.83399999999999996</v>
      </c>
      <c r="V31" s="11" t="s">
        <v>133</v>
      </c>
      <c r="W31" s="11">
        <v>0.68300000000000005</v>
      </c>
      <c r="Y31" s="11" t="s">
        <v>132</v>
      </c>
      <c r="Z31" s="11">
        <v>0.84299999999999997</v>
      </c>
      <c r="AA31" s="11" t="s">
        <v>133</v>
      </c>
      <c r="AB31" s="11">
        <v>0.91800000000000004</v>
      </c>
    </row>
    <row r="32" spans="1:28" x14ac:dyDescent="0.3">
      <c r="A32" s="26" t="s">
        <v>134</v>
      </c>
      <c r="B32" s="26">
        <v>0.66300000000000003</v>
      </c>
      <c r="C32" s="26" t="s">
        <v>135</v>
      </c>
      <c r="D32" s="26">
        <v>0.86199999999999999</v>
      </c>
      <c r="G32" s="26" t="s">
        <v>134</v>
      </c>
      <c r="H32" s="26">
        <v>0.66300000000000003</v>
      </c>
      <c r="J32" s="11" t="s">
        <v>134</v>
      </c>
      <c r="K32" s="11">
        <v>0.48499999999999999</v>
      </c>
      <c r="L32" s="11" t="s">
        <v>135</v>
      </c>
      <c r="M32" s="11">
        <v>0.67</v>
      </c>
      <c r="O32" s="11" t="s">
        <v>134</v>
      </c>
      <c r="P32" s="11">
        <v>1.387</v>
      </c>
      <c r="Q32" s="11" t="s">
        <v>135</v>
      </c>
      <c r="R32" s="11">
        <v>1.9770000000000001</v>
      </c>
      <c r="T32" s="11" t="s">
        <v>134</v>
      </c>
      <c r="U32" s="11">
        <v>0.77800000000000002</v>
      </c>
      <c r="V32" s="11" t="s">
        <v>135</v>
      </c>
      <c r="W32" s="11">
        <v>1.177</v>
      </c>
      <c r="Y32" s="11" t="s">
        <v>134</v>
      </c>
      <c r="Z32" s="11">
        <v>0.91800000000000004</v>
      </c>
      <c r="AA32" s="11" t="s">
        <v>135</v>
      </c>
      <c r="AB32" s="11">
        <v>1.1870000000000001</v>
      </c>
    </row>
    <row r="33" spans="1:28" x14ac:dyDescent="0.3">
      <c r="A33" s="26" t="s">
        <v>136</v>
      </c>
      <c r="B33" s="26">
        <v>0.57399999999999995</v>
      </c>
      <c r="C33" s="26" t="s">
        <v>137</v>
      </c>
      <c r="D33" s="26">
        <v>0.60799999999999998</v>
      </c>
      <c r="G33" s="26" t="s">
        <v>136</v>
      </c>
      <c r="H33" s="26">
        <v>0.57399999999999995</v>
      </c>
      <c r="J33" s="11" t="s">
        <v>136</v>
      </c>
      <c r="K33" s="11">
        <v>0.43099999999999999</v>
      </c>
      <c r="L33" s="11" t="s">
        <v>137</v>
      </c>
      <c r="M33" s="11">
        <v>0.45700000000000002</v>
      </c>
      <c r="O33" s="11" t="s">
        <v>136</v>
      </c>
      <c r="P33" s="11">
        <v>1.22</v>
      </c>
      <c r="Q33" s="11" t="s">
        <v>137</v>
      </c>
      <c r="R33" s="11">
        <v>1.389</v>
      </c>
      <c r="T33" s="11" t="s">
        <v>136</v>
      </c>
      <c r="U33" s="11">
        <v>0.747</v>
      </c>
      <c r="V33" s="11" t="s">
        <v>137</v>
      </c>
      <c r="W33" s="11">
        <v>0.70099999999999996</v>
      </c>
      <c r="Y33" s="11" t="s">
        <v>136</v>
      </c>
      <c r="Z33" s="11">
        <v>0.77900000000000003</v>
      </c>
      <c r="AA33" s="11" t="s">
        <v>137</v>
      </c>
      <c r="AB33" s="11">
        <v>0.97599999999999998</v>
      </c>
    </row>
    <row r="34" spans="1:28" x14ac:dyDescent="0.3">
      <c r="A34" s="26" t="s">
        <v>138</v>
      </c>
      <c r="B34" s="26">
        <v>0.626</v>
      </c>
      <c r="C34" s="26" t="s">
        <v>139</v>
      </c>
      <c r="D34" s="26">
        <v>0.85199999999999998</v>
      </c>
      <c r="G34" s="26" t="s">
        <v>138</v>
      </c>
      <c r="H34" s="26">
        <v>0.626</v>
      </c>
      <c r="J34" s="11" t="s">
        <v>138</v>
      </c>
      <c r="K34" s="11">
        <v>0.44600000000000001</v>
      </c>
      <c r="L34" s="11" t="s">
        <v>139</v>
      </c>
      <c r="M34" s="11">
        <v>0.68400000000000005</v>
      </c>
      <c r="O34" s="11" t="s">
        <v>138</v>
      </c>
      <c r="P34" s="11">
        <v>1.268</v>
      </c>
      <c r="Q34" s="11" t="s">
        <v>139</v>
      </c>
      <c r="R34" s="11">
        <v>2.0129999999999999</v>
      </c>
      <c r="T34" s="11" t="s">
        <v>138</v>
      </c>
      <c r="U34" s="11">
        <v>0.73299999999999998</v>
      </c>
      <c r="V34" s="11" t="s">
        <v>139</v>
      </c>
      <c r="W34" s="11">
        <v>1.214</v>
      </c>
      <c r="Y34" s="11" t="s">
        <v>138</v>
      </c>
      <c r="Z34" s="11">
        <v>0.82099999999999995</v>
      </c>
      <c r="AA34" s="11" t="s">
        <v>139</v>
      </c>
      <c r="AB34" s="11">
        <v>1.1850000000000001</v>
      </c>
    </row>
    <row r="35" spans="1:28" x14ac:dyDescent="0.3">
      <c r="A35" s="26" t="s">
        <v>140</v>
      </c>
      <c r="B35" s="26">
        <v>0.81699999999999995</v>
      </c>
      <c r="C35" s="26" t="s">
        <v>141</v>
      </c>
      <c r="D35" s="26">
        <v>0.627</v>
      </c>
      <c r="G35" s="26" t="s">
        <v>140</v>
      </c>
      <c r="H35" s="26">
        <v>0.81699999999999995</v>
      </c>
      <c r="J35" s="11" t="s">
        <v>140</v>
      </c>
      <c r="K35" s="11">
        <v>0.66800000000000004</v>
      </c>
      <c r="L35" s="11" t="s">
        <v>141</v>
      </c>
      <c r="M35" s="11">
        <v>0.47199999999999998</v>
      </c>
      <c r="O35" s="11" t="s">
        <v>140</v>
      </c>
      <c r="P35" s="11">
        <v>1.917</v>
      </c>
      <c r="Q35" s="11" t="s">
        <v>141</v>
      </c>
      <c r="R35" s="11">
        <v>1.44</v>
      </c>
      <c r="T35" s="11" t="s">
        <v>140</v>
      </c>
      <c r="U35" s="11">
        <v>1.2729999999999999</v>
      </c>
      <c r="V35" s="11" t="s">
        <v>141</v>
      </c>
      <c r="W35" s="11">
        <v>0.71699999999999997</v>
      </c>
      <c r="Y35" s="11" t="s">
        <v>140</v>
      </c>
      <c r="Z35" s="11">
        <v>1.0129999999999999</v>
      </c>
      <c r="AA35" s="11" t="s">
        <v>141</v>
      </c>
      <c r="AB35" s="11">
        <v>1.022</v>
      </c>
    </row>
    <row r="36" spans="1:28" x14ac:dyDescent="0.3">
      <c r="G36" s="26" t="s">
        <v>113</v>
      </c>
      <c r="H36" s="26">
        <v>0.63100000000000001</v>
      </c>
    </row>
    <row r="37" spans="1:28" x14ac:dyDescent="0.3">
      <c r="G37" s="26" t="s">
        <v>115</v>
      </c>
      <c r="H37" s="26">
        <v>0.66700000000000004</v>
      </c>
    </row>
    <row r="38" spans="1:28" x14ac:dyDescent="0.3">
      <c r="A38" s="14" t="s">
        <v>203</v>
      </c>
      <c r="G38" s="26" t="s">
        <v>117</v>
      </c>
      <c r="H38" s="26">
        <v>0.51500000000000001</v>
      </c>
      <c r="J38" s="14" t="s">
        <v>202</v>
      </c>
    </row>
    <row r="39" spans="1:28" x14ac:dyDescent="0.3">
      <c r="A39" s="25" t="s">
        <v>110</v>
      </c>
      <c r="B39" s="25" t="s">
        <v>197</v>
      </c>
      <c r="C39" s="25" t="s">
        <v>110</v>
      </c>
      <c r="D39" s="25" t="s">
        <v>197</v>
      </c>
      <c r="G39" s="26" t="s">
        <v>119</v>
      </c>
      <c r="H39" s="26">
        <v>0.75900000000000001</v>
      </c>
      <c r="J39" s="11" t="s">
        <v>112</v>
      </c>
      <c r="K39" s="11">
        <v>0.47799999999999998</v>
      </c>
      <c r="L39" s="11" t="s">
        <v>113</v>
      </c>
      <c r="M39" s="11">
        <v>0.159</v>
      </c>
    </row>
    <row r="40" spans="1:28" x14ac:dyDescent="0.3">
      <c r="A40" s="11" t="s">
        <v>112</v>
      </c>
      <c r="B40" s="11">
        <v>0.48699999999999999</v>
      </c>
      <c r="C40" s="11" t="s">
        <v>113</v>
      </c>
      <c r="D40" s="11">
        <v>0.16500000000000001</v>
      </c>
      <c r="G40" s="26" t="s">
        <v>121</v>
      </c>
      <c r="H40" s="26">
        <v>0.54400000000000004</v>
      </c>
      <c r="J40" s="11" t="s">
        <v>114</v>
      </c>
      <c r="K40" s="11">
        <v>0.57099999999999995</v>
      </c>
      <c r="L40" s="11" t="s">
        <v>115</v>
      </c>
      <c r="M40" s="11">
        <v>0.55200000000000005</v>
      </c>
    </row>
    <row r="41" spans="1:28" x14ac:dyDescent="0.3">
      <c r="A41" s="11" t="s">
        <v>114</v>
      </c>
      <c r="B41" s="11">
        <v>0.61299999999999999</v>
      </c>
      <c r="C41" s="11" t="s">
        <v>115</v>
      </c>
      <c r="D41" s="11">
        <v>0.56000000000000005</v>
      </c>
      <c r="G41" s="26" t="s">
        <v>123</v>
      </c>
      <c r="H41" s="26">
        <v>0.754</v>
      </c>
      <c r="J41" s="11" t="s">
        <v>116</v>
      </c>
      <c r="K41" s="11">
        <v>0.47299999999999998</v>
      </c>
      <c r="L41" s="11" t="s">
        <v>117</v>
      </c>
      <c r="M41" s="11">
        <v>0.115</v>
      </c>
    </row>
    <row r="42" spans="1:28" x14ac:dyDescent="0.3">
      <c r="A42" s="11" t="s">
        <v>116</v>
      </c>
      <c r="B42" s="11">
        <v>0.47799999999999998</v>
      </c>
      <c r="C42" s="11" t="s">
        <v>117</v>
      </c>
      <c r="D42" s="11">
        <v>0.124</v>
      </c>
      <c r="G42" s="26" t="s">
        <v>125</v>
      </c>
      <c r="H42" s="26">
        <v>0.56899999999999995</v>
      </c>
      <c r="J42" s="11" t="s">
        <v>118</v>
      </c>
      <c r="K42" s="11">
        <v>0.67200000000000004</v>
      </c>
      <c r="L42" s="11" t="s">
        <v>119</v>
      </c>
      <c r="M42" s="11">
        <v>0.99299999999999999</v>
      </c>
    </row>
    <row r="43" spans="1:28" x14ac:dyDescent="0.3">
      <c r="A43" s="11" t="s">
        <v>118</v>
      </c>
      <c r="B43" s="11">
        <v>0.72</v>
      </c>
      <c r="C43" s="11" t="s">
        <v>119</v>
      </c>
      <c r="D43" s="11">
        <v>0.99099999999999999</v>
      </c>
      <c r="G43" s="26" t="s">
        <v>127</v>
      </c>
      <c r="H43" s="26">
        <v>0.9</v>
      </c>
      <c r="J43" s="11" t="s">
        <v>120</v>
      </c>
      <c r="K43" s="11">
        <v>0.46700000000000003</v>
      </c>
      <c r="L43" s="11" t="s">
        <v>121</v>
      </c>
      <c r="M43" s="11">
        <v>0.123</v>
      </c>
    </row>
    <row r="44" spans="1:28" x14ac:dyDescent="0.3">
      <c r="A44" s="11" t="s">
        <v>120</v>
      </c>
      <c r="B44" s="11">
        <v>0.47</v>
      </c>
      <c r="C44" s="11" t="s">
        <v>121</v>
      </c>
      <c r="D44" s="11">
        <v>0.13</v>
      </c>
      <c r="G44" s="26" t="s">
        <v>129</v>
      </c>
      <c r="H44" s="26">
        <v>0.64200000000000002</v>
      </c>
      <c r="J44" s="11" t="s">
        <v>122</v>
      </c>
      <c r="K44" s="11">
        <v>0.56399999999999995</v>
      </c>
      <c r="L44" s="11" t="s">
        <v>123</v>
      </c>
      <c r="M44" s="11">
        <v>0.57299999999999995</v>
      </c>
    </row>
    <row r="45" spans="1:28" x14ac:dyDescent="0.3">
      <c r="A45" s="11" t="s">
        <v>122</v>
      </c>
      <c r="B45" s="11">
        <v>0.59599999999999997</v>
      </c>
      <c r="C45" s="11" t="s">
        <v>123</v>
      </c>
      <c r="D45" s="11">
        <v>0.58699999999999997</v>
      </c>
      <c r="G45" s="26" t="s">
        <v>131</v>
      </c>
      <c r="H45" s="26">
        <v>0.78800000000000003</v>
      </c>
      <c r="J45" s="11" t="s">
        <v>124</v>
      </c>
      <c r="K45" s="11">
        <v>0.48499999999999999</v>
      </c>
      <c r="L45" s="11" t="s">
        <v>125</v>
      </c>
      <c r="M45" s="11">
        <v>0.128</v>
      </c>
    </row>
    <row r="46" spans="1:28" x14ac:dyDescent="0.3">
      <c r="A46" s="11" t="s">
        <v>124</v>
      </c>
      <c r="B46" s="11">
        <v>0.495</v>
      </c>
      <c r="C46" s="11" t="s">
        <v>125</v>
      </c>
      <c r="D46" s="11">
        <v>0.13600000000000001</v>
      </c>
      <c r="G46" s="26" t="s">
        <v>133</v>
      </c>
      <c r="H46" s="26">
        <v>0.59099999999999997</v>
      </c>
      <c r="J46" s="11" t="s">
        <v>126</v>
      </c>
      <c r="K46" s="11">
        <v>0.748</v>
      </c>
      <c r="L46" s="11" t="s">
        <v>127</v>
      </c>
      <c r="M46" s="11">
        <v>1.4419999999999999</v>
      </c>
    </row>
    <row r="47" spans="1:28" x14ac:dyDescent="0.3">
      <c r="A47" s="11" t="s">
        <v>126</v>
      </c>
      <c r="B47" s="11">
        <v>0.82399999999999995</v>
      </c>
      <c r="C47" s="11" t="s">
        <v>127</v>
      </c>
      <c r="D47" s="11">
        <v>1.484</v>
      </c>
      <c r="G47" s="26" t="s">
        <v>135</v>
      </c>
      <c r="H47" s="26">
        <v>0.86199999999999999</v>
      </c>
      <c r="J47" s="11" t="s">
        <v>128</v>
      </c>
      <c r="K47" s="11">
        <v>0.46</v>
      </c>
      <c r="L47" s="11" t="s">
        <v>129</v>
      </c>
      <c r="M47" s="11">
        <v>0.152</v>
      </c>
    </row>
    <row r="48" spans="1:28" x14ac:dyDescent="0.3">
      <c r="A48" s="11" t="s">
        <v>128</v>
      </c>
      <c r="B48" s="11">
        <v>0.46100000000000002</v>
      </c>
      <c r="C48" s="11" t="s">
        <v>129</v>
      </c>
      <c r="D48" s="11">
        <v>0.16</v>
      </c>
      <c r="G48" s="26" t="s">
        <v>137</v>
      </c>
      <c r="H48" s="26">
        <v>0.60799999999999998</v>
      </c>
      <c r="J48" s="11" t="s">
        <v>130</v>
      </c>
      <c r="K48" s="11">
        <v>0.55400000000000005</v>
      </c>
      <c r="L48" s="11" t="s">
        <v>131</v>
      </c>
      <c r="M48" s="11">
        <v>0.58299999999999996</v>
      </c>
    </row>
    <row r="49" spans="1:13" x14ac:dyDescent="0.3">
      <c r="A49" s="11" t="s">
        <v>130</v>
      </c>
      <c r="B49" s="11">
        <v>0.58499999999999996</v>
      </c>
      <c r="C49" s="11" t="s">
        <v>131</v>
      </c>
      <c r="D49" s="11">
        <v>0.60099999999999998</v>
      </c>
      <c r="G49" s="26" t="s">
        <v>139</v>
      </c>
      <c r="H49" s="26">
        <v>0.85199999999999998</v>
      </c>
      <c r="J49" s="11" t="s">
        <v>132</v>
      </c>
      <c r="K49" s="11">
        <v>0.45500000000000002</v>
      </c>
      <c r="L49" s="11" t="s">
        <v>133</v>
      </c>
      <c r="M49" s="11">
        <v>0.13400000000000001</v>
      </c>
    </row>
    <row r="50" spans="1:13" x14ac:dyDescent="0.3">
      <c r="A50" s="11" t="s">
        <v>132</v>
      </c>
      <c r="B50" s="11">
        <v>0.45200000000000001</v>
      </c>
      <c r="C50" s="11" t="s">
        <v>133</v>
      </c>
      <c r="D50" s="11">
        <v>0.14199999999999999</v>
      </c>
      <c r="G50" s="26" t="s">
        <v>141</v>
      </c>
      <c r="H50" s="26">
        <v>0.627</v>
      </c>
      <c r="J50" s="11" t="s">
        <v>134</v>
      </c>
      <c r="K50" s="11">
        <v>0.64300000000000002</v>
      </c>
      <c r="L50" s="11" t="s">
        <v>135</v>
      </c>
      <c r="M50" s="11">
        <v>1.0209999999999999</v>
      </c>
    </row>
    <row r="51" spans="1:13" x14ac:dyDescent="0.3">
      <c r="A51" s="11" t="s">
        <v>134</v>
      </c>
      <c r="B51" s="11">
        <v>0.69099999999999995</v>
      </c>
      <c r="C51" s="11" t="s">
        <v>135</v>
      </c>
      <c r="D51" s="11">
        <v>1.052</v>
      </c>
      <c r="J51" s="11" t="s">
        <v>136</v>
      </c>
      <c r="K51" s="11">
        <v>0.44800000000000001</v>
      </c>
      <c r="L51" s="11" t="s">
        <v>137</v>
      </c>
      <c r="M51" s="11">
        <v>0.14000000000000001</v>
      </c>
    </row>
    <row r="52" spans="1:13" x14ac:dyDescent="0.3">
      <c r="A52" s="11" t="s">
        <v>136</v>
      </c>
      <c r="B52" s="11">
        <v>0.443</v>
      </c>
      <c r="C52" s="11" t="s">
        <v>137</v>
      </c>
      <c r="D52" s="11">
        <v>0.14799999999999999</v>
      </c>
      <c r="J52" s="11" t="s">
        <v>138</v>
      </c>
      <c r="K52" s="11">
        <v>0.52800000000000002</v>
      </c>
      <c r="L52" s="11" t="s">
        <v>139</v>
      </c>
      <c r="M52" s="11">
        <v>0.6</v>
      </c>
    </row>
    <row r="53" spans="1:13" x14ac:dyDescent="0.3">
      <c r="A53" s="11" t="s">
        <v>138</v>
      </c>
      <c r="B53" s="11">
        <v>0.56000000000000005</v>
      </c>
      <c r="C53" s="11" t="s">
        <v>139</v>
      </c>
      <c r="D53" s="11">
        <v>0.622</v>
      </c>
      <c r="J53" s="11" t="s">
        <v>140</v>
      </c>
      <c r="K53" s="11">
        <v>0.48799999999999999</v>
      </c>
      <c r="L53" s="11" t="s">
        <v>141</v>
      </c>
      <c r="M53" s="11">
        <v>0.14499999999999999</v>
      </c>
    </row>
    <row r="54" spans="1:13" x14ac:dyDescent="0.3">
      <c r="A54" s="11" t="s">
        <v>140</v>
      </c>
      <c r="B54" s="11">
        <v>0.5</v>
      </c>
      <c r="C54" s="11" t="s">
        <v>141</v>
      </c>
      <c r="D54" s="11">
        <v>0.154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D34C-9592-4E43-A27D-07F97848DD8C}">
  <dimension ref="A1:U17"/>
  <sheetViews>
    <sheetView tabSelected="1" workbookViewId="0">
      <selection activeCell="T10" sqref="H9:T10"/>
    </sheetView>
  </sheetViews>
  <sheetFormatPr defaultRowHeight="14.5" x14ac:dyDescent="0.3"/>
  <cols>
    <col min="16" max="16" width="0.5" customWidth="1"/>
  </cols>
  <sheetData>
    <row r="1" spans="1:21" x14ac:dyDescent="0.3">
      <c r="A1" t="s">
        <v>51</v>
      </c>
      <c r="B1" t="s">
        <v>52</v>
      </c>
      <c r="C1" t="s">
        <v>46</v>
      </c>
      <c r="D1" t="s">
        <v>45</v>
      </c>
      <c r="E1" t="s">
        <v>44</v>
      </c>
      <c r="F1" t="s">
        <v>43</v>
      </c>
      <c r="G1" t="s">
        <v>42</v>
      </c>
      <c r="H1" t="s">
        <v>41</v>
      </c>
      <c r="I1" t="s">
        <v>40</v>
      </c>
      <c r="J1" t="s">
        <v>39</v>
      </c>
      <c r="K1" t="s">
        <v>38</v>
      </c>
      <c r="L1" t="s">
        <v>37</v>
      </c>
      <c r="M1" t="s">
        <v>36</v>
      </c>
      <c r="N1" t="s">
        <v>35</v>
      </c>
      <c r="O1" t="s">
        <v>34</v>
      </c>
      <c r="Q1" t="s">
        <v>49</v>
      </c>
      <c r="R1" t="s">
        <v>50</v>
      </c>
      <c r="S1" t="s">
        <v>48</v>
      </c>
      <c r="T1" t="s">
        <v>47</v>
      </c>
    </row>
    <row r="2" spans="1:2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Q3">
        <v>0</v>
      </c>
      <c r="R3">
        <v>0</v>
      </c>
      <c r="S3">
        <v>0</v>
      </c>
      <c r="T3">
        <v>1</v>
      </c>
      <c r="U3">
        <v>1</v>
      </c>
    </row>
    <row r="4" spans="1:21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Q4">
        <v>0</v>
      </c>
      <c r="R4">
        <v>0</v>
      </c>
      <c r="S4">
        <v>1</v>
      </c>
      <c r="T4">
        <v>0</v>
      </c>
      <c r="U4">
        <v>2</v>
      </c>
    </row>
    <row r="5" spans="1:21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Q5">
        <v>0</v>
      </c>
      <c r="R5">
        <v>0</v>
      </c>
      <c r="S5">
        <v>1</v>
      </c>
      <c r="T5">
        <v>1</v>
      </c>
      <c r="U5">
        <v>3</v>
      </c>
    </row>
    <row r="6" spans="1:21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Q6">
        <v>0</v>
      </c>
      <c r="R6">
        <v>1</v>
      </c>
      <c r="S6">
        <v>0</v>
      </c>
      <c r="T6">
        <v>0</v>
      </c>
      <c r="U6">
        <v>4</v>
      </c>
    </row>
    <row r="7" spans="1:21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Q7">
        <v>0</v>
      </c>
      <c r="R7">
        <v>1</v>
      </c>
      <c r="S7">
        <v>0</v>
      </c>
      <c r="T7">
        <v>1</v>
      </c>
      <c r="U7">
        <v>5</v>
      </c>
    </row>
    <row r="8" spans="1:21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Q8">
        <v>0</v>
      </c>
      <c r="R8">
        <v>1</v>
      </c>
      <c r="S8">
        <v>1</v>
      </c>
      <c r="T8">
        <v>0</v>
      </c>
      <c r="U8">
        <v>6</v>
      </c>
    </row>
    <row r="9" spans="1:21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Q9">
        <v>0</v>
      </c>
      <c r="R9">
        <v>1</v>
      </c>
      <c r="S9">
        <v>1</v>
      </c>
      <c r="T9">
        <v>1</v>
      </c>
      <c r="U9">
        <v>7</v>
      </c>
    </row>
    <row r="10" spans="1:21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Q10">
        <v>1</v>
      </c>
      <c r="R10">
        <v>0</v>
      </c>
      <c r="S10">
        <v>0</v>
      </c>
      <c r="T10">
        <v>0</v>
      </c>
      <c r="U10">
        <v>8</v>
      </c>
    </row>
    <row r="11" spans="1:2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Q11">
        <v>1</v>
      </c>
      <c r="R11">
        <v>0</v>
      </c>
      <c r="S11">
        <v>0</v>
      </c>
      <c r="T11">
        <v>1</v>
      </c>
      <c r="U11">
        <v>9</v>
      </c>
    </row>
    <row r="12" spans="1:2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Q12">
        <v>1</v>
      </c>
      <c r="R12">
        <v>0</v>
      </c>
      <c r="S12">
        <v>1</v>
      </c>
      <c r="T12">
        <v>0</v>
      </c>
      <c r="U12">
        <v>10</v>
      </c>
    </row>
    <row r="13" spans="1:21" x14ac:dyDescent="0.3">
      <c r="A13">
        <v>0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Q13">
        <v>1</v>
      </c>
      <c r="R13">
        <v>0</v>
      </c>
      <c r="S13">
        <v>1</v>
      </c>
      <c r="T13">
        <v>1</v>
      </c>
      <c r="U13">
        <v>11</v>
      </c>
    </row>
    <row r="14" spans="1:21" x14ac:dyDescent="0.3">
      <c r="A14">
        <v>0</v>
      </c>
      <c r="B14">
        <v>0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Q14">
        <v>1</v>
      </c>
      <c r="R14">
        <v>1</v>
      </c>
      <c r="S14">
        <v>0</v>
      </c>
      <c r="T14">
        <v>0</v>
      </c>
      <c r="U14">
        <v>12</v>
      </c>
    </row>
    <row r="15" spans="1:21" x14ac:dyDescent="0.3">
      <c r="A15">
        <v>0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Q15">
        <v>1</v>
      </c>
      <c r="R15">
        <v>1</v>
      </c>
      <c r="S15">
        <v>0</v>
      </c>
      <c r="T15">
        <v>1</v>
      </c>
      <c r="U15">
        <v>13</v>
      </c>
    </row>
    <row r="16" spans="1:21" x14ac:dyDescent="0.3">
      <c r="A16">
        <v>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Q16">
        <v>1</v>
      </c>
      <c r="R16">
        <v>1</v>
      </c>
      <c r="S16">
        <v>1</v>
      </c>
      <c r="T16">
        <v>0</v>
      </c>
      <c r="U16">
        <v>14</v>
      </c>
    </row>
    <row r="17" spans="1:21" x14ac:dyDescent="0.3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Q17">
        <v>1</v>
      </c>
      <c r="R17">
        <v>1</v>
      </c>
      <c r="S17">
        <v>1</v>
      </c>
      <c r="T17">
        <v>1</v>
      </c>
      <c r="U17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工作表2</vt:lpstr>
      <vt:lpstr>工作表3</vt:lpstr>
      <vt:lpstr>工作表4</vt:lpstr>
      <vt:lpstr>report</vt:lpstr>
      <vt:lpstr>truth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品然 王</cp:lastModifiedBy>
  <dcterms:created xsi:type="dcterms:W3CDTF">2015-06-05T18:19:34Z</dcterms:created>
  <dcterms:modified xsi:type="dcterms:W3CDTF">2024-11-08T05:51:18Z</dcterms:modified>
</cp:coreProperties>
</file>